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\\SERVER\New Shared\SALES\AVAILABILITY LISTS\Garden Plants\"/>
    </mc:Choice>
  </mc:AlternateContent>
  <xr:revisionPtr revIDLastSave="0" documentId="13_ncr:1_{68D31FFB-7708-4CCD-9A4A-0B6B8CC6446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Order" sheetId="1" r:id="rId1"/>
    <sheet name="Print Order" sheetId="3" r:id="rId2"/>
    <sheet name="A" sheetId="2" r:id="rId3"/>
  </sheets>
  <definedNames>
    <definedName name="_xlnm.Print_Area" localSheetId="0">Order!$A$1:$M$1189</definedName>
    <definedName name="_xlnm.Print_Area" localSheetId="1">'Print Order'!$A$1:$E$104</definedName>
    <definedName name="_xlnm.Print_Titles" localSheetId="0">Order!$1:$5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54" i="1" l="1"/>
  <c r="I1154" i="1"/>
  <c r="K1154" i="1"/>
  <c r="H1155" i="1"/>
  <c r="I1155" i="1"/>
  <c r="K1155" i="1"/>
  <c r="A27" i="1" l="1"/>
  <c r="A28" i="1"/>
  <c r="A29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1" i="1"/>
  <c r="A462" i="1"/>
  <c r="A463" i="1"/>
  <c r="A464" i="1"/>
  <c r="A465" i="1"/>
  <c r="A466" i="1"/>
  <c r="A467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5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103" i="1"/>
  <c r="A1104" i="1"/>
  <c r="A1105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6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B242" i="1"/>
  <c r="B499" i="1"/>
  <c r="B606" i="1"/>
  <c r="B667" i="1"/>
  <c r="B698" i="1"/>
  <c r="B841" i="1"/>
  <c r="B1043" i="1"/>
  <c r="B1102" i="1"/>
  <c r="B1132" i="1"/>
  <c r="B1157" i="1"/>
  <c r="B1168" i="1"/>
  <c r="B1176" i="1"/>
  <c r="B1189" i="1"/>
  <c r="H1175" i="1"/>
  <c r="I1175" i="1"/>
  <c r="N1175" i="1"/>
  <c r="O1175" i="1"/>
  <c r="N1143" i="1"/>
  <c r="O1143" i="1"/>
  <c r="N1144" i="1"/>
  <c r="O1144" i="1"/>
  <c r="H1143" i="1"/>
  <c r="I1143" i="1"/>
  <c r="H1144" i="1"/>
  <c r="I1144" i="1"/>
  <c r="H908" i="1"/>
  <c r="I908" i="1"/>
  <c r="K908" i="1"/>
  <c r="H909" i="1"/>
  <c r="I909" i="1"/>
  <c r="K909" i="1"/>
  <c r="H910" i="1"/>
  <c r="I910" i="1"/>
  <c r="K910" i="1"/>
  <c r="H911" i="1"/>
  <c r="I911" i="1"/>
  <c r="K911" i="1"/>
  <c r="H912" i="1"/>
  <c r="I912" i="1"/>
  <c r="K912" i="1"/>
  <c r="H913" i="1"/>
  <c r="I913" i="1"/>
  <c r="K913" i="1"/>
  <c r="H914" i="1"/>
  <c r="I914" i="1"/>
  <c r="K914" i="1"/>
  <c r="H915" i="1"/>
  <c r="I915" i="1"/>
  <c r="K915" i="1"/>
  <c r="H916" i="1"/>
  <c r="I916" i="1"/>
  <c r="K916" i="1"/>
  <c r="H917" i="1"/>
  <c r="I917" i="1"/>
  <c r="K917" i="1"/>
  <c r="H918" i="1"/>
  <c r="I918" i="1"/>
  <c r="K918" i="1"/>
  <c r="H919" i="1"/>
  <c r="I919" i="1"/>
  <c r="K919" i="1"/>
  <c r="H920" i="1"/>
  <c r="I920" i="1"/>
  <c r="K920" i="1"/>
  <c r="H921" i="1"/>
  <c r="I921" i="1"/>
  <c r="K921" i="1"/>
  <c r="H922" i="1"/>
  <c r="I922" i="1"/>
  <c r="K922" i="1"/>
  <c r="H923" i="1"/>
  <c r="I923" i="1"/>
  <c r="K923" i="1"/>
  <c r="H924" i="1"/>
  <c r="I924" i="1"/>
  <c r="K924" i="1"/>
  <c r="H925" i="1"/>
  <c r="I925" i="1"/>
  <c r="K925" i="1"/>
  <c r="H926" i="1"/>
  <c r="I926" i="1"/>
  <c r="K926" i="1"/>
  <c r="H927" i="1"/>
  <c r="I927" i="1"/>
  <c r="K927" i="1"/>
  <c r="H928" i="1"/>
  <c r="I928" i="1"/>
  <c r="K928" i="1"/>
  <c r="H929" i="1"/>
  <c r="I929" i="1"/>
  <c r="K929" i="1"/>
  <c r="H930" i="1"/>
  <c r="I930" i="1"/>
  <c r="K930" i="1"/>
  <c r="H931" i="1"/>
  <c r="I931" i="1"/>
  <c r="K931" i="1"/>
  <c r="H932" i="1"/>
  <c r="I932" i="1"/>
  <c r="K932" i="1"/>
  <c r="H933" i="1"/>
  <c r="I933" i="1"/>
  <c r="K933" i="1"/>
  <c r="H934" i="1"/>
  <c r="I934" i="1"/>
  <c r="K934" i="1"/>
  <c r="H935" i="1"/>
  <c r="I935" i="1"/>
  <c r="K935" i="1"/>
  <c r="H936" i="1"/>
  <c r="I936" i="1"/>
  <c r="K936" i="1"/>
  <c r="H937" i="1"/>
  <c r="I937" i="1"/>
  <c r="K937" i="1"/>
  <c r="H938" i="1"/>
  <c r="I938" i="1"/>
  <c r="K938" i="1"/>
  <c r="H939" i="1"/>
  <c r="I939" i="1"/>
  <c r="K939" i="1"/>
  <c r="H940" i="1"/>
  <c r="I940" i="1"/>
  <c r="K940" i="1"/>
  <c r="H941" i="1"/>
  <c r="I941" i="1"/>
  <c r="K941" i="1"/>
  <c r="H942" i="1"/>
  <c r="I942" i="1"/>
  <c r="K942" i="1"/>
  <c r="H943" i="1"/>
  <c r="I943" i="1"/>
  <c r="K943" i="1"/>
  <c r="H944" i="1"/>
  <c r="I944" i="1"/>
  <c r="K944" i="1"/>
  <c r="H945" i="1"/>
  <c r="I945" i="1"/>
  <c r="K945" i="1"/>
  <c r="H946" i="1"/>
  <c r="I946" i="1"/>
  <c r="K946" i="1"/>
  <c r="H947" i="1"/>
  <c r="I947" i="1"/>
  <c r="K947" i="1"/>
  <c r="H948" i="1"/>
  <c r="I948" i="1"/>
  <c r="K948" i="1"/>
  <c r="H949" i="1"/>
  <c r="I949" i="1"/>
  <c r="K949" i="1"/>
  <c r="H950" i="1"/>
  <c r="I950" i="1"/>
  <c r="N467" i="1"/>
  <c r="O467" i="1"/>
  <c r="H467" i="1"/>
  <c r="I467" i="1"/>
  <c r="N1147" i="1"/>
  <c r="O1147" i="1"/>
  <c r="H1147" i="1"/>
  <c r="I1147" i="1"/>
  <c r="Q686" i="2"/>
  <c r="Q687" i="2"/>
  <c r="N1153" i="1"/>
  <c r="O1153" i="1"/>
  <c r="N1154" i="1"/>
  <c r="O1154" i="1"/>
  <c r="N1155" i="1"/>
  <c r="O1155" i="1"/>
  <c r="G606" i="2"/>
  <c r="L606" i="2"/>
  <c r="Q606" i="2"/>
  <c r="K1147" i="1" s="1"/>
  <c r="G5" i="2"/>
  <c r="N706" i="1"/>
  <c r="O706" i="1"/>
  <c r="H706" i="1"/>
  <c r="I706" i="1"/>
  <c r="K706" i="1"/>
  <c r="N950" i="1"/>
  <c r="O950" i="1"/>
  <c r="G429" i="2"/>
  <c r="K467" i="1" s="1"/>
  <c r="H660" i="1" l="1"/>
  <c r="I660" i="1"/>
  <c r="N660" i="1"/>
  <c r="O660" i="1"/>
  <c r="G196" i="2"/>
  <c r="G197" i="2"/>
  <c r="K660" i="1" s="1"/>
  <c r="G198" i="2"/>
  <c r="G199" i="2"/>
  <c r="H815" i="1" l="1"/>
  <c r="I815" i="1"/>
  <c r="W677" i="1"/>
  <c r="V677" i="1"/>
  <c r="R677" i="1"/>
  <c r="N677" i="1"/>
  <c r="O677" i="1"/>
  <c r="H677" i="1"/>
  <c r="I677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G368" i="2"/>
  <c r="G22" i="2"/>
  <c r="K677" i="1" s="1"/>
  <c r="W406" i="1"/>
  <c r="V406" i="1"/>
  <c r="R406" i="1"/>
  <c r="A406" i="1" s="1"/>
  <c r="N406" i="1"/>
  <c r="O406" i="1"/>
  <c r="R236" i="1"/>
  <c r="S236" i="1" l="1"/>
  <c r="S677" i="1"/>
  <c r="S406" i="1"/>
  <c r="V1166" i="1"/>
  <c r="U1166" i="1"/>
  <c r="W1166" i="1" s="1"/>
  <c r="R1166" i="1"/>
  <c r="V1165" i="1"/>
  <c r="U1165" i="1"/>
  <c r="W1165" i="1" s="1"/>
  <c r="R1165" i="1"/>
  <c r="V1164" i="1"/>
  <c r="U1164" i="1"/>
  <c r="W1164" i="1" s="1"/>
  <c r="R1164" i="1"/>
  <c r="N1162" i="1"/>
  <c r="O1162" i="1"/>
  <c r="N1163" i="1"/>
  <c r="O1163" i="1"/>
  <c r="N1164" i="1"/>
  <c r="O1164" i="1"/>
  <c r="N1165" i="1"/>
  <c r="O1165" i="1"/>
  <c r="N1166" i="1"/>
  <c r="O1166" i="1"/>
  <c r="H1166" i="1"/>
  <c r="I1166" i="1"/>
  <c r="H1163" i="1"/>
  <c r="I1163" i="1"/>
  <c r="H1164" i="1"/>
  <c r="I1164" i="1"/>
  <c r="H1162" i="1"/>
  <c r="S1166" i="1" l="1"/>
  <c r="S1165" i="1"/>
  <c r="S1164" i="1"/>
  <c r="R241" i="1"/>
  <c r="R242" i="1" l="1"/>
  <c r="W476" i="1"/>
  <c r="V476" i="1"/>
  <c r="R476" i="1"/>
  <c r="A476" i="1" s="1"/>
  <c r="N476" i="1"/>
  <c r="O476" i="1"/>
  <c r="H461" i="1"/>
  <c r="I461" i="1"/>
  <c r="H462" i="1"/>
  <c r="I462" i="1"/>
  <c r="H463" i="1"/>
  <c r="I463" i="1"/>
  <c r="H464" i="1"/>
  <c r="I464" i="1"/>
  <c r="H465" i="1"/>
  <c r="I465" i="1"/>
  <c r="H466" i="1"/>
  <c r="I466" i="1"/>
  <c r="H468" i="1"/>
  <c r="I468" i="1"/>
  <c r="H469" i="1"/>
  <c r="I469" i="1"/>
  <c r="H470" i="1"/>
  <c r="I470" i="1"/>
  <c r="H471" i="1"/>
  <c r="I471" i="1"/>
  <c r="H472" i="1"/>
  <c r="I472" i="1"/>
  <c r="H473" i="1"/>
  <c r="I473" i="1"/>
  <c r="H474" i="1"/>
  <c r="I474" i="1"/>
  <c r="H475" i="1"/>
  <c r="I475" i="1"/>
  <c r="H476" i="1"/>
  <c r="I476" i="1"/>
  <c r="W26" i="1"/>
  <c r="V26" i="1"/>
  <c r="R26" i="1"/>
  <c r="S26" i="1" s="1"/>
  <c r="N26" i="1"/>
  <c r="O26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W224" i="1"/>
  <c r="V224" i="1"/>
  <c r="R224" i="1"/>
  <c r="W223" i="1"/>
  <c r="V223" i="1"/>
  <c r="R223" i="1"/>
  <c r="N223" i="1"/>
  <c r="O223" i="1"/>
  <c r="N224" i="1"/>
  <c r="O224" i="1"/>
  <c r="H223" i="1"/>
  <c r="I223" i="1"/>
  <c r="H224" i="1"/>
  <c r="I224" i="1"/>
  <c r="G677" i="2"/>
  <c r="K224" i="1" s="1"/>
  <c r="G676" i="2"/>
  <c r="K223" i="1" s="1"/>
  <c r="G474" i="2"/>
  <c r="K25" i="1" s="1"/>
  <c r="G475" i="2"/>
  <c r="K26" i="1" s="1"/>
  <c r="G438" i="2"/>
  <c r="K476" i="1" s="1"/>
  <c r="S223" i="1" l="1"/>
  <c r="S224" i="1"/>
  <c r="S476" i="1"/>
  <c r="A26" i="1"/>
  <c r="W429" i="1"/>
  <c r="V429" i="1"/>
  <c r="R429" i="1"/>
  <c r="A429" i="1" s="1"/>
  <c r="H428" i="1"/>
  <c r="I428" i="1"/>
  <c r="H429" i="1"/>
  <c r="I429" i="1"/>
  <c r="N429" i="1"/>
  <c r="O429" i="1"/>
  <c r="G391" i="2"/>
  <c r="K429" i="1" s="1"/>
  <c r="W622" i="1"/>
  <c r="V622" i="1"/>
  <c r="R622" i="1"/>
  <c r="N622" i="1"/>
  <c r="O622" i="1"/>
  <c r="H622" i="1"/>
  <c r="I622" i="1"/>
  <c r="G159" i="2"/>
  <c r="K622" i="1" s="1"/>
  <c r="G108" i="2"/>
  <c r="H594" i="1"/>
  <c r="I594" i="1"/>
  <c r="H595" i="1"/>
  <c r="I595" i="1"/>
  <c r="W582" i="1"/>
  <c r="V582" i="1"/>
  <c r="R582" i="1"/>
  <c r="N582" i="1"/>
  <c r="O582" i="1"/>
  <c r="H582" i="1"/>
  <c r="I582" i="1"/>
  <c r="G122" i="2"/>
  <c r="K582" i="1" s="1"/>
  <c r="G121" i="2"/>
  <c r="G123" i="2"/>
  <c r="Q204" i="2"/>
  <c r="Q152" i="2"/>
  <c r="Q153" i="2"/>
  <c r="Q154" i="2"/>
  <c r="K1183" i="1" s="1"/>
  <c r="Q155" i="2"/>
  <c r="Q156" i="2"/>
  <c r="V1181" i="1"/>
  <c r="U1181" i="1"/>
  <c r="W1181" i="1" s="1"/>
  <c r="R1181" i="1"/>
  <c r="O1181" i="1"/>
  <c r="N1181" i="1"/>
  <c r="I1181" i="1"/>
  <c r="H1181" i="1"/>
  <c r="N1182" i="1"/>
  <c r="O1182" i="1"/>
  <c r="N1183" i="1"/>
  <c r="O1183" i="1"/>
  <c r="N1184" i="1"/>
  <c r="O1184" i="1"/>
  <c r="N1185" i="1"/>
  <c r="O1185" i="1"/>
  <c r="N1186" i="1"/>
  <c r="O1186" i="1"/>
  <c r="N1187" i="1"/>
  <c r="O1187" i="1"/>
  <c r="N1188" i="1"/>
  <c r="O1188" i="1"/>
  <c r="V1188" i="1"/>
  <c r="U1188" i="1"/>
  <c r="W1188" i="1" s="1"/>
  <c r="R1188" i="1"/>
  <c r="V1187" i="1"/>
  <c r="U1187" i="1"/>
  <c r="W1187" i="1" s="1"/>
  <c r="R1187" i="1"/>
  <c r="V1186" i="1"/>
  <c r="U1186" i="1"/>
  <c r="W1186" i="1" s="1"/>
  <c r="R1186" i="1"/>
  <c r="V1185" i="1"/>
  <c r="U1185" i="1"/>
  <c r="W1185" i="1" s="1"/>
  <c r="R1185" i="1"/>
  <c r="V1184" i="1"/>
  <c r="U1184" i="1"/>
  <c r="W1184" i="1" s="1"/>
  <c r="R1184" i="1"/>
  <c r="V1183" i="1"/>
  <c r="U1183" i="1"/>
  <c r="W1183" i="1" s="1"/>
  <c r="R1183" i="1"/>
  <c r="V1182" i="1"/>
  <c r="U1182" i="1"/>
  <c r="W1182" i="1" s="1"/>
  <c r="R1182" i="1"/>
  <c r="H1182" i="1"/>
  <c r="I1182" i="1"/>
  <c r="H1183" i="1"/>
  <c r="I1183" i="1"/>
  <c r="H1184" i="1"/>
  <c r="I1184" i="1"/>
  <c r="H1185" i="1"/>
  <c r="I1185" i="1"/>
  <c r="H1186" i="1"/>
  <c r="I1186" i="1"/>
  <c r="H1187" i="1"/>
  <c r="I1187" i="1"/>
  <c r="H1188" i="1"/>
  <c r="I1188" i="1"/>
  <c r="K1188" i="1"/>
  <c r="R1189" i="1"/>
  <c r="N1156" i="1"/>
  <c r="O1156" i="1"/>
  <c r="V1156" i="1"/>
  <c r="U1156" i="1"/>
  <c r="W1156" i="1" s="1"/>
  <c r="R1156" i="1"/>
  <c r="H1156" i="1"/>
  <c r="I1156" i="1"/>
  <c r="V1146" i="1"/>
  <c r="U1146" i="1"/>
  <c r="W1146" i="1" s="1"/>
  <c r="R1146" i="1"/>
  <c r="N1146" i="1"/>
  <c r="O1146" i="1"/>
  <c r="H1146" i="1"/>
  <c r="I1146" i="1"/>
  <c r="Q563" i="2"/>
  <c r="K1146" i="1" s="1"/>
  <c r="V1155" i="1"/>
  <c r="U1155" i="1"/>
  <c r="W1155" i="1" s="1"/>
  <c r="R1155" i="1"/>
  <c r="A1155" i="1" s="1"/>
  <c r="V1154" i="1"/>
  <c r="U1154" i="1"/>
  <c r="W1154" i="1" s="1"/>
  <c r="R1154" i="1"/>
  <c r="V1153" i="1"/>
  <c r="U1153" i="1"/>
  <c r="W1153" i="1" s="1"/>
  <c r="R1153" i="1"/>
  <c r="H1153" i="1"/>
  <c r="I1153" i="1"/>
  <c r="Q684" i="2"/>
  <c r="Q685" i="2"/>
  <c r="K1153" i="1" s="1"/>
  <c r="Q688" i="2"/>
  <c r="G488" i="2"/>
  <c r="W222" i="1"/>
  <c r="V222" i="1"/>
  <c r="R222" i="1"/>
  <c r="H221" i="1"/>
  <c r="I221" i="1"/>
  <c r="H222" i="1"/>
  <c r="I222" i="1"/>
  <c r="N222" i="1"/>
  <c r="O222" i="1"/>
  <c r="G668" i="2"/>
  <c r="G669" i="2"/>
  <c r="G670" i="2"/>
  <c r="G671" i="2"/>
  <c r="G672" i="2"/>
  <c r="G673" i="2"/>
  <c r="G674" i="2"/>
  <c r="K221" i="1" s="1"/>
  <c r="G675" i="2"/>
  <c r="K222" i="1" s="1"/>
  <c r="G678" i="2"/>
  <c r="V113" i="1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4" i="2"/>
  <c r="G565" i="2"/>
  <c r="G566" i="2"/>
  <c r="G567" i="2"/>
  <c r="G568" i="2"/>
  <c r="G569" i="2"/>
  <c r="G570" i="2"/>
  <c r="G571" i="2"/>
  <c r="G572" i="2"/>
  <c r="G573" i="2"/>
  <c r="H113" i="1"/>
  <c r="I113" i="1"/>
  <c r="K113" i="1"/>
  <c r="W113" i="1"/>
  <c r="R113" i="1"/>
  <c r="N113" i="1"/>
  <c r="O113" i="1"/>
  <c r="S1153" i="1" l="1"/>
  <c r="S1154" i="1"/>
  <c r="S1184" i="1"/>
  <c r="S1186" i="1"/>
  <c r="S1188" i="1"/>
  <c r="S622" i="1"/>
  <c r="S429" i="1"/>
  <c r="S1155" i="1"/>
  <c r="S1183" i="1"/>
  <c r="S1185" i="1"/>
  <c r="S582" i="1"/>
  <c r="S222" i="1"/>
  <c r="S113" i="1"/>
  <c r="S1182" i="1"/>
  <c r="S1187" i="1"/>
  <c r="S1181" i="1"/>
  <c r="S1146" i="1"/>
  <c r="S1156" i="1"/>
  <c r="Q17" i="2" l="1"/>
  <c r="Q18" i="2"/>
  <c r="Q19" i="2"/>
  <c r="Q20" i="2"/>
  <c r="Q21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K1162" i="1" s="1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K1163" i="1" s="1"/>
  <c r="Q120" i="2"/>
  <c r="K1164" i="1" s="1"/>
  <c r="Q121" i="2"/>
  <c r="K1165" i="1" s="1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K1167" i="1" s="1"/>
  <c r="Q138" i="2"/>
  <c r="Q139" i="2"/>
  <c r="Q140" i="2"/>
  <c r="Q141" i="2"/>
  <c r="Q142" i="2"/>
  <c r="Q143" i="2"/>
  <c r="Q144" i="2"/>
  <c r="Q145" i="2"/>
  <c r="Q146" i="2"/>
  <c r="Q147" i="2"/>
  <c r="K1181" i="1" s="1"/>
  <c r="Q148" i="2"/>
  <c r="Q149" i="2"/>
  <c r="Q150" i="2"/>
  <c r="Q151" i="2"/>
  <c r="K1182" i="1" s="1"/>
  <c r="Q157" i="2"/>
  <c r="Q158" i="2"/>
  <c r="Q160" i="2"/>
  <c r="Q161" i="2"/>
  <c r="Q162" i="2"/>
  <c r="Q163" i="2"/>
  <c r="Q164" i="2"/>
  <c r="K1184" i="1" s="1"/>
  <c r="Q165" i="2"/>
  <c r="Q166" i="2"/>
  <c r="Q167" i="2"/>
  <c r="Q168" i="2"/>
  <c r="Q169" i="2"/>
  <c r="Q170" i="2"/>
  <c r="Q171" i="2"/>
  <c r="K1185" i="1" s="1"/>
  <c r="Q172" i="2"/>
  <c r="Q173" i="2"/>
  <c r="Q174" i="2"/>
  <c r="K1186" i="1" s="1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K1187" i="1" s="1"/>
  <c r="Q194" i="2"/>
  <c r="Q195" i="2"/>
  <c r="Q196" i="2"/>
  <c r="Q198" i="2"/>
  <c r="Q199" i="2"/>
  <c r="Q200" i="2"/>
  <c r="Q201" i="2"/>
  <c r="Q202" i="2"/>
  <c r="Q203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K1173" i="1" s="1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K1174" i="1" s="1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30" i="2"/>
  <c r="Q431" i="2"/>
  <c r="Q432" i="2"/>
  <c r="Q433" i="2"/>
  <c r="Q434" i="2"/>
  <c r="Q435" i="2"/>
  <c r="Q436" i="2"/>
  <c r="Q437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K1140" i="1" s="1"/>
  <c r="Q465" i="2"/>
  <c r="K1141" i="1" s="1"/>
  <c r="Q466" i="2"/>
  <c r="Q467" i="2"/>
  <c r="Q468" i="2"/>
  <c r="Q469" i="2"/>
  <c r="Q470" i="2"/>
  <c r="Q471" i="2"/>
  <c r="Q472" i="2"/>
  <c r="Q473" i="2"/>
  <c r="Q474" i="2"/>
  <c r="Q476" i="2"/>
  <c r="Q477" i="2"/>
  <c r="Q478" i="2"/>
  <c r="K1142" i="1" s="1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K1143" i="1" s="1"/>
  <c r="Q552" i="2"/>
  <c r="K1144" i="1" s="1"/>
  <c r="Q553" i="2"/>
  <c r="Q554" i="2"/>
  <c r="Q555" i="2"/>
  <c r="K1145" i="1" s="1"/>
  <c r="Q556" i="2"/>
  <c r="Q557" i="2"/>
  <c r="Q558" i="2"/>
  <c r="Q559" i="2"/>
  <c r="Q560" i="2"/>
  <c r="Q561" i="2"/>
  <c r="V111" i="1" s="1"/>
  <c r="Q562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K1148" i="1" s="1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K1149" i="1" s="1"/>
  <c r="Q651" i="2"/>
  <c r="Q652" i="2"/>
  <c r="Q653" i="2"/>
  <c r="Q654" i="2"/>
  <c r="Q655" i="2"/>
  <c r="Q656" i="2"/>
  <c r="Q657" i="2"/>
  <c r="K1150" i="1" s="1"/>
  <c r="Q658" i="2"/>
  <c r="Q659" i="2"/>
  <c r="K1151" i="1" s="1"/>
  <c r="Q660" i="2"/>
  <c r="Q661" i="2"/>
  <c r="Q662" i="2"/>
  <c r="Q663" i="2"/>
  <c r="Q664" i="2"/>
  <c r="Q665" i="2"/>
  <c r="K1152" i="1" s="1"/>
  <c r="Q666" i="2"/>
  <c r="Q667" i="2"/>
  <c r="Q668" i="2"/>
  <c r="Q669" i="2"/>
  <c r="Q670" i="2"/>
  <c r="Q671" i="2"/>
  <c r="Q672" i="2"/>
  <c r="Q673" i="2"/>
  <c r="Q674" i="2"/>
  <c r="Q678" i="2"/>
  <c r="Q679" i="2"/>
  <c r="Q680" i="2"/>
  <c r="Q681" i="2"/>
  <c r="Q682" i="2"/>
  <c r="Q683" i="2"/>
  <c r="Q689" i="2"/>
  <c r="Q690" i="2"/>
  <c r="Q691" i="2"/>
  <c r="Q692" i="2"/>
  <c r="Q693" i="2"/>
  <c r="K1156" i="1" s="1"/>
  <c r="Q694" i="2"/>
  <c r="Q695" i="2"/>
  <c r="Q696" i="2"/>
  <c r="Q697" i="2"/>
  <c r="Q698" i="2"/>
  <c r="Q6" i="2"/>
  <c r="Q7" i="2"/>
  <c r="Q8" i="2"/>
  <c r="Q9" i="2"/>
  <c r="Q10" i="2"/>
  <c r="Q11" i="2"/>
  <c r="Q12" i="2"/>
  <c r="Q13" i="2"/>
  <c r="Q14" i="2"/>
  <c r="Q15" i="2"/>
  <c r="L7" i="2"/>
  <c r="L8" i="2"/>
  <c r="L9" i="2"/>
  <c r="L10" i="2"/>
  <c r="L11" i="2"/>
  <c r="L12" i="2"/>
  <c r="L13" i="2"/>
  <c r="L14" i="2"/>
  <c r="L15" i="2"/>
  <c r="L16" i="2"/>
  <c r="L17" i="2"/>
  <c r="K1107" i="1" s="1"/>
  <c r="L18" i="2"/>
  <c r="K1108" i="1" s="1"/>
  <c r="L19" i="2"/>
  <c r="K1109" i="1" s="1"/>
  <c r="L20" i="2"/>
  <c r="K1110" i="1" s="1"/>
  <c r="L21" i="2"/>
  <c r="K1111" i="1" s="1"/>
  <c r="L23" i="2"/>
  <c r="K1112" i="1" s="1"/>
  <c r="L24" i="2"/>
  <c r="K1113" i="1" s="1"/>
  <c r="L25" i="2"/>
  <c r="L26" i="2"/>
  <c r="K1115" i="1" s="1"/>
  <c r="L27" i="2"/>
  <c r="K1116" i="1" s="1"/>
  <c r="L28" i="2"/>
  <c r="K1117" i="1" s="1"/>
  <c r="L29" i="2"/>
  <c r="K1118" i="1" s="1"/>
  <c r="L30" i="2"/>
  <c r="K1119" i="1" s="1"/>
  <c r="L31" i="2"/>
  <c r="K1120" i="1" s="1"/>
  <c r="L32" i="2"/>
  <c r="K1121" i="1" s="1"/>
  <c r="L33" i="2"/>
  <c r="K1122" i="1" s="1"/>
  <c r="L34" i="2"/>
  <c r="K1123" i="1" s="1"/>
  <c r="L35" i="2"/>
  <c r="K1124" i="1" s="1"/>
  <c r="L36" i="2"/>
  <c r="K1125" i="1" s="1"/>
  <c r="L37" i="2"/>
  <c r="K1126" i="1" s="1"/>
  <c r="L38" i="2"/>
  <c r="K1127" i="1" s="1"/>
  <c r="L39" i="2"/>
  <c r="K1128" i="1" s="1"/>
  <c r="L40" i="2"/>
  <c r="K1129" i="1" s="1"/>
  <c r="L41" i="2"/>
  <c r="K1130" i="1" s="1"/>
  <c r="L42" i="2"/>
  <c r="K1131" i="1" s="1"/>
  <c r="L43" i="2"/>
  <c r="L44" i="2"/>
  <c r="K740" i="1" s="1"/>
  <c r="L45" i="2"/>
  <c r="K741" i="1" s="1"/>
  <c r="L46" i="2"/>
  <c r="K742" i="1" s="1"/>
  <c r="L47" i="2"/>
  <c r="K743" i="1" s="1"/>
  <c r="L48" i="2"/>
  <c r="K744" i="1" s="1"/>
  <c r="L49" i="2"/>
  <c r="K745" i="1" s="1"/>
  <c r="L50" i="2"/>
  <c r="K746" i="1" s="1"/>
  <c r="L51" i="2"/>
  <c r="K747" i="1" s="1"/>
  <c r="L52" i="2"/>
  <c r="K748" i="1" s="1"/>
  <c r="L53" i="2"/>
  <c r="K749" i="1" s="1"/>
  <c r="L54" i="2"/>
  <c r="K750" i="1" s="1"/>
  <c r="L55" i="2"/>
  <c r="K751" i="1" s="1"/>
  <c r="L56" i="2"/>
  <c r="K752" i="1" s="1"/>
  <c r="L57" i="2"/>
  <c r="K753" i="1" s="1"/>
  <c r="L58" i="2"/>
  <c r="K754" i="1" s="1"/>
  <c r="L59" i="2"/>
  <c r="K755" i="1" s="1"/>
  <c r="L60" i="2"/>
  <c r="K756" i="1" s="1"/>
  <c r="L61" i="2"/>
  <c r="K757" i="1" s="1"/>
  <c r="L62" i="2"/>
  <c r="K758" i="1" s="1"/>
  <c r="L63" i="2"/>
  <c r="K759" i="1" s="1"/>
  <c r="L64" i="2"/>
  <c r="K760" i="1" s="1"/>
  <c r="L65" i="2"/>
  <c r="K761" i="1" s="1"/>
  <c r="L66" i="2"/>
  <c r="K762" i="1" s="1"/>
  <c r="L67" i="2"/>
  <c r="K763" i="1" s="1"/>
  <c r="L68" i="2"/>
  <c r="K764" i="1" s="1"/>
  <c r="L69" i="2"/>
  <c r="L70" i="2"/>
  <c r="K766" i="1" s="1"/>
  <c r="L71" i="2"/>
  <c r="L72" i="2"/>
  <c r="K768" i="1" s="1"/>
  <c r="L73" i="2"/>
  <c r="L74" i="2"/>
  <c r="K770" i="1" s="1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K815" i="1" s="1"/>
  <c r="L121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K829" i="1" s="1"/>
  <c r="L135" i="2"/>
  <c r="L136" i="2"/>
  <c r="K831" i="1" s="1"/>
  <c r="L137" i="2"/>
  <c r="L138" i="2"/>
  <c r="L139" i="2"/>
  <c r="K834" i="1" s="1"/>
  <c r="L140" i="2"/>
  <c r="K835" i="1" s="1"/>
  <c r="L141" i="2"/>
  <c r="K836" i="1" s="1"/>
  <c r="L142" i="2"/>
  <c r="L143" i="2"/>
  <c r="K838" i="1" s="1"/>
  <c r="L144" i="2"/>
  <c r="K839" i="1" s="1"/>
  <c r="L145" i="2"/>
  <c r="L146" i="2"/>
  <c r="L147" i="2"/>
  <c r="K1048" i="1" s="1"/>
  <c r="L148" i="2"/>
  <c r="K1049" i="1" s="1"/>
  <c r="L149" i="2"/>
  <c r="K1050" i="1" s="1"/>
  <c r="L150" i="2"/>
  <c r="K1051" i="1" s="1"/>
  <c r="L151" i="2"/>
  <c r="K1052" i="1" s="1"/>
  <c r="L152" i="2"/>
  <c r="K1053" i="1" s="1"/>
  <c r="L153" i="2"/>
  <c r="K1054" i="1" s="1"/>
  <c r="L155" i="2"/>
  <c r="K1055" i="1" s="1"/>
  <c r="L156" i="2"/>
  <c r="K1056" i="1" s="1"/>
  <c r="L157" i="2"/>
  <c r="K1057" i="1" s="1"/>
  <c r="L158" i="2"/>
  <c r="K1058" i="1" s="1"/>
  <c r="L160" i="2"/>
  <c r="K1059" i="1" s="1"/>
  <c r="L161" i="2"/>
  <c r="K1060" i="1" s="1"/>
  <c r="L162" i="2"/>
  <c r="K1061" i="1" s="1"/>
  <c r="L163" i="2"/>
  <c r="K1062" i="1" s="1"/>
  <c r="L164" i="2"/>
  <c r="K1063" i="1" s="1"/>
  <c r="L165" i="2"/>
  <c r="K1064" i="1" s="1"/>
  <c r="L166" i="2"/>
  <c r="K1065" i="1" s="1"/>
  <c r="L167" i="2"/>
  <c r="K1066" i="1" s="1"/>
  <c r="L168" i="2"/>
  <c r="K1067" i="1" s="1"/>
  <c r="L169" i="2"/>
  <c r="K1068" i="1" s="1"/>
  <c r="L170" i="2"/>
  <c r="K1069" i="1" s="1"/>
  <c r="L171" i="2"/>
  <c r="K1070" i="1" s="1"/>
  <c r="L172" i="2"/>
  <c r="K1071" i="1" s="1"/>
  <c r="L173" i="2"/>
  <c r="K1072" i="1" s="1"/>
  <c r="L174" i="2"/>
  <c r="K1073" i="1" s="1"/>
  <c r="L175" i="2"/>
  <c r="K1074" i="1" s="1"/>
  <c r="L176" i="2"/>
  <c r="K1075" i="1" s="1"/>
  <c r="L177" i="2"/>
  <c r="K1076" i="1" s="1"/>
  <c r="L178" i="2"/>
  <c r="K1077" i="1" s="1"/>
  <c r="L179" i="2"/>
  <c r="K1078" i="1" s="1"/>
  <c r="L180" i="2"/>
  <c r="K1079" i="1" s="1"/>
  <c r="L181" i="2"/>
  <c r="K1080" i="1" s="1"/>
  <c r="L182" i="2"/>
  <c r="K1081" i="1" s="1"/>
  <c r="L183" i="2"/>
  <c r="K1082" i="1" s="1"/>
  <c r="L184" i="2"/>
  <c r="K1083" i="1" s="1"/>
  <c r="L185" i="2"/>
  <c r="K1084" i="1" s="1"/>
  <c r="L186" i="2"/>
  <c r="K1085" i="1" s="1"/>
  <c r="L187" i="2"/>
  <c r="K1086" i="1" s="1"/>
  <c r="L188" i="2"/>
  <c r="K1087" i="1" s="1"/>
  <c r="L189" i="2"/>
  <c r="K1088" i="1" s="1"/>
  <c r="L190" i="2"/>
  <c r="K1089" i="1" s="1"/>
  <c r="L191" i="2"/>
  <c r="K1090" i="1" s="1"/>
  <c r="L192" i="2"/>
  <c r="K1091" i="1" s="1"/>
  <c r="L193" i="2"/>
  <c r="K1092" i="1" s="1"/>
  <c r="L194" i="2"/>
  <c r="K1093" i="1" s="1"/>
  <c r="L195" i="2"/>
  <c r="K1094" i="1" s="1"/>
  <c r="L196" i="2"/>
  <c r="K1095" i="1" s="1"/>
  <c r="L198" i="2"/>
  <c r="K1096" i="1" s="1"/>
  <c r="L199" i="2"/>
  <c r="K1097" i="1" s="1"/>
  <c r="L200" i="2"/>
  <c r="K1098" i="1" s="1"/>
  <c r="L201" i="2"/>
  <c r="K1099" i="1" s="1"/>
  <c r="L202" i="2"/>
  <c r="K1100" i="1" s="1"/>
  <c r="L203" i="2"/>
  <c r="K1101" i="1" s="1"/>
  <c r="L205" i="2"/>
  <c r="L206" i="2"/>
  <c r="K846" i="1" s="1"/>
  <c r="L207" i="2"/>
  <c r="K847" i="1" s="1"/>
  <c r="L208" i="2"/>
  <c r="K848" i="1" s="1"/>
  <c r="L209" i="2"/>
  <c r="K849" i="1" s="1"/>
  <c r="L210" i="2"/>
  <c r="K850" i="1" s="1"/>
  <c r="L211" i="2"/>
  <c r="K851" i="1" s="1"/>
  <c r="L212" i="2"/>
  <c r="K852" i="1" s="1"/>
  <c r="L213" i="2"/>
  <c r="K853" i="1" s="1"/>
  <c r="L214" i="2"/>
  <c r="K854" i="1" s="1"/>
  <c r="L215" i="2"/>
  <c r="K855" i="1" s="1"/>
  <c r="L216" i="2"/>
  <c r="K856" i="1" s="1"/>
  <c r="L217" i="2"/>
  <c r="K857" i="1" s="1"/>
  <c r="L218" i="2"/>
  <c r="K858" i="1" s="1"/>
  <c r="L219" i="2"/>
  <c r="K859" i="1" s="1"/>
  <c r="L220" i="2"/>
  <c r="K860" i="1" s="1"/>
  <c r="L221" i="2"/>
  <c r="K861" i="1" s="1"/>
  <c r="L222" i="2"/>
  <c r="K862" i="1" s="1"/>
  <c r="L223" i="2"/>
  <c r="K863" i="1" s="1"/>
  <c r="L224" i="2"/>
  <c r="K864" i="1" s="1"/>
  <c r="L225" i="2"/>
  <c r="K865" i="1" s="1"/>
  <c r="L226" i="2"/>
  <c r="K866" i="1" s="1"/>
  <c r="L227" i="2"/>
  <c r="K867" i="1" s="1"/>
  <c r="L228" i="2"/>
  <c r="K868" i="1" s="1"/>
  <c r="L229" i="2"/>
  <c r="K869" i="1" s="1"/>
  <c r="L230" i="2"/>
  <c r="K870" i="1" s="1"/>
  <c r="L231" i="2"/>
  <c r="K871" i="1" s="1"/>
  <c r="L232" i="2"/>
  <c r="K872" i="1" s="1"/>
  <c r="L233" i="2"/>
  <c r="K873" i="1" s="1"/>
  <c r="L234" i="2"/>
  <c r="K874" i="1" s="1"/>
  <c r="L235" i="2"/>
  <c r="K875" i="1" s="1"/>
  <c r="L236" i="2"/>
  <c r="K876" i="1" s="1"/>
  <c r="L237" i="2"/>
  <c r="K877" i="1" s="1"/>
  <c r="L238" i="2"/>
  <c r="K878" i="1" s="1"/>
  <c r="L239" i="2"/>
  <c r="K879" i="1" s="1"/>
  <c r="L240" i="2"/>
  <c r="K880" i="1" s="1"/>
  <c r="L241" i="2"/>
  <c r="K881" i="1" s="1"/>
  <c r="L242" i="2"/>
  <c r="K882" i="1" s="1"/>
  <c r="L243" i="2"/>
  <c r="K883" i="1" s="1"/>
  <c r="L244" i="2"/>
  <c r="K884" i="1" s="1"/>
  <c r="L245" i="2"/>
  <c r="K885" i="1" s="1"/>
  <c r="L246" i="2"/>
  <c r="K886" i="1" s="1"/>
  <c r="L247" i="2"/>
  <c r="K887" i="1" s="1"/>
  <c r="L248" i="2"/>
  <c r="K888" i="1" s="1"/>
  <c r="L249" i="2"/>
  <c r="K889" i="1" s="1"/>
  <c r="L250" i="2"/>
  <c r="K890" i="1" s="1"/>
  <c r="L251" i="2"/>
  <c r="K891" i="1" s="1"/>
  <c r="L252" i="2"/>
  <c r="K892" i="1" s="1"/>
  <c r="L253" i="2"/>
  <c r="K893" i="1" s="1"/>
  <c r="L254" i="2"/>
  <c r="K894" i="1" s="1"/>
  <c r="L255" i="2"/>
  <c r="K895" i="1" s="1"/>
  <c r="L256" i="2"/>
  <c r="K896" i="1" s="1"/>
  <c r="L257" i="2"/>
  <c r="K897" i="1" s="1"/>
  <c r="L258" i="2"/>
  <c r="K898" i="1" s="1"/>
  <c r="L259" i="2"/>
  <c r="K899" i="1" s="1"/>
  <c r="L260" i="2"/>
  <c r="K900" i="1" s="1"/>
  <c r="L261" i="2"/>
  <c r="K901" i="1" s="1"/>
  <c r="L262" i="2"/>
  <c r="K902" i="1" s="1"/>
  <c r="L263" i="2"/>
  <c r="K903" i="1" s="1"/>
  <c r="L264" i="2"/>
  <c r="K904" i="1" s="1"/>
  <c r="L265" i="2"/>
  <c r="K905" i="1" s="1"/>
  <c r="L266" i="2"/>
  <c r="K906" i="1" s="1"/>
  <c r="L267" i="2"/>
  <c r="K907" i="1" s="1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K950" i="1" s="1"/>
  <c r="L311" i="2"/>
  <c r="K951" i="1" s="1"/>
  <c r="L312" i="2"/>
  <c r="K952" i="1" s="1"/>
  <c r="L313" i="2"/>
  <c r="K953" i="1" s="1"/>
  <c r="L314" i="2"/>
  <c r="K954" i="1" s="1"/>
  <c r="L315" i="2"/>
  <c r="K955" i="1" s="1"/>
  <c r="L316" i="2"/>
  <c r="L317" i="2"/>
  <c r="K956" i="1" s="1"/>
  <c r="L318" i="2"/>
  <c r="K957" i="1" s="1"/>
  <c r="L319" i="2"/>
  <c r="K958" i="1" s="1"/>
  <c r="L320" i="2"/>
  <c r="K959" i="1" s="1"/>
  <c r="L321" i="2"/>
  <c r="K960" i="1" s="1"/>
  <c r="L322" i="2"/>
  <c r="K961" i="1" s="1"/>
  <c r="L323" i="2"/>
  <c r="K962" i="1" s="1"/>
  <c r="L324" i="2"/>
  <c r="K963" i="1" s="1"/>
  <c r="L325" i="2"/>
  <c r="K964" i="1" s="1"/>
  <c r="L326" i="2"/>
  <c r="K965" i="1" s="1"/>
  <c r="L327" i="2"/>
  <c r="K966" i="1" s="1"/>
  <c r="L328" i="2"/>
  <c r="K967" i="1" s="1"/>
  <c r="L329" i="2"/>
  <c r="K968" i="1" s="1"/>
  <c r="L330" i="2"/>
  <c r="K969" i="1" s="1"/>
  <c r="L331" i="2"/>
  <c r="K970" i="1" s="1"/>
  <c r="L332" i="2"/>
  <c r="K971" i="1" s="1"/>
  <c r="L333" i="2"/>
  <c r="K972" i="1" s="1"/>
  <c r="L334" i="2"/>
  <c r="K973" i="1" s="1"/>
  <c r="L335" i="2"/>
  <c r="K974" i="1" s="1"/>
  <c r="L336" i="2"/>
  <c r="K975" i="1" s="1"/>
  <c r="L337" i="2"/>
  <c r="K976" i="1" s="1"/>
  <c r="L338" i="2"/>
  <c r="K977" i="1" s="1"/>
  <c r="L339" i="2"/>
  <c r="K978" i="1" s="1"/>
  <c r="L340" i="2"/>
  <c r="K979" i="1" s="1"/>
  <c r="L341" i="2"/>
  <c r="K980" i="1" s="1"/>
  <c r="L342" i="2"/>
  <c r="K981" i="1" s="1"/>
  <c r="L343" i="2"/>
  <c r="K982" i="1" s="1"/>
  <c r="L344" i="2"/>
  <c r="K983" i="1" s="1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2" i="2"/>
  <c r="L393" i="2"/>
  <c r="L394" i="2"/>
  <c r="L395" i="2"/>
  <c r="L396" i="2"/>
  <c r="L397" i="2"/>
  <c r="L398" i="2"/>
  <c r="L399" i="2"/>
  <c r="L400" i="2"/>
  <c r="K984" i="1" s="1"/>
  <c r="L401" i="2"/>
  <c r="K985" i="1" s="1"/>
  <c r="L402" i="2"/>
  <c r="K986" i="1" s="1"/>
  <c r="L403" i="2"/>
  <c r="K987" i="1" s="1"/>
  <c r="L404" i="2"/>
  <c r="K988" i="1" s="1"/>
  <c r="L405" i="2"/>
  <c r="K989" i="1" s="1"/>
  <c r="L406" i="2"/>
  <c r="K990" i="1" s="1"/>
  <c r="L407" i="2"/>
  <c r="K991" i="1" s="1"/>
  <c r="L408" i="2"/>
  <c r="K992" i="1" s="1"/>
  <c r="L409" i="2"/>
  <c r="K993" i="1" s="1"/>
  <c r="L410" i="2"/>
  <c r="K994" i="1" s="1"/>
  <c r="L411" i="2"/>
  <c r="K995" i="1" s="1"/>
  <c r="L412" i="2"/>
  <c r="K996" i="1" s="1"/>
  <c r="L413" i="2"/>
  <c r="K997" i="1" s="1"/>
  <c r="L414" i="2"/>
  <c r="K998" i="1" s="1"/>
  <c r="L415" i="2"/>
  <c r="K999" i="1" s="1"/>
  <c r="L416" i="2"/>
  <c r="K1000" i="1" s="1"/>
  <c r="L417" i="2"/>
  <c r="K1001" i="1" s="1"/>
  <c r="L418" i="2"/>
  <c r="K1002" i="1" s="1"/>
  <c r="L419" i="2"/>
  <c r="K1003" i="1" s="1"/>
  <c r="L420" i="2"/>
  <c r="K1004" i="1" s="1"/>
  <c r="L421" i="2"/>
  <c r="K1005" i="1" s="1"/>
  <c r="L422" i="2"/>
  <c r="K1006" i="1" s="1"/>
  <c r="L423" i="2"/>
  <c r="K1007" i="1" s="1"/>
  <c r="L424" i="2"/>
  <c r="K1008" i="1" s="1"/>
  <c r="L425" i="2"/>
  <c r="K1009" i="1" s="1"/>
  <c r="L426" i="2"/>
  <c r="K1010" i="1" s="1"/>
  <c r="L427" i="2"/>
  <c r="K1011" i="1" s="1"/>
  <c r="L428" i="2"/>
  <c r="K1012" i="1" s="1"/>
  <c r="L430" i="2"/>
  <c r="K1013" i="1" s="1"/>
  <c r="L431" i="2"/>
  <c r="K1014" i="1" s="1"/>
  <c r="L432" i="2"/>
  <c r="K1015" i="1" s="1"/>
  <c r="L433" i="2"/>
  <c r="K1016" i="1" s="1"/>
  <c r="L434" i="2"/>
  <c r="K1017" i="1" s="1"/>
  <c r="L435" i="2"/>
  <c r="K1018" i="1" s="1"/>
  <c r="L436" i="2"/>
  <c r="K1019" i="1" s="1"/>
  <c r="L437" i="2"/>
  <c r="K1020" i="1" s="1"/>
  <c r="L439" i="2"/>
  <c r="K1021" i="1" s="1"/>
  <c r="L440" i="2"/>
  <c r="K1022" i="1" s="1"/>
  <c r="L441" i="2"/>
  <c r="K1023" i="1" s="1"/>
  <c r="L442" i="2"/>
  <c r="K1024" i="1" s="1"/>
  <c r="L443" i="2"/>
  <c r="K1025" i="1" s="1"/>
  <c r="L444" i="2"/>
  <c r="K1026" i="1" s="1"/>
  <c r="L445" i="2"/>
  <c r="K1027" i="1" s="1"/>
  <c r="L446" i="2"/>
  <c r="K1028" i="1" s="1"/>
  <c r="L447" i="2"/>
  <c r="K1029" i="1" s="1"/>
  <c r="L448" i="2"/>
  <c r="K1030" i="1" s="1"/>
  <c r="L449" i="2"/>
  <c r="K1031" i="1" s="1"/>
  <c r="L450" i="2"/>
  <c r="K1032" i="1" s="1"/>
  <c r="L451" i="2"/>
  <c r="K1033" i="1" s="1"/>
  <c r="L452" i="2"/>
  <c r="K1034" i="1" s="1"/>
  <c r="L453" i="2"/>
  <c r="K1035" i="1" s="1"/>
  <c r="L454" i="2"/>
  <c r="K1036" i="1" s="1"/>
  <c r="L455" i="2"/>
  <c r="L456" i="2"/>
  <c r="K1037" i="1" s="1"/>
  <c r="L457" i="2"/>
  <c r="K1038" i="1" s="1"/>
  <c r="L458" i="2"/>
  <c r="K1039" i="1" s="1"/>
  <c r="L459" i="2"/>
  <c r="K1040" i="1" s="1"/>
  <c r="L460" i="2"/>
  <c r="K1041" i="1" s="1"/>
  <c r="L461" i="2"/>
  <c r="K1042" i="1" s="1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6" i="2"/>
  <c r="L667" i="2"/>
  <c r="L668" i="2"/>
  <c r="L669" i="2"/>
  <c r="L670" i="2"/>
  <c r="L671" i="2"/>
  <c r="L672" i="2"/>
  <c r="L673" i="2"/>
  <c r="L674" i="2"/>
  <c r="L678" i="2"/>
  <c r="L679" i="2"/>
  <c r="L680" i="2"/>
  <c r="L681" i="2"/>
  <c r="L682" i="2"/>
  <c r="L683" i="2"/>
  <c r="L684" i="2"/>
  <c r="L686" i="2"/>
  <c r="L688" i="2"/>
  <c r="L689" i="2"/>
  <c r="L690" i="2"/>
  <c r="L691" i="2"/>
  <c r="L692" i="2"/>
  <c r="L693" i="2"/>
  <c r="L694" i="2"/>
  <c r="L695" i="2"/>
  <c r="L696" i="2"/>
  <c r="L697" i="2"/>
  <c r="L698" i="2"/>
  <c r="K765" i="1"/>
  <c r="K767" i="1"/>
  <c r="K769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30" i="1"/>
  <c r="K832" i="1"/>
  <c r="K833" i="1"/>
  <c r="K837" i="1"/>
  <c r="K840" i="1"/>
  <c r="K734" i="1"/>
  <c r="G3" i="2"/>
  <c r="K703" i="1" s="1"/>
  <c r="G4" i="2"/>
  <c r="K704" i="1" s="1"/>
  <c r="G6" i="2"/>
  <c r="K705" i="1" s="1"/>
  <c r="G7" i="2"/>
  <c r="K707" i="1" s="1"/>
  <c r="G8" i="2"/>
  <c r="K708" i="1" s="1"/>
  <c r="G9" i="2"/>
  <c r="K709" i="1" s="1"/>
  <c r="G10" i="2"/>
  <c r="K710" i="1" s="1"/>
  <c r="G11" i="2"/>
  <c r="K711" i="1" s="1"/>
  <c r="G12" i="2"/>
  <c r="K712" i="1" s="1"/>
  <c r="G13" i="2"/>
  <c r="K713" i="1" s="1"/>
  <c r="G14" i="2"/>
  <c r="K714" i="1" s="1"/>
  <c r="G15" i="2"/>
  <c r="K715" i="1" s="1"/>
  <c r="G16" i="2"/>
  <c r="G17" i="2"/>
  <c r="K672" i="1" s="1"/>
  <c r="G18" i="2"/>
  <c r="K673" i="1" s="1"/>
  <c r="G19" i="2"/>
  <c r="K674" i="1" s="1"/>
  <c r="G20" i="2"/>
  <c r="K675" i="1" s="1"/>
  <c r="G21" i="2"/>
  <c r="K676" i="1" s="1"/>
  <c r="G23" i="2"/>
  <c r="K678" i="1" s="1"/>
  <c r="G24" i="2"/>
  <c r="K679" i="1" s="1"/>
  <c r="G25" i="2"/>
  <c r="K680" i="1" s="1"/>
  <c r="G26" i="2"/>
  <c r="K681" i="1" s="1"/>
  <c r="G27" i="2"/>
  <c r="K682" i="1" s="1"/>
  <c r="G28" i="2"/>
  <c r="K683" i="1" s="1"/>
  <c r="G29" i="2"/>
  <c r="K684" i="1" s="1"/>
  <c r="G30" i="2"/>
  <c r="K685" i="1" s="1"/>
  <c r="G31" i="2"/>
  <c r="K686" i="1" s="1"/>
  <c r="G32" i="2"/>
  <c r="K687" i="1" s="1"/>
  <c r="G33" i="2"/>
  <c r="K688" i="1" s="1"/>
  <c r="G34" i="2"/>
  <c r="K689" i="1" s="1"/>
  <c r="G35" i="2"/>
  <c r="K690" i="1" s="1"/>
  <c r="G36" i="2"/>
  <c r="K691" i="1" s="1"/>
  <c r="G37" i="2"/>
  <c r="K692" i="1" s="1"/>
  <c r="G38" i="2"/>
  <c r="K693" i="1" s="1"/>
  <c r="G39" i="2"/>
  <c r="K694" i="1" s="1"/>
  <c r="G40" i="2"/>
  <c r="K695" i="1" s="1"/>
  <c r="G41" i="2"/>
  <c r="K696" i="1" s="1"/>
  <c r="G42" i="2"/>
  <c r="K697" i="1" s="1"/>
  <c r="G43" i="2"/>
  <c r="G44" i="2"/>
  <c r="K504" i="1" s="1"/>
  <c r="G45" i="2"/>
  <c r="K505" i="1" s="1"/>
  <c r="G46" i="2"/>
  <c r="K506" i="1" s="1"/>
  <c r="G47" i="2"/>
  <c r="K507" i="1" s="1"/>
  <c r="G48" i="2"/>
  <c r="K508" i="1" s="1"/>
  <c r="G49" i="2"/>
  <c r="K509" i="1" s="1"/>
  <c r="G50" i="2"/>
  <c r="K510" i="1" s="1"/>
  <c r="G51" i="2"/>
  <c r="K511" i="1" s="1"/>
  <c r="G52" i="2"/>
  <c r="K512" i="1" s="1"/>
  <c r="G53" i="2"/>
  <c r="K513" i="1" s="1"/>
  <c r="G54" i="2"/>
  <c r="K514" i="1" s="1"/>
  <c r="G55" i="2"/>
  <c r="K515" i="1" s="1"/>
  <c r="G56" i="2"/>
  <c r="K516" i="1" s="1"/>
  <c r="G57" i="2"/>
  <c r="K517" i="1" s="1"/>
  <c r="G58" i="2"/>
  <c r="K518" i="1" s="1"/>
  <c r="G59" i="2"/>
  <c r="K519" i="1" s="1"/>
  <c r="G60" i="2"/>
  <c r="K520" i="1" s="1"/>
  <c r="G61" i="2"/>
  <c r="K521" i="1" s="1"/>
  <c r="G62" i="2"/>
  <c r="K522" i="1" s="1"/>
  <c r="G63" i="2"/>
  <c r="K523" i="1" s="1"/>
  <c r="G64" i="2"/>
  <c r="K524" i="1" s="1"/>
  <c r="G65" i="2"/>
  <c r="K525" i="1" s="1"/>
  <c r="G66" i="2"/>
  <c r="K526" i="1" s="1"/>
  <c r="G67" i="2"/>
  <c r="K527" i="1" s="1"/>
  <c r="G68" i="2"/>
  <c r="K528" i="1" s="1"/>
  <c r="G69" i="2"/>
  <c r="K529" i="1" s="1"/>
  <c r="G70" i="2"/>
  <c r="K530" i="1" s="1"/>
  <c r="G71" i="2"/>
  <c r="K531" i="1" s="1"/>
  <c r="G72" i="2"/>
  <c r="K532" i="1" s="1"/>
  <c r="G73" i="2"/>
  <c r="K533" i="1" s="1"/>
  <c r="G74" i="2"/>
  <c r="K534" i="1" s="1"/>
  <c r="G75" i="2"/>
  <c r="K535" i="1" s="1"/>
  <c r="G76" i="2"/>
  <c r="K536" i="1" s="1"/>
  <c r="G77" i="2"/>
  <c r="K537" i="1" s="1"/>
  <c r="G78" i="2"/>
  <c r="K538" i="1" s="1"/>
  <c r="G79" i="2"/>
  <c r="K539" i="1" s="1"/>
  <c r="G80" i="2"/>
  <c r="K540" i="1" s="1"/>
  <c r="G81" i="2"/>
  <c r="K541" i="1" s="1"/>
  <c r="G82" i="2"/>
  <c r="K542" i="1" s="1"/>
  <c r="G83" i="2"/>
  <c r="K543" i="1" s="1"/>
  <c r="G84" i="2"/>
  <c r="K544" i="1" s="1"/>
  <c r="G85" i="2"/>
  <c r="K545" i="1" s="1"/>
  <c r="G86" i="2"/>
  <c r="K546" i="1" s="1"/>
  <c r="G87" i="2"/>
  <c r="K547" i="1" s="1"/>
  <c r="G88" i="2"/>
  <c r="K548" i="1" s="1"/>
  <c r="G89" i="2"/>
  <c r="K549" i="1" s="1"/>
  <c r="G90" i="2"/>
  <c r="K550" i="1" s="1"/>
  <c r="G91" i="2"/>
  <c r="K551" i="1" s="1"/>
  <c r="G92" i="2"/>
  <c r="K552" i="1" s="1"/>
  <c r="G93" i="2"/>
  <c r="K553" i="1" s="1"/>
  <c r="G94" i="2"/>
  <c r="K554" i="1" s="1"/>
  <c r="G95" i="2"/>
  <c r="K555" i="1" s="1"/>
  <c r="G96" i="2"/>
  <c r="K556" i="1" s="1"/>
  <c r="G97" i="2"/>
  <c r="K557" i="1" s="1"/>
  <c r="G98" i="2"/>
  <c r="K558" i="1" s="1"/>
  <c r="G99" i="2"/>
  <c r="K559" i="1" s="1"/>
  <c r="G100" i="2"/>
  <c r="K560" i="1" s="1"/>
  <c r="G101" i="2"/>
  <c r="K561" i="1" s="1"/>
  <c r="G102" i="2"/>
  <c r="K562" i="1" s="1"/>
  <c r="G103" i="2"/>
  <c r="K563" i="1" s="1"/>
  <c r="G104" i="2"/>
  <c r="K564" i="1" s="1"/>
  <c r="G105" i="2"/>
  <c r="K565" i="1" s="1"/>
  <c r="G106" i="2"/>
  <c r="K566" i="1" s="1"/>
  <c r="G107" i="2"/>
  <c r="K567" i="1" s="1"/>
  <c r="K568" i="1"/>
  <c r="G109" i="2"/>
  <c r="K569" i="1" s="1"/>
  <c r="G110" i="2"/>
  <c r="K570" i="1" s="1"/>
  <c r="G111" i="2"/>
  <c r="K571" i="1" s="1"/>
  <c r="G112" i="2"/>
  <c r="K572" i="1" s="1"/>
  <c r="G113" i="2"/>
  <c r="K573" i="1" s="1"/>
  <c r="G114" i="2"/>
  <c r="K574" i="1" s="1"/>
  <c r="G115" i="2"/>
  <c r="K575" i="1" s="1"/>
  <c r="G116" i="2"/>
  <c r="K576" i="1" s="1"/>
  <c r="G117" i="2"/>
  <c r="K577" i="1" s="1"/>
  <c r="G118" i="2"/>
  <c r="K578" i="1" s="1"/>
  <c r="G119" i="2"/>
  <c r="K579" i="1" s="1"/>
  <c r="G120" i="2"/>
  <c r="K580" i="1" s="1"/>
  <c r="K581" i="1"/>
  <c r="K583" i="1"/>
  <c r="G124" i="2"/>
  <c r="K584" i="1" s="1"/>
  <c r="G125" i="2"/>
  <c r="K585" i="1" s="1"/>
  <c r="G126" i="2"/>
  <c r="K586" i="1" s="1"/>
  <c r="G127" i="2"/>
  <c r="K587" i="1" s="1"/>
  <c r="G128" i="2"/>
  <c r="K588" i="1" s="1"/>
  <c r="G129" i="2"/>
  <c r="K589" i="1" s="1"/>
  <c r="G130" i="2"/>
  <c r="K590" i="1" s="1"/>
  <c r="G131" i="2"/>
  <c r="K591" i="1" s="1"/>
  <c r="G132" i="2"/>
  <c r="K592" i="1" s="1"/>
  <c r="G133" i="2"/>
  <c r="K593" i="1" s="1"/>
  <c r="G134" i="2"/>
  <c r="K594" i="1" s="1"/>
  <c r="G135" i="2"/>
  <c r="K595" i="1" s="1"/>
  <c r="G136" i="2"/>
  <c r="K596" i="1" s="1"/>
  <c r="G137" i="2"/>
  <c r="K597" i="1" s="1"/>
  <c r="G138" i="2"/>
  <c r="K598" i="1" s="1"/>
  <c r="G139" i="2"/>
  <c r="K599" i="1" s="1"/>
  <c r="G140" i="2"/>
  <c r="K600" i="1" s="1"/>
  <c r="G141" i="2"/>
  <c r="K601" i="1" s="1"/>
  <c r="G142" i="2"/>
  <c r="K602" i="1" s="1"/>
  <c r="G143" i="2"/>
  <c r="K603" i="1" s="1"/>
  <c r="G144" i="2"/>
  <c r="K604" i="1" s="1"/>
  <c r="G145" i="2"/>
  <c r="K605" i="1" s="1"/>
  <c r="G146" i="2"/>
  <c r="G147" i="2"/>
  <c r="K611" i="1" s="1"/>
  <c r="G148" i="2"/>
  <c r="K612" i="1" s="1"/>
  <c r="G149" i="2"/>
  <c r="K613" i="1" s="1"/>
  <c r="G150" i="2"/>
  <c r="K614" i="1" s="1"/>
  <c r="G151" i="2"/>
  <c r="K615" i="1" s="1"/>
  <c r="G152" i="2"/>
  <c r="K616" i="1" s="1"/>
  <c r="G153" i="2"/>
  <c r="K617" i="1" s="1"/>
  <c r="G155" i="2"/>
  <c r="K618" i="1" s="1"/>
  <c r="G156" i="2"/>
  <c r="K619" i="1" s="1"/>
  <c r="G157" i="2"/>
  <c r="K620" i="1" s="1"/>
  <c r="G158" i="2"/>
  <c r="K621" i="1" s="1"/>
  <c r="G160" i="2"/>
  <c r="K623" i="1" s="1"/>
  <c r="G161" i="2"/>
  <c r="K624" i="1" s="1"/>
  <c r="G162" i="2"/>
  <c r="K625" i="1" s="1"/>
  <c r="G163" i="2"/>
  <c r="K626" i="1" s="1"/>
  <c r="G164" i="2"/>
  <c r="K627" i="1" s="1"/>
  <c r="G165" i="2"/>
  <c r="K628" i="1" s="1"/>
  <c r="G166" i="2"/>
  <c r="K629" i="1" s="1"/>
  <c r="G167" i="2"/>
  <c r="K630" i="1" s="1"/>
  <c r="G168" i="2"/>
  <c r="K631" i="1" s="1"/>
  <c r="G169" i="2"/>
  <c r="K632" i="1" s="1"/>
  <c r="G170" i="2"/>
  <c r="K633" i="1" s="1"/>
  <c r="G171" i="2"/>
  <c r="K634" i="1" s="1"/>
  <c r="G172" i="2"/>
  <c r="K635" i="1" s="1"/>
  <c r="G173" i="2"/>
  <c r="K636" i="1" s="1"/>
  <c r="G174" i="2"/>
  <c r="K637" i="1" s="1"/>
  <c r="G175" i="2"/>
  <c r="K638" i="1" s="1"/>
  <c r="G176" i="2"/>
  <c r="K639" i="1" s="1"/>
  <c r="G177" i="2"/>
  <c r="K640" i="1" s="1"/>
  <c r="G178" i="2"/>
  <c r="K641" i="1" s="1"/>
  <c r="G179" i="2"/>
  <c r="K642" i="1" s="1"/>
  <c r="G180" i="2"/>
  <c r="K643" i="1" s="1"/>
  <c r="G181" i="2"/>
  <c r="K644" i="1" s="1"/>
  <c r="G182" i="2"/>
  <c r="K645" i="1" s="1"/>
  <c r="G183" i="2"/>
  <c r="K646" i="1" s="1"/>
  <c r="G184" i="2"/>
  <c r="K647" i="1" s="1"/>
  <c r="G185" i="2"/>
  <c r="K648" i="1" s="1"/>
  <c r="G186" i="2"/>
  <c r="K649" i="1" s="1"/>
  <c r="G187" i="2"/>
  <c r="K650" i="1" s="1"/>
  <c r="G188" i="2"/>
  <c r="K651" i="1" s="1"/>
  <c r="G189" i="2"/>
  <c r="K652" i="1" s="1"/>
  <c r="G190" i="2"/>
  <c r="K653" i="1" s="1"/>
  <c r="G191" i="2"/>
  <c r="K654" i="1" s="1"/>
  <c r="G192" i="2"/>
  <c r="K655" i="1" s="1"/>
  <c r="G193" i="2"/>
  <c r="K656" i="1" s="1"/>
  <c r="G194" i="2"/>
  <c r="K657" i="1" s="1"/>
  <c r="G195" i="2"/>
  <c r="K658" i="1" s="1"/>
  <c r="K659" i="1"/>
  <c r="K661" i="1"/>
  <c r="K662" i="1"/>
  <c r="G200" i="2"/>
  <c r="K663" i="1" s="1"/>
  <c r="G201" i="2"/>
  <c r="K664" i="1" s="1"/>
  <c r="G202" i="2"/>
  <c r="K665" i="1" s="1"/>
  <c r="G203" i="2"/>
  <c r="K666" i="1" s="1"/>
  <c r="G205" i="2"/>
  <c r="G206" i="2"/>
  <c r="K247" i="1" s="1"/>
  <c r="G207" i="2"/>
  <c r="K248" i="1" s="1"/>
  <c r="G208" i="2"/>
  <c r="K249" i="1" s="1"/>
  <c r="G209" i="2"/>
  <c r="K250" i="1" s="1"/>
  <c r="G210" i="2"/>
  <c r="K251" i="1" s="1"/>
  <c r="G211" i="2"/>
  <c r="K252" i="1" s="1"/>
  <c r="G212" i="2"/>
  <c r="K253" i="1" s="1"/>
  <c r="G213" i="2"/>
  <c r="K254" i="1" s="1"/>
  <c r="G214" i="2"/>
  <c r="K255" i="1" s="1"/>
  <c r="G215" i="2"/>
  <c r="K256" i="1" s="1"/>
  <c r="G216" i="2"/>
  <c r="K257" i="1" s="1"/>
  <c r="G217" i="2"/>
  <c r="K258" i="1" s="1"/>
  <c r="G218" i="2"/>
  <c r="K259" i="1" s="1"/>
  <c r="G219" i="2"/>
  <c r="K260" i="1" s="1"/>
  <c r="G220" i="2"/>
  <c r="K261" i="1" s="1"/>
  <c r="G221" i="2"/>
  <c r="K262" i="1" s="1"/>
  <c r="G222" i="2"/>
  <c r="K263" i="1" s="1"/>
  <c r="G223" i="2"/>
  <c r="K264" i="1" s="1"/>
  <c r="G224" i="2"/>
  <c r="K265" i="1" s="1"/>
  <c r="G225" i="2"/>
  <c r="K266" i="1" s="1"/>
  <c r="G226" i="2"/>
  <c r="K267" i="1" s="1"/>
  <c r="G227" i="2"/>
  <c r="K268" i="1" s="1"/>
  <c r="G228" i="2"/>
  <c r="K269" i="1" s="1"/>
  <c r="G229" i="2"/>
  <c r="K270" i="1" s="1"/>
  <c r="G230" i="2"/>
  <c r="K271" i="1" s="1"/>
  <c r="G231" i="2"/>
  <c r="K272" i="1" s="1"/>
  <c r="G232" i="2"/>
  <c r="K273" i="1" s="1"/>
  <c r="G233" i="2"/>
  <c r="K274" i="1" s="1"/>
  <c r="G234" i="2"/>
  <c r="K275" i="1" s="1"/>
  <c r="G235" i="2"/>
  <c r="K276" i="1" s="1"/>
  <c r="G236" i="2"/>
  <c r="K277" i="1" s="1"/>
  <c r="G237" i="2"/>
  <c r="K278" i="1" s="1"/>
  <c r="G238" i="2"/>
  <c r="K279" i="1" s="1"/>
  <c r="G239" i="2"/>
  <c r="K280" i="1" s="1"/>
  <c r="G240" i="2"/>
  <c r="K281" i="1" s="1"/>
  <c r="G241" i="2"/>
  <c r="K282" i="1" s="1"/>
  <c r="G242" i="2"/>
  <c r="K283" i="1" s="1"/>
  <c r="G243" i="2"/>
  <c r="K284" i="1" s="1"/>
  <c r="G244" i="2"/>
  <c r="K285" i="1" s="1"/>
  <c r="G245" i="2"/>
  <c r="K286" i="1" s="1"/>
  <c r="G246" i="2"/>
  <c r="K287" i="1" s="1"/>
  <c r="G247" i="2"/>
  <c r="K288" i="1" s="1"/>
  <c r="G248" i="2"/>
  <c r="K289" i="1" s="1"/>
  <c r="G249" i="2"/>
  <c r="K290" i="1" s="1"/>
  <c r="G250" i="2"/>
  <c r="K291" i="1" s="1"/>
  <c r="G251" i="2"/>
  <c r="K292" i="1" s="1"/>
  <c r="G252" i="2"/>
  <c r="K293" i="1" s="1"/>
  <c r="G253" i="2"/>
  <c r="K294" i="1" s="1"/>
  <c r="G254" i="2"/>
  <c r="K295" i="1" s="1"/>
  <c r="G255" i="2"/>
  <c r="K296" i="1" s="1"/>
  <c r="G256" i="2"/>
  <c r="G257" i="2"/>
  <c r="K297" i="1" s="1"/>
  <c r="G258" i="2"/>
  <c r="K298" i="1" s="1"/>
  <c r="G259" i="2"/>
  <c r="K299" i="1" s="1"/>
  <c r="G260" i="2"/>
  <c r="K300" i="1" s="1"/>
  <c r="G261" i="2"/>
  <c r="K301" i="1" s="1"/>
  <c r="G262" i="2"/>
  <c r="K302" i="1" s="1"/>
  <c r="G263" i="2"/>
  <c r="K303" i="1" s="1"/>
  <c r="G264" i="2"/>
  <c r="K304" i="1" s="1"/>
  <c r="G265" i="2"/>
  <c r="K305" i="1" s="1"/>
  <c r="G266" i="2"/>
  <c r="K306" i="1" s="1"/>
  <c r="G267" i="2"/>
  <c r="K307" i="1" s="1"/>
  <c r="G268" i="2"/>
  <c r="K308" i="1" s="1"/>
  <c r="G269" i="2"/>
  <c r="K309" i="1" s="1"/>
  <c r="G270" i="2"/>
  <c r="K310" i="1" s="1"/>
  <c r="G271" i="2"/>
  <c r="K311" i="1" s="1"/>
  <c r="G272" i="2"/>
  <c r="K312" i="1" s="1"/>
  <c r="G273" i="2"/>
  <c r="K313" i="1" s="1"/>
  <c r="G274" i="2"/>
  <c r="K314" i="1" s="1"/>
  <c r="G275" i="2"/>
  <c r="K315" i="1" s="1"/>
  <c r="G276" i="2"/>
  <c r="K316" i="1" s="1"/>
  <c r="G277" i="2"/>
  <c r="K317" i="1" s="1"/>
  <c r="G278" i="2"/>
  <c r="K318" i="1" s="1"/>
  <c r="G279" i="2"/>
  <c r="K319" i="1" s="1"/>
  <c r="G280" i="2"/>
  <c r="K320" i="1" s="1"/>
  <c r="G281" i="2"/>
  <c r="K321" i="1" s="1"/>
  <c r="G282" i="2"/>
  <c r="G283" i="2"/>
  <c r="K322" i="1" s="1"/>
  <c r="G284" i="2"/>
  <c r="K323" i="1" s="1"/>
  <c r="G285" i="2"/>
  <c r="K324" i="1" s="1"/>
  <c r="G286" i="2"/>
  <c r="K325" i="1" s="1"/>
  <c r="G287" i="2"/>
  <c r="K326" i="1" s="1"/>
  <c r="G288" i="2"/>
  <c r="K327" i="1" s="1"/>
  <c r="G289" i="2"/>
  <c r="K328" i="1" s="1"/>
  <c r="G290" i="2"/>
  <c r="K329" i="1" s="1"/>
  <c r="G291" i="2"/>
  <c r="K330" i="1" s="1"/>
  <c r="G292" i="2"/>
  <c r="K331" i="1" s="1"/>
  <c r="G293" i="2"/>
  <c r="K332" i="1" s="1"/>
  <c r="G294" i="2"/>
  <c r="K333" i="1" s="1"/>
  <c r="G295" i="2"/>
  <c r="K334" i="1" s="1"/>
  <c r="G296" i="2"/>
  <c r="K335" i="1" s="1"/>
  <c r="G297" i="2"/>
  <c r="K336" i="1" s="1"/>
  <c r="G298" i="2"/>
  <c r="K337" i="1" s="1"/>
  <c r="G299" i="2"/>
  <c r="K338" i="1" s="1"/>
  <c r="G300" i="2"/>
  <c r="K339" i="1" s="1"/>
  <c r="G301" i="2"/>
  <c r="K340" i="1" s="1"/>
  <c r="G302" i="2"/>
  <c r="K341" i="1" s="1"/>
  <c r="G303" i="2"/>
  <c r="K342" i="1" s="1"/>
  <c r="G304" i="2"/>
  <c r="K343" i="1" s="1"/>
  <c r="G305" i="2"/>
  <c r="K344" i="1" s="1"/>
  <c r="G306" i="2"/>
  <c r="K345" i="1" s="1"/>
  <c r="G307" i="2"/>
  <c r="K346" i="1" s="1"/>
  <c r="G308" i="2"/>
  <c r="G309" i="2"/>
  <c r="K347" i="1" s="1"/>
  <c r="G310" i="2"/>
  <c r="K348" i="1" s="1"/>
  <c r="G311" i="2"/>
  <c r="K349" i="1" s="1"/>
  <c r="G312" i="2"/>
  <c r="K350" i="1" s="1"/>
  <c r="G313" i="2"/>
  <c r="K351" i="1" s="1"/>
  <c r="G314" i="2"/>
  <c r="K352" i="1" s="1"/>
  <c r="G315" i="2"/>
  <c r="G316" i="2"/>
  <c r="G317" i="2"/>
  <c r="K355" i="1" s="1"/>
  <c r="G318" i="2"/>
  <c r="K356" i="1" s="1"/>
  <c r="G319" i="2"/>
  <c r="K357" i="1" s="1"/>
  <c r="G320" i="2"/>
  <c r="K358" i="1" s="1"/>
  <c r="G321" i="2"/>
  <c r="K359" i="1" s="1"/>
  <c r="G322" i="2"/>
  <c r="K360" i="1" s="1"/>
  <c r="G323" i="2"/>
  <c r="K361" i="1" s="1"/>
  <c r="G324" i="2"/>
  <c r="K362" i="1" s="1"/>
  <c r="G325" i="2"/>
  <c r="K363" i="1" s="1"/>
  <c r="G326" i="2"/>
  <c r="K364" i="1" s="1"/>
  <c r="G327" i="2"/>
  <c r="K365" i="1" s="1"/>
  <c r="G328" i="2"/>
  <c r="K366" i="1" s="1"/>
  <c r="G329" i="2"/>
  <c r="K367" i="1" s="1"/>
  <c r="G330" i="2"/>
  <c r="K368" i="1" s="1"/>
  <c r="G331" i="2"/>
  <c r="K369" i="1" s="1"/>
  <c r="G332" i="2"/>
  <c r="K370" i="1" s="1"/>
  <c r="G333" i="2"/>
  <c r="K371" i="1" s="1"/>
  <c r="G334" i="2"/>
  <c r="K372" i="1" s="1"/>
  <c r="G335" i="2"/>
  <c r="K373" i="1" s="1"/>
  <c r="G336" i="2"/>
  <c r="K374" i="1" s="1"/>
  <c r="G337" i="2"/>
  <c r="K375" i="1" s="1"/>
  <c r="G338" i="2"/>
  <c r="K376" i="1" s="1"/>
  <c r="G339" i="2"/>
  <c r="K377" i="1" s="1"/>
  <c r="G340" i="2"/>
  <c r="K378" i="1" s="1"/>
  <c r="G341" i="2"/>
  <c r="K379" i="1" s="1"/>
  <c r="G342" i="2"/>
  <c r="K380" i="1" s="1"/>
  <c r="G343" i="2"/>
  <c r="K381" i="1" s="1"/>
  <c r="G344" i="2"/>
  <c r="K382" i="1" s="1"/>
  <c r="G345" i="2"/>
  <c r="K383" i="1" s="1"/>
  <c r="G346" i="2"/>
  <c r="K384" i="1" s="1"/>
  <c r="G347" i="2"/>
  <c r="K385" i="1" s="1"/>
  <c r="G348" i="2"/>
  <c r="K386" i="1" s="1"/>
  <c r="G349" i="2"/>
  <c r="K387" i="1" s="1"/>
  <c r="G350" i="2"/>
  <c r="K388" i="1" s="1"/>
  <c r="G351" i="2"/>
  <c r="K389" i="1" s="1"/>
  <c r="G352" i="2"/>
  <c r="K390" i="1" s="1"/>
  <c r="G353" i="2"/>
  <c r="K391" i="1" s="1"/>
  <c r="G354" i="2"/>
  <c r="K392" i="1" s="1"/>
  <c r="G355" i="2"/>
  <c r="K393" i="1" s="1"/>
  <c r="G356" i="2"/>
  <c r="K394" i="1" s="1"/>
  <c r="G357" i="2"/>
  <c r="K395" i="1" s="1"/>
  <c r="G358" i="2"/>
  <c r="K396" i="1" s="1"/>
  <c r="G359" i="2"/>
  <c r="K397" i="1" s="1"/>
  <c r="G360" i="2"/>
  <c r="K398" i="1" s="1"/>
  <c r="G361" i="2"/>
  <c r="K399" i="1" s="1"/>
  <c r="G362" i="2"/>
  <c r="K400" i="1" s="1"/>
  <c r="G363" i="2"/>
  <c r="K401" i="1" s="1"/>
  <c r="G364" i="2"/>
  <c r="K402" i="1" s="1"/>
  <c r="G365" i="2"/>
  <c r="K403" i="1" s="1"/>
  <c r="G366" i="2"/>
  <c r="K404" i="1" s="1"/>
  <c r="G367" i="2"/>
  <c r="K405" i="1" s="1"/>
  <c r="G369" i="2"/>
  <c r="K407" i="1" s="1"/>
  <c r="G370" i="2"/>
  <c r="K408" i="1" s="1"/>
  <c r="G371" i="2"/>
  <c r="K409" i="1" s="1"/>
  <c r="G372" i="2"/>
  <c r="K410" i="1" s="1"/>
  <c r="G373" i="2"/>
  <c r="K411" i="1" s="1"/>
  <c r="G374" i="2"/>
  <c r="K412" i="1" s="1"/>
  <c r="G375" i="2"/>
  <c r="K413" i="1" s="1"/>
  <c r="G376" i="2"/>
  <c r="K414" i="1" s="1"/>
  <c r="G377" i="2"/>
  <c r="K415" i="1" s="1"/>
  <c r="G378" i="2"/>
  <c r="K416" i="1" s="1"/>
  <c r="G379" i="2"/>
  <c r="K417" i="1" s="1"/>
  <c r="G380" i="2"/>
  <c r="G381" i="2"/>
  <c r="G382" i="2"/>
  <c r="K420" i="1" s="1"/>
  <c r="G383" i="2"/>
  <c r="K421" i="1" s="1"/>
  <c r="G384" i="2"/>
  <c r="K422" i="1" s="1"/>
  <c r="G385" i="2"/>
  <c r="K423" i="1" s="1"/>
  <c r="G386" i="2"/>
  <c r="K424" i="1" s="1"/>
  <c r="G387" i="2"/>
  <c r="K425" i="1" s="1"/>
  <c r="G388" i="2"/>
  <c r="K426" i="1" s="1"/>
  <c r="G389" i="2"/>
  <c r="K427" i="1" s="1"/>
  <c r="G390" i="2"/>
  <c r="K428" i="1" s="1"/>
  <c r="G392" i="2"/>
  <c r="K430" i="1" s="1"/>
  <c r="G393" i="2"/>
  <c r="K431" i="1" s="1"/>
  <c r="G394" i="2"/>
  <c r="K432" i="1" s="1"/>
  <c r="G395" i="2"/>
  <c r="K433" i="1" s="1"/>
  <c r="G396" i="2"/>
  <c r="K434" i="1" s="1"/>
  <c r="G397" i="2"/>
  <c r="K435" i="1" s="1"/>
  <c r="G398" i="2"/>
  <c r="K436" i="1" s="1"/>
  <c r="G399" i="2"/>
  <c r="K437" i="1" s="1"/>
  <c r="G400" i="2"/>
  <c r="K438" i="1" s="1"/>
  <c r="G401" i="2"/>
  <c r="K439" i="1" s="1"/>
  <c r="G402" i="2"/>
  <c r="K440" i="1" s="1"/>
  <c r="G403" i="2"/>
  <c r="K441" i="1" s="1"/>
  <c r="G404" i="2"/>
  <c r="K442" i="1" s="1"/>
  <c r="G405" i="2"/>
  <c r="K443" i="1" s="1"/>
  <c r="G406" i="2"/>
  <c r="K444" i="1" s="1"/>
  <c r="G407" i="2"/>
  <c r="K445" i="1" s="1"/>
  <c r="G408" i="2"/>
  <c r="K446" i="1" s="1"/>
  <c r="G409" i="2"/>
  <c r="K447" i="1" s="1"/>
  <c r="G410" i="2"/>
  <c r="K448" i="1" s="1"/>
  <c r="G411" i="2"/>
  <c r="K449" i="1" s="1"/>
  <c r="G412" i="2"/>
  <c r="K450" i="1" s="1"/>
  <c r="G413" i="2"/>
  <c r="K451" i="1" s="1"/>
  <c r="G414" i="2"/>
  <c r="K452" i="1" s="1"/>
  <c r="G415" i="2"/>
  <c r="K453" i="1" s="1"/>
  <c r="G416" i="2"/>
  <c r="K454" i="1" s="1"/>
  <c r="G417" i="2"/>
  <c r="K455" i="1" s="1"/>
  <c r="G418" i="2"/>
  <c r="K456" i="1" s="1"/>
  <c r="G419" i="2"/>
  <c r="K457" i="1" s="1"/>
  <c r="G420" i="2"/>
  <c r="K458" i="1" s="1"/>
  <c r="G421" i="2"/>
  <c r="K459" i="1" s="1"/>
  <c r="G422" i="2"/>
  <c r="K460" i="1" s="1"/>
  <c r="G423" i="2"/>
  <c r="K461" i="1" s="1"/>
  <c r="G424" i="2"/>
  <c r="K462" i="1" s="1"/>
  <c r="G425" i="2"/>
  <c r="K463" i="1" s="1"/>
  <c r="G426" i="2"/>
  <c r="K464" i="1" s="1"/>
  <c r="G427" i="2"/>
  <c r="K465" i="1" s="1"/>
  <c r="G428" i="2"/>
  <c r="K466" i="1" s="1"/>
  <c r="G430" i="2"/>
  <c r="K468" i="1" s="1"/>
  <c r="G431" i="2"/>
  <c r="K469" i="1" s="1"/>
  <c r="G432" i="2"/>
  <c r="K470" i="1" s="1"/>
  <c r="G433" i="2"/>
  <c r="K471" i="1" s="1"/>
  <c r="G434" i="2"/>
  <c r="K472" i="1" s="1"/>
  <c r="G435" i="2"/>
  <c r="K473" i="1" s="1"/>
  <c r="G436" i="2"/>
  <c r="K474" i="1" s="1"/>
  <c r="G437" i="2"/>
  <c r="K475" i="1" s="1"/>
  <c r="G439" i="2"/>
  <c r="K477" i="1" s="1"/>
  <c r="G440" i="2"/>
  <c r="K478" i="1" s="1"/>
  <c r="G441" i="2"/>
  <c r="K479" i="1" s="1"/>
  <c r="G442" i="2"/>
  <c r="K480" i="1" s="1"/>
  <c r="G443" i="2"/>
  <c r="K481" i="1" s="1"/>
  <c r="G444" i="2"/>
  <c r="K482" i="1" s="1"/>
  <c r="G445" i="2"/>
  <c r="K483" i="1" s="1"/>
  <c r="G446" i="2"/>
  <c r="K484" i="1" s="1"/>
  <c r="G447" i="2"/>
  <c r="K485" i="1" s="1"/>
  <c r="G448" i="2"/>
  <c r="K486" i="1" s="1"/>
  <c r="G449" i="2"/>
  <c r="K487" i="1" s="1"/>
  <c r="G450" i="2"/>
  <c r="K488" i="1" s="1"/>
  <c r="G451" i="2"/>
  <c r="K489" i="1" s="1"/>
  <c r="G452" i="2"/>
  <c r="K490" i="1" s="1"/>
  <c r="G453" i="2"/>
  <c r="K491" i="1" s="1"/>
  <c r="G454" i="2"/>
  <c r="K492" i="1" s="1"/>
  <c r="G455" i="2"/>
  <c r="G456" i="2"/>
  <c r="K493" i="1" s="1"/>
  <c r="G457" i="2"/>
  <c r="K494" i="1" s="1"/>
  <c r="G458" i="2"/>
  <c r="K495" i="1" s="1"/>
  <c r="G459" i="2"/>
  <c r="K496" i="1" s="1"/>
  <c r="G460" i="2"/>
  <c r="K497" i="1" s="1"/>
  <c r="G461" i="2"/>
  <c r="K498" i="1" s="1"/>
  <c r="G462" i="2"/>
  <c r="K13" i="1" s="1"/>
  <c r="G463" i="2"/>
  <c r="K14" i="1" s="1"/>
  <c r="G464" i="2"/>
  <c r="K15" i="1" s="1"/>
  <c r="G465" i="2"/>
  <c r="K16" i="1" s="1"/>
  <c r="G466" i="2"/>
  <c r="K17" i="1" s="1"/>
  <c r="G467" i="2"/>
  <c r="K18" i="1" s="1"/>
  <c r="G468" i="2"/>
  <c r="K19" i="1" s="1"/>
  <c r="G469" i="2"/>
  <c r="K20" i="1" s="1"/>
  <c r="G470" i="2"/>
  <c r="K21" i="1" s="1"/>
  <c r="G471" i="2"/>
  <c r="K22" i="1" s="1"/>
  <c r="G472" i="2"/>
  <c r="K23" i="1" s="1"/>
  <c r="G473" i="2"/>
  <c r="K24" i="1" s="1"/>
  <c r="G476" i="2"/>
  <c r="K27" i="1" s="1"/>
  <c r="G477" i="2"/>
  <c r="K28" i="1" s="1"/>
  <c r="G478" i="2"/>
  <c r="K29" i="1" s="1"/>
  <c r="G479" i="2"/>
  <c r="K30" i="1" s="1"/>
  <c r="G480" i="2"/>
  <c r="K31" i="1" s="1"/>
  <c r="G481" i="2"/>
  <c r="G482" i="2"/>
  <c r="G483" i="2"/>
  <c r="K34" i="1" s="1"/>
  <c r="G484" i="2"/>
  <c r="K35" i="1" s="1"/>
  <c r="G485" i="2"/>
  <c r="K36" i="1" s="1"/>
  <c r="G486" i="2"/>
  <c r="K37" i="1" s="1"/>
  <c r="G487" i="2"/>
  <c r="K38" i="1" s="1"/>
  <c r="K39" i="1"/>
  <c r="G489" i="2"/>
  <c r="K40" i="1" s="1"/>
  <c r="G490" i="2"/>
  <c r="K41" i="1" s="1"/>
  <c r="G491" i="2"/>
  <c r="K42" i="1" s="1"/>
  <c r="G492" i="2"/>
  <c r="K43" i="1" s="1"/>
  <c r="G493" i="2"/>
  <c r="K44" i="1" s="1"/>
  <c r="G494" i="2"/>
  <c r="K45" i="1" s="1"/>
  <c r="G495" i="2"/>
  <c r="K46" i="1" s="1"/>
  <c r="G496" i="2"/>
  <c r="K47" i="1" s="1"/>
  <c r="G497" i="2"/>
  <c r="K48" i="1" s="1"/>
  <c r="G498" i="2"/>
  <c r="K49" i="1" s="1"/>
  <c r="G499" i="2"/>
  <c r="G500" i="2"/>
  <c r="K50" i="1" s="1"/>
  <c r="G501" i="2"/>
  <c r="K51" i="1" s="1"/>
  <c r="G502" i="2"/>
  <c r="K52" i="1" s="1"/>
  <c r="G503" i="2"/>
  <c r="K53" i="1" s="1"/>
  <c r="G504" i="2"/>
  <c r="K54" i="1" s="1"/>
  <c r="G505" i="2"/>
  <c r="K55" i="1" s="1"/>
  <c r="G506" i="2"/>
  <c r="K56" i="1" s="1"/>
  <c r="G507" i="2"/>
  <c r="K57" i="1" s="1"/>
  <c r="G508" i="2"/>
  <c r="K58" i="1" s="1"/>
  <c r="G509" i="2"/>
  <c r="K59" i="1" s="1"/>
  <c r="G510" i="2"/>
  <c r="K60" i="1" s="1"/>
  <c r="G511" i="2"/>
  <c r="K61" i="1" s="1"/>
  <c r="G512" i="2"/>
  <c r="K62" i="1" s="1"/>
  <c r="G513" i="2"/>
  <c r="K63" i="1" s="1"/>
  <c r="G514" i="2"/>
  <c r="K64" i="1" s="1"/>
  <c r="G515" i="2"/>
  <c r="K65" i="1" s="1"/>
  <c r="G516" i="2"/>
  <c r="K66" i="1" s="1"/>
  <c r="G517" i="2"/>
  <c r="K67" i="1" s="1"/>
  <c r="G518" i="2"/>
  <c r="K68" i="1" s="1"/>
  <c r="G519" i="2"/>
  <c r="K69" i="1" s="1"/>
  <c r="G520" i="2"/>
  <c r="K70" i="1" s="1"/>
  <c r="G521" i="2"/>
  <c r="K71" i="1" s="1"/>
  <c r="G522" i="2"/>
  <c r="K72" i="1" s="1"/>
  <c r="G523" i="2"/>
  <c r="K73" i="1" s="1"/>
  <c r="G524" i="2"/>
  <c r="K74" i="1" s="1"/>
  <c r="G525" i="2"/>
  <c r="K75" i="1" s="1"/>
  <c r="G526" i="2"/>
  <c r="K76" i="1" s="1"/>
  <c r="G527" i="2"/>
  <c r="K77" i="1" s="1"/>
  <c r="G528" i="2"/>
  <c r="K78" i="1" s="1"/>
  <c r="G529" i="2"/>
  <c r="K79" i="1" s="1"/>
  <c r="G530" i="2"/>
  <c r="K80" i="1" s="1"/>
  <c r="G531" i="2"/>
  <c r="K81" i="1" s="1"/>
  <c r="G532" i="2"/>
  <c r="K82" i="1" s="1"/>
  <c r="G533" i="2"/>
  <c r="K83" i="1" s="1"/>
  <c r="G534" i="2"/>
  <c r="K84" i="1" s="1"/>
  <c r="G535" i="2"/>
  <c r="K85" i="1" s="1"/>
  <c r="G536" i="2"/>
  <c r="K86" i="1" s="1"/>
  <c r="G537" i="2"/>
  <c r="K87" i="1" s="1"/>
  <c r="G538" i="2"/>
  <c r="K88" i="1" s="1"/>
  <c r="G539" i="2"/>
  <c r="K89" i="1" s="1"/>
  <c r="G540" i="2"/>
  <c r="K90" i="1" s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4" i="1"/>
  <c r="K115" i="1"/>
  <c r="K116" i="1"/>
  <c r="K117" i="1"/>
  <c r="K118" i="1"/>
  <c r="K119" i="1"/>
  <c r="K120" i="1"/>
  <c r="K121" i="1"/>
  <c r="K122" i="1"/>
  <c r="G574" i="2"/>
  <c r="K123" i="1" s="1"/>
  <c r="G575" i="2"/>
  <c r="K124" i="1" s="1"/>
  <c r="G576" i="2"/>
  <c r="K125" i="1" s="1"/>
  <c r="G577" i="2"/>
  <c r="K126" i="1" s="1"/>
  <c r="G578" i="2"/>
  <c r="K127" i="1" s="1"/>
  <c r="G579" i="2"/>
  <c r="K128" i="1" s="1"/>
  <c r="G580" i="2"/>
  <c r="K129" i="1" s="1"/>
  <c r="G581" i="2"/>
  <c r="K130" i="1" s="1"/>
  <c r="G582" i="2"/>
  <c r="K131" i="1" s="1"/>
  <c r="G583" i="2"/>
  <c r="K132" i="1" s="1"/>
  <c r="G584" i="2"/>
  <c r="K133" i="1" s="1"/>
  <c r="G585" i="2"/>
  <c r="K134" i="1" s="1"/>
  <c r="G586" i="2"/>
  <c r="K135" i="1" s="1"/>
  <c r="G587" i="2"/>
  <c r="K136" i="1" s="1"/>
  <c r="G588" i="2"/>
  <c r="K137" i="1" s="1"/>
  <c r="G589" i="2"/>
  <c r="K138" i="1" s="1"/>
  <c r="G590" i="2"/>
  <c r="K139" i="1" s="1"/>
  <c r="G591" i="2"/>
  <c r="K140" i="1" s="1"/>
  <c r="G592" i="2"/>
  <c r="K141" i="1" s="1"/>
  <c r="G593" i="2"/>
  <c r="K142" i="1" s="1"/>
  <c r="G594" i="2"/>
  <c r="K143" i="1" s="1"/>
  <c r="G595" i="2"/>
  <c r="K144" i="1" s="1"/>
  <c r="G596" i="2"/>
  <c r="K145" i="1" s="1"/>
  <c r="G597" i="2"/>
  <c r="K146" i="1" s="1"/>
  <c r="G598" i="2"/>
  <c r="K147" i="1" s="1"/>
  <c r="G599" i="2"/>
  <c r="K148" i="1" s="1"/>
  <c r="G600" i="2"/>
  <c r="K149" i="1" s="1"/>
  <c r="G601" i="2"/>
  <c r="K150" i="1" s="1"/>
  <c r="G602" i="2"/>
  <c r="K151" i="1" s="1"/>
  <c r="G603" i="2"/>
  <c r="K152" i="1" s="1"/>
  <c r="G604" i="2"/>
  <c r="K153" i="1" s="1"/>
  <c r="G605" i="2"/>
  <c r="K154" i="1" s="1"/>
  <c r="G607" i="2"/>
  <c r="K155" i="1" s="1"/>
  <c r="G608" i="2"/>
  <c r="K156" i="1" s="1"/>
  <c r="G609" i="2"/>
  <c r="K157" i="1" s="1"/>
  <c r="G610" i="2"/>
  <c r="K158" i="1" s="1"/>
  <c r="G611" i="2"/>
  <c r="K159" i="1" s="1"/>
  <c r="G612" i="2"/>
  <c r="K160" i="1" s="1"/>
  <c r="G613" i="2"/>
  <c r="K161" i="1" s="1"/>
  <c r="G614" i="2"/>
  <c r="K162" i="1" s="1"/>
  <c r="G615" i="2"/>
  <c r="K163" i="1" s="1"/>
  <c r="G616" i="2"/>
  <c r="K164" i="1" s="1"/>
  <c r="G617" i="2"/>
  <c r="K165" i="1" s="1"/>
  <c r="G618" i="2"/>
  <c r="K166" i="1" s="1"/>
  <c r="G619" i="2"/>
  <c r="K167" i="1" s="1"/>
  <c r="G620" i="2"/>
  <c r="K168" i="1" s="1"/>
  <c r="G621" i="2"/>
  <c r="K169" i="1" s="1"/>
  <c r="G622" i="2"/>
  <c r="K170" i="1" s="1"/>
  <c r="G623" i="2"/>
  <c r="K171" i="1" s="1"/>
  <c r="G624" i="2"/>
  <c r="K172" i="1" s="1"/>
  <c r="G625" i="2"/>
  <c r="G626" i="2"/>
  <c r="K173" i="1" s="1"/>
  <c r="G627" i="2"/>
  <c r="K174" i="1" s="1"/>
  <c r="G628" i="2"/>
  <c r="K175" i="1" s="1"/>
  <c r="G629" i="2"/>
  <c r="K176" i="1" s="1"/>
  <c r="G630" i="2"/>
  <c r="K177" i="1" s="1"/>
  <c r="G631" i="2"/>
  <c r="K178" i="1" s="1"/>
  <c r="G632" i="2"/>
  <c r="K179" i="1" s="1"/>
  <c r="G633" i="2"/>
  <c r="K180" i="1" s="1"/>
  <c r="G634" i="2"/>
  <c r="K181" i="1" s="1"/>
  <c r="G635" i="2"/>
  <c r="K182" i="1" s="1"/>
  <c r="G636" i="2"/>
  <c r="K183" i="1" s="1"/>
  <c r="G637" i="2"/>
  <c r="K184" i="1" s="1"/>
  <c r="G638" i="2"/>
  <c r="K185" i="1" s="1"/>
  <c r="G639" i="2"/>
  <c r="K186" i="1" s="1"/>
  <c r="G640" i="2"/>
  <c r="K187" i="1" s="1"/>
  <c r="G641" i="2"/>
  <c r="K188" i="1" s="1"/>
  <c r="G642" i="2"/>
  <c r="K189" i="1" s="1"/>
  <c r="G643" i="2"/>
  <c r="K190" i="1" s="1"/>
  <c r="G644" i="2"/>
  <c r="K191" i="1" s="1"/>
  <c r="G645" i="2"/>
  <c r="K192" i="1" s="1"/>
  <c r="G646" i="2"/>
  <c r="K193" i="1" s="1"/>
  <c r="G647" i="2"/>
  <c r="K194" i="1" s="1"/>
  <c r="G648" i="2"/>
  <c r="K195" i="1" s="1"/>
  <c r="G649" i="2"/>
  <c r="K196" i="1" s="1"/>
  <c r="G650" i="2"/>
  <c r="K197" i="1" s="1"/>
  <c r="G651" i="2"/>
  <c r="K198" i="1" s="1"/>
  <c r="G652" i="2"/>
  <c r="K199" i="1" s="1"/>
  <c r="G653" i="2"/>
  <c r="K200" i="1" s="1"/>
  <c r="G654" i="2"/>
  <c r="K201" i="1" s="1"/>
  <c r="G655" i="2"/>
  <c r="K202" i="1" s="1"/>
  <c r="G656" i="2"/>
  <c r="K203" i="1" s="1"/>
  <c r="G657" i="2"/>
  <c r="K204" i="1" s="1"/>
  <c r="G658" i="2"/>
  <c r="K205" i="1" s="1"/>
  <c r="G659" i="2"/>
  <c r="K206" i="1" s="1"/>
  <c r="G660" i="2"/>
  <c r="K207" i="1" s="1"/>
  <c r="G661" i="2"/>
  <c r="K208" i="1" s="1"/>
  <c r="G662" i="2"/>
  <c r="K209" i="1" s="1"/>
  <c r="G663" i="2"/>
  <c r="K210" i="1" s="1"/>
  <c r="G664" i="2"/>
  <c r="K211" i="1" s="1"/>
  <c r="G665" i="2"/>
  <c r="K212" i="1" s="1"/>
  <c r="G666" i="2"/>
  <c r="K213" i="1" s="1"/>
  <c r="G667" i="2"/>
  <c r="K214" i="1" s="1"/>
  <c r="K215" i="1"/>
  <c r="K216" i="1"/>
  <c r="K217" i="1"/>
  <c r="K218" i="1"/>
  <c r="K219" i="1"/>
  <c r="K220" i="1"/>
  <c r="K225" i="1"/>
  <c r="G679" i="2"/>
  <c r="K226" i="1" s="1"/>
  <c r="G680" i="2"/>
  <c r="K227" i="1" s="1"/>
  <c r="G681" i="2"/>
  <c r="K228" i="1" s="1"/>
  <c r="G682" i="2"/>
  <c r="G683" i="2"/>
  <c r="K229" i="1" s="1"/>
  <c r="G684" i="2"/>
  <c r="K230" i="1" s="1"/>
  <c r="G686" i="2"/>
  <c r="G688" i="2"/>
  <c r="K231" i="1" s="1"/>
  <c r="G689" i="2"/>
  <c r="K232" i="1" s="1"/>
  <c r="G690" i="2"/>
  <c r="K233" i="1" s="1"/>
  <c r="G691" i="2"/>
  <c r="K234" i="1" s="1"/>
  <c r="G692" i="2"/>
  <c r="K235" i="1" s="1"/>
  <c r="G693" i="2"/>
  <c r="K236" i="1" s="1"/>
  <c r="G694" i="2"/>
  <c r="K237" i="1" s="1"/>
  <c r="G695" i="2"/>
  <c r="K238" i="1" s="1"/>
  <c r="G696" i="2"/>
  <c r="K239" i="1" s="1"/>
  <c r="G697" i="2"/>
  <c r="K240" i="1" s="1"/>
  <c r="G698" i="2"/>
  <c r="K241" i="1" s="1"/>
  <c r="G2" i="2"/>
  <c r="K702" i="1" s="1"/>
  <c r="H1173" i="1"/>
  <c r="I1173" i="1"/>
  <c r="H1174" i="1"/>
  <c r="I1174" i="1"/>
  <c r="I1162" i="1"/>
  <c r="H1165" i="1"/>
  <c r="I1165" i="1"/>
  <c r="H1167" i="1"/>
  <c r="I1167" i="1"/>
  <c r="H1140" i="1"/>
  <c r="I1140" i="1"/>
  <c r="H1141" i="1"/>
  <c r="I1141" i="1"/>
  <c r="H1142" i="1"/>
  <c r="I1142" i="1"/>
  <c r="H1145" i="1"/>
  <c r="I1145" i="1"/>
  <c r="H1148" i="1"/>
  <c r="I1148" i="1"/>
  <c r="H1149" i="1"/>
  <c r="I1149" i="1"/>
  <c r="H1150" i="1"/>
  <c r="I1150" i="1"/>
  <c r="H1151" i="1"/>
  <c r="I1151" i="1"/>
  <c r="H1152" i="1"/>
  <c r="I1152" i="1"/>
  <c r="H1107" i="1"/>
  <c r="I1107" i="1"/>
  <c r="H1108" i="1"/>
  <c r="I1108" i="1"/>
  <c r="H1109" i="1"/>
  <c r="I1109" i="1"/>
  <c r="H1110" i="1"/>
  <c r="I1110" i="1"/>
  <c r="H1111" i="1"/>
  <c r="I1111" i="1"/>
  <c r="H1112" i="1"/>
  <c r="I1112" i="1"/>
  <c r="H1113" i="1"/>
  <c r="I1113" i="1"/>
  <c r="H1114" i="1"/>
  <c r="I1114" i="1"/>
  <c r="H1115" i="1"/>
  <c r="I1115" i="1"/>
  <c r="H1116" i="1"/>
  <c r="I1116" i="1"/>
  <c r="H1117" i="1"/>
  <c r="I1117" i="1"/>
  <c r="H1118" i="1"/>
  <c r="I1118" i="1"/>
  <c r="H1119" i="1"/>
  <c r="I1119" i="1"/>
  <c r="H1120" i="1"/>
  <c r="I1120" i="1"/>
  <c r="H1121" i="1"/>
  <c r="I1121" i="1"/>
  <c r="H1122" i="1"/>
  <c r="I1122" i="1"/>
  <c r="H1123" i="1"/>
  <c r="I1123" i="1"/>
  <c r="H1124" i="1"/>
  <c r="I1124" i="1"/>
  <c r="H1125" i="1"/>
  <c r="I1125" i="1"/>
  <c r="H1126" i="1"/>
  <c r="I1126" i="1"/>
  <c r="H1127" i="1"/>
  <c r="I1127" i="1"/>
  <c r="H1128" i="1"/>
  <c r="I1128" i="1"/>
  <c r="H1129" i="1"/>
  <c r="I1129" i="1"/>
  <c r="H1130" i="1"/>
  <c r="I1130" i="1"/>
  <c r="H1131" i="1"/>
  <c r="I1131" i="1"/>
  <c r="H1048" i="1"/>
  <c r="I1048" i="1"/>
  <c r="H1049" i="1"/>
  <c r="I1049" i="1"/>
  <c r="H1050" i="1"/>
  <c r="I1050" i="1"/>
  <c r="H1051" i="1"/>
  <c r="I1051" i="1"/>
  <c r="H1052" i="1"/>
  <c r="I1052" i="1"/>
  <c r="H1053" i="1"/>
  <c r="I1053" i="1"/>
  <c r="H1054" i="1"/>
  <c r="I1054" i="1"/>
  <c r="H1055" i="1"/>
  <c r="I1055" i="1"/>
  <c r="H1056" i="1"/>
  <c r="I1056" i="1"/>
  <c r="H1057" i="1"/>
  <c r="I1057" i="1"/>
  <c r="H1058" i="1"/>
  <c r="I1058" i="1"/>
  <c r="H1059" i="1"/>
  <c r="I1059" i="1"/>
  <c r="H1060" i="1"/>
  <c r="I1060" i="1"/>
  <c r="H1061" i="1"/>
  <c r="I1061" i="1"/>
  <c r="H1062" i="1"/>
  <c r="I1062" i="1"/>
  <c r="H1063" i="1"/>
  <c r="I1063" i="1"/>
  <c r="H1064" i="1"/>
  <c r="I1064" i="1"/>
  <c r="H1065" i="1"/>
  <c r="I1065" i="1"/>
  <c r="H1066" i="1"/>
  <c r="I1066" i="1"/>
  <c r="H1067" i="1"/>
  <c r="I1067" i="1"/>
  <c r="H1068" i="1"/>
  <c r="I1068" i="1"/>
  <c r="H1069" i="1"/>
  <c r="I1069" i="1"/>
  <c r="H1070" i="1"/>
  <c r="I1070" i="1"/>
  <c r="H1071" i="1"/>
  <c r="I1071" i="1"/>
  <c r="H1072" i="1"/>
  <c r="I1072" i="1"/>
  <c r="H1073" i="1"/>
  <c r="I1073" i="1"/>
  <c r="H1074" i="1"/>
  <c r="I1074" i="1"/>
  <c r="H1075" i="1"/>
  <c r="I1075" i="1"/>
  <c r="H1076" i="1"/>
  <c r="I1076" i="1"/>
  <c r="H1077" i="1"/>
  <c r="I1077" i="1"/>
  <c r="H1078" i="1"/>
  <c r="I1078" i="1"/>
  <c r="H1079" i="1"/>
  <c r="I1079" i="1"/>
  <c r="H1080" i="1"/>
  <c r="I1080" i="1"/>
  <c r="H1081" i="1"/>
  <c r="I1081" i="1"/>
  <c r="H1082" i="1"/>
  <c r="I1082" i="1"/>
  <c r="H1083" i="1"/>
  <c r="I1083" i="1"/>
  <c r="H1084" i="1"/>
  <c r="I1084" i="1"/>
  <c r="H1085" i="1"/>
  <c r="I1085" i="1"/>
  <c r="H1086" i="1"/>
  <c r="I1086" i="1"/>
  <c r="H1087" i="1"/>
  <c r="I1087" i="1"/>
  <c r="H1088" i="1"/>
  <c r="I1088" i="1"/>
  <c r="H1089" i="1"/>
  <c r="I1089" i="1"/>
  <c r="H1090" i="1"/>
  <c r="I1090" i="1"/>
  <c r="H1091" i="1"/>
  <c r="I1091" i="1"/>
  <c r="H1092" i="1"/>
  <c r="I1092" i="1"/>
  <c r="H1093" i="1"/>
  <c r="I1093" i="1"/>
  <c r="H1094" i="1"/>
  <c r="I1094" i="1"/>
  <c r="H1095" i="1"/>
  <c r="I1095" i="1"/>
  <c r="H1096" i="1"/>
  <c r="I1096" i="1"/>
  <c r="H1097" i="1"/>
  <c r="I1097" i="1"/>
  <c r="H1098" i="1"/>
  <c r="I1098" i="1"/>
  <c r="H1099" i="1"/>
  <c r="I1099" i="1"/>
  <c r="H1100" i="1"/>
  <c r="I1100" i="1"/>
  <c r="H1101" i="1"/>
  <c r="I1101" i="1"/>
  <c r="H846" i="1"/>
  <c r="I846" i="1"/>
  <c r="H847" i="1"/>
  <c r="I847" i="1"/>
  <c r="H848" i="1"/>
  <c r="I848" i="1"/>
  <c r="H849" i="1"/>
  <c r="I849" i="1"/>
  <c r="H850" i="1"/>
  <c r="I850" i="1"/>
  <c r="H851" i="1"/>
  <c r="I851" i="1"/>
  <c r="H852" i="1"/>
  <c r="I852" i="1"/>
  <c r="H853" i="1"/>
  <c r="I853" i="1"/>
  <c r="H854" i="1"/>
  <c r="I854" i="1"/>
  <c r="H855" i="1"/>
  <c r="I855" i="1"/>
  <c r="H856" i="1"/>
  <c r="I856" i="1"/>
  <c r="H857" i="1"/>
  <c r="I857" i="1"/>
  <c r="H858" i="1"/>
  <c r="I858" i="1"/>
  <c r="H859" i="1"/>
  <c r="I859" i="1"/>
  <c r="H860" i="1"/>
  <c r="I860" i="1"/>
  <c r="H861" i="1"/>
  <c r="I861" i="1"/>
  <c r="H862" i="1"/>
  <c r="I862" i="1"/>
  <c r="H863" i="1"/>
  <c r="I863" i="1"/>
  <c r="H864" i="1"/>
  <c r="I864" i="1"/>
  <c r="H865" i="1"/>
  <c r="I865" i="1"/>
  <c r="H866" i="1"/>
  <c r="I866" i="1"/>
  <c r="H867" i="1"/>
  <c r="I867" i="1"/>
  <c r="H868" i="1"/>
  <c r="I868" i="1"/>
  <c r="H869" i="1"/>
  <c r="I869" i="1"/>
  <c r="H870" i="1"/>
  <c r="I870" i="1"/>
  <c r="H871" i="1"/>
  <c r="I871" i="1"/>
  <c r="H872" i="1"/>
  <c r="I872" i="1"/>
  <c r="H873" i="1"/>
  <c r="I873" i="1"/>
  <c r="H874" i="1"/>
  <c r="I874" i="1"/>
  <c r="H875" i="1"/>
  <c r="I875" i="1"/>
  <c r="H876" i="1"/>
  <c r="I876" i="1"/>
  <c r="H877" i="1"/>
  <c r="I877" i="1"/>
  <c r="H878" i="1"/>
  <c r="I878" i="1"/>
  <c r="H879" i="1"/>
  <c r="I879" i="1"/>
  <c r="H880" i="1"/>
  <c r="I880" i="1"/>
  <c r="H881" i="1"/>
  <c r="I881" i="1"/>
  <c r="H882" i="1"/>
  <c r="I882" i="1"/>
  <c r="H883" i="1"/>
  <c r="I883" i="1"/>
  <c r="H884" i="1"/>
  <c r="I884" i="1"/>
  <c r="H885" i="1"/>
  <c r="I885" i="1"/>
  <c r="H886" i="1"/>
  <c r="I886" i="1"/>
  <c r="H887" i="1"/>
  <c r="I887" i="1"/>
  <c r="H888" i="1"/>
  <c r="I888" i="1"/>
  <c r="H889" i="1"/>
  <c r="I889" i="1"/>
  <c r="H890" i="1"/>
  <c r="I890" i="1"/>
  <c r="H891" i="1"/>
  <c r="I891" i="1"/>
  <c r="H892" i="1"/>
  <c r="I892" i="1"/>
  <c r="H893" i="1"/>
  <c r="I893" i="1"/>
  <c r="H894" i="1"/>
  <c r="I894" i="1"/>
  <c r="H895" i="1"/>
  <c r="I895" i="1"/>
  <c r="H896" i="1"/>
  <c r="I896" i="1"/>
  <c r="H897" i="1"/>
  <c r="I897" i="1"/>
  <c r="H898" i="1"/>
  <c r="I898" i="1"/>
  <c r="H899" i="1"/>
  <c r="I899" i="1"/>
  <c r="H900" i="1"/>
  <c r="I900" i="1"/>
  <c r="H901" i="1"/>
  <c r="I901" i="1"/>
  <c r="H902" i="1"/>
  <c r="I902" i="1"/>
  <c r="H903" i="1"/>
  <c r="I903" i="1"/>
  <c r="H904" i="1"/>
  <c r="I904" i="1"/>
  <c r="H905" i="1"/>
  <c r="I905" i="1"/>
  <c r="H906" i="1"/>
  <c r="I906" i="1"/>
  <c r="H907" i="1"/>
  <c r="I907" i="1"/>
  <c r="H951" i="1"/>
  <c r="I951" i="1"/>
  <c r="H952" i="1"/>
  <c r="I952" i="1"/>
  <c r="H953" i="1"/>
  <c r="I953" i="1"/>
  <c r="H954" i="1"/>
  <c r="I954" i="1"/>
  <c r="H955" i="1"/>
  <c r="I955" i="1"/>
  <c r="H956" i="1"/>
  <c r="I956" i="1"/>
  <c r="H957" i="1"/>
  <c r="I957" i="1"/>
  <c r="H958" i="1"/>
  <c r="I958" i="1"/>
  <c r="H959" i="1"/>
  <c r="I959" i="1"/>
  <c r="H960" i="1"/>
  <c r="I960" i="1"/>
  <c r="H961" i="1"/>
  <c r="I961" i="1"/>
  <c r="H962" i="1"/>
  <c r="I962" i="1"/>
  <c r="H963" i="1"/>
  <c r="I963" i="1"/>
  <c r="H964" i="1"/>
  <c r="I964" i="1"/>
  <c r="H965" i="1"/>
  <c r="I965" i="1"/>
  <c r="H966" i="1"/>
  <c r="I966" i="1"/>
  <c r="H967" i="1"/>
  <c r="I967" i="1"/>
  <c r="H968" i="1"/>
  <c r="I968" i="1"/>
  <c r="H969" i="1"/>
  <c r="I969" i="1"/>
  <c r="H970" i="1"/>
  <c r="I970" i="1"/>
  <c r="H971" i="1"/>
  <c r="I971" i="1"/>
  <c r="H972" i="1"/>
  <c r="I972" i="1"/>
  <c r="H973" i="1"/>
  <c r="I973" i="1"/>
  <c r="H974" i="1"/>
  <c r="I974" i="1"/>
  <c r="H975" i="1"/>
  <c r="I975" i="1"/>
  <c r="H976" i="1"/>
  <c r="I976" i="1"/>
  <c r="H977" i="1"/>
  <c r="I977" i="1"/>
  <c r="H978" i="1"/>
  <c r="I978" i="1"/>
  <c r="H979" i="1"/>
  <c r="I979" i="1"/>
  <c r="H980" i="1"/>
  <c r="I980" i="1"/>
  <c r="H981" i="1"/>
  <c r="I981" i="1"/>
  <c r="H982" i="1"/>
  <c r="I982" i="1"/>
  <c r="H983" i="1"/>
  <c r="I983" i="1"/>
  <c r="H984" i="1"/>
  <c r="I984" i="1"/>
  <c r="H985" i="1"/>
  <c r="I985" i="1"/>
  <c r="H986" i="1"/>
  <c r="I986" i="1"/>
  <c r="H987" i="1"/>
  <c r="I987" i="1"/>
  <c r="H988" i="1"/>
  <c r="I988" i="1"/>
  <c r="H989" i="1"/>
  <c r="I989" i="1"/>
  <c r="H990" i="1"/>
  <c r="I990" i="1"/>
  <c r="H991" i="1"/>
  <c r="I991" i="1"/>
  <c r="H992" i="1"/>
  <c r="I992" i="1"/>
  <c r="H993" i="1"/>
  <c r="I993" i="1"/>
  <c r="H994" i="1"/>
  <c r="I994" i="1"/>
  <c r="H995" i="1"/>
  <c r="I995" i="1"/>
  <c r="H996" i="1"/>
  <c r="I996" i="1"/>
  <c r="H997" i="1"/>
  <c r="I997" i="1"/>
  <c r="H998" i="1"/>
  <c r="I998" i="1"/>
  <c r="H999" i="1"/>
  <c r="I999" i="1"/>
  <c r="H1000" i="1"/>
  <c r="I1000" i="1"/>
  <c r="H1001" i="1"/>
  <c r="I1001" i="1"/>
  <c r="H1002" i="1"/>
  <c r="I1002" i="1"/>
  <c r="H1003" i="1"/>
  <c r="I1003" i="1"/>
  <c r="H1004" i="1"/>
  <c r="I1004" i="1"/>
  <c r="H1005" i="1"/>
  <c r="I1005" i="1"/>
  <c r="H1006" i="1"/>
  <c r="I1006" i="1"/>
  <c r="H1007" i="1"/>
  <c r="I1007" i="1"/>
  <c r="H1008" i="1"/>
  <c r="I1008" i="1"/>
  <c r="H1009" i="1"/>
  <c r="I1009" i="1"/>
  <c r="H1010" i="1"/>
  <c r="I1010" i="1"/>
  <c r="H1011" i="1"/>
  <c r="I1011" i="1"/>
  <c r="H1012" i="1"/>
  <c r="I1012" i="1"/>
  <c r="H1013" i="1"/>
  <c r="I1013" i="1"/>
  <c r="H1014" i="1"/>
  <c r="I1014" i="1"/>
  <c r="H1015" i="1"/>
  <c r="I1015" i="1"/>
  <c r="H1016" i="1"/>
  <c r="I1016" i="1"/>
  <c r="H1017" i="1"/>
  <c r="I1017" i="1"/>
  <c r="H1018" i="1"/>
  <c r="I1018" i="1"/>
  <c r="H1019" i="1"/>
  <c r="I1019" i="1"/>
  <c r="H1020" i="1"/>
  <c r="I1020" i="1"/>
  <c r="H1021" i="1"/>
  <c r="I1021" i="1"/>
  <c r="H1022" i="1"/>
  <c r="I1022" i="1"/>
  <c r="H1023" i="1"/>
  <c r="I1023" i="1"/>
  <c r="H1024" i="1"/>
  <c r="I1024" i="1"/>
  <c r="H1025" i="1"/>
  <c r="I1025" i="1"/>
  <c r="H1026" i="1"/>
  <c r="I1026" i="1"/>
  <c r="H1027" i="1"/>
  <c r="I1027" i="1"/>
  <c r="H1028" i="1"/>
  <c r="I1028" i="1"/>
  <c r="H1029" i="1"/>
  <c r="I1029" i="1"/>
  <c r="H1030" i="1"/>
  <c r="I1030" i="1"/>
  <c r="H1031" i="1"/>
  <c r="I1031" i="1"/>
  <c r="H1032" i="1"/>
  <c r="I1032" i="1"/>
  <c r="H1033" i="1"/>
  <c r="I1033" i="1"/>
  <c r="H1034" i="1"/>
  <c r="I1034" i="1"/>
  <c r="H1035" i="1"/>
  <c r="I1035" i="1"/>
  <c r="H1036" i="1"/>
  <c r="I1036" i="1"/>
  <c r="H1037" i="1"/>
  <c r="I1037" i="1"/>
  <c r="H1038" i="1"/>
  <c r="I1038" i="1"/>
  <c r="H1039" i="1"/>
  <c r="I1039" i="1"/>
  <c r="H1040" i="1"/>
  <c r="I1040" i="1"/>
  <c r="H1041" i="1"/>
  <c r="I1041" i="1"/>
  <c r="H1042" i="1"/>
  <c r="I1042" i="1"/>
  <c r="H740" i="1"/>
  <c r="I740" i="1"/>
  <c r="H741" i="1"/>
  <c r="I741" i="1"/>
  <c r="H742" i="1"/>
  <c r="I742" i="1"/>
  <c r="H743" i="1"/>
  <c r="I743" i="1"/>
  <c r="H744" i="1"/>
  <c r="I744" i="1"/>
  <c r="H745" i="1"/>
  <c r="I745" i="1"/>
  <c r="H746" i="1"/>
  <c r="I746" i="1"/>
  <c r="H747" i="1"/>
  <c r="I747" i="1"/>
  <c r="H748" i="1"/>
  <c r="I748" i="1"/>
  <c r="H749" i="1"/>
  <c r="I749" i="1"/>
  <c r="H750" i="1"/>
  <c r="I750" i="1"/>
  <c r="H751" i="1"/>
  <c r="I751" i="1"/>
  <c r="H752" i="1"/>
  <c r="I752" i="1"/>
  <c r="H753" i="1"/>
  <c r="I753" i="1"/>
  <c r="H754" i="1"/>
  <c r="I754" i="1"/>
  <c r="H755" i="1"/>
  <c r="I755" i="1"/>
  <c r="H756" i="1"/>
  <c r="I756" i="1"/>
  <c r="H757" i="1"/>
  <c r="I757" i="1"/>
  <c r="H758" i="1"/>
  <c r="I758" i="1"/>
  <c r="H759" i="1"/>
  <c r="I759" i="1"/>
  <c r="H760" i="1"/>
  <c r="I760" i="1"/>
  <c r="H761" i="1"/>
  <c r="I761" i="1"/>
  <c r="H762" i="1"/>
  <c r="I762" i="1"/>
  <c r="H763" i="1"/>
  <c r="I763" i="1"/>
  <c r="H764" i="1"/>
  <c r="I764" i="1"/>
  <c r="H765" i="1"/>
  <c r="I765" i="1"/>
  <c r="H766" i="1"/>
  <c r="I766" i="1"/>
  <c r="H767" i="1"/>
  <c r="I767" i="1"/>
  <c r="H768" i="1"/>
  <c r="I768" i="1"/>
  <c r="H769" i="1"/>
  <c r="I769" i="1"/>
  <c r="H770" i="1"/>
  <c r="I770" i="1"/>
  <c r="H771" i="1"/>
  <c r="I771" i="1"/>
  <c r="H772" i="1"/>
  <c r="I772" i="1"/>
  <c r="H773" i="1"/>
  <c r="I773" i="1"/>
  <c r="H774" i="1"/>
  <c r="I774" i="1"/>
  <c r="H775" i="1"/>
  <c r="I775" i="1"/>
  <c r="H776" i="1"/>
  <c r="I776" i="1"/>
  <c r="H777" i="1"/>
  <c r="I777" i="1"/>
  <c r="H778" i="1"/>
  <c r="I778" i="1"/>
  <c r="H779" i="1"/>
  <c r="I779" i="1"/>
  <c r="H780" i="1"/>
  <c r="I780" i="1"/>
  <c r="H781" i="1"/>
  <c r="I781" i="1"/>
  <c r="H782" i="1"/>
  <c r="I782" i="1"/>
  <c r="H783" i="1"/>
  <c r="I783" i="1"/>
  <c r="H784" i="1"/>
  <c r="I784" i="1"/>
  <c r="H785" i="1"/>
  <c r="I785" i="1"/>
  <c r="H786" i="1"/>
  <c r="I786" i="1"/>
  <c r="H787" i="1"/>
  <c r="I787" i="1"/>
  <c r="H788" i="1"/>
  <c r="I788" i="1"/>
  <c r="H789" i="1"/>
  <c r="I789" i="1"/>
  <c r="H790" i="1"/>
  <c r="I790" i="1"/>
  <c r="H791" i="1"/>
  <c r="I791" i="1"/>
  <c r="H792" i="1"/>
  <c r="I792" i="1"/>
  <c r="H793" i="1"/>
  <c r="I793" i="1"/>
  <c r="H794" i="1"/>
  <c r="I794" i="1"/>
  <c r="H795" i="1"/>
  <c r="I795" i="1"/>
  <c r="H796" i="1"/>
  <c r="I796" i="1"/>
  <c r="H797" i="1"/>
  <c r="I797" i="1"/>
  <c r="H798" i="1"/>
  <c r="I798" i="1"/>
  <c r="H799" i="1"/>
  <c r="I799" i="1"/>
  <c r="H800" i="1"/>
  <c r="I800" i="1"/>
  <c r="H801" i="1"/>
  <c r="I801" i="1"/>
  <c r="H802" i="1"/>
  <c r="I802" i="1"/>
  <c r="H803" i="1"/>
  <c r="I803" i="1"/>
  <c r="H804" i="1"/>
  <c r="I804" i="1"/>
  <c r="H805" i="1"/>
  <c r="I805" i="1"/>
  <c r="H806" i="1"/>
  <c r="I806" i="1"/>
  <c r="H807" i="1"/>
  <c r="I807" i="1"/>
  <c r="H808" i="1"/>
  <c r="I808" i="1"/>
  <c r="H809" i="1"/>
  <c r="I809" i="1"/>
  <c r="H810" i="1"/>
  <c r="I810" i="1"/>
  <c r="H811" i="1"/>
  <c r="I811" i="1"/>
  <c r="H812" i="1"/>
  <c r="I812" i="1"/>
  <c r="H813" i="1"/>
  <c r="I813" i="1"/>
  <c r="H814" i="1"/>
  <c r="I814" i="1"/>
  <c r="H816" i="1"/>
  <c r="I816" i="1"/>
  <c r="H817" i="1"/>
  <c r="I817" i="1"/>
  <c r="H818" i="1"/>
  <c r="I818" i="1"/>
  <c r="H819" i="1"/>
  <c r="I819" i="1"/>
  <c r="H820" i="1"/>
  <c r="I820" i="1"/>
  <c r="H821" i="1"/>
  <c r="I821" i="1"/>
  <c r="H822" i="1"/>
  <c r="I822" i="1"/>
  <c r="H823" i="1"/>
  <c r="I823" i="1"/>
  <c r="H824" i="1"/>
  <c r="I824" i="1"/>
  <c r="H825" i="1"/>
  <c r="I825" i="1"/>
  <c r="H826" i="1"/>
  <c r="I826" i="1"/>
  <c r="H827" i="1"/>
  <c r="I827" i="1"/>
  <c r="H828" i="1"/>
  <c r="I828" i="1"/>
  <c r="H829" i="1"/>
  <c r="I829" i="1"/>
  <c r="H830" i="1"/>
  <c r="I830" i="1"/>
  <c r="H831" i="1"/>
  <c r="I831" i="1"/>
  <c r="H832" i="1"/>
  <c r="I832" i="1"/>
  <c r="H833" i="1"/>
  <c r="I833" i="1"/>
  <c r="H834" i="1"/>
  <c r="I834" i="1"/>
  <c r="H835" i="1"/>
  <c r="I835" i="1"/>
  <c r="H836" i="1"/>
  <c r="I836" i="1"/>
  <c r="H837" i="1"/>
  <c r="I837" i="1"/>
  <c r="H838" i="1"/>
  <c r="I838" i="1"/>
  <c r="H839" i="1"/>
  <c r="I839" i="1"/>
  <c r="H840" i="1"/>
  <c r="I840" i="1"/>
  <c r="H707" i="1"/>
  <c r="I707" i="1"/>
  <c r="H708" i="1"/>
  <c r="I708" i="1"/>
  <c r="H709" i="1"/>
  <c r="I709" i="1"/>
  <c r="H710" i="1"/>
  <c r="I710" i="1"/>
  <c r="H711" i="1"/>
  <c r="I711" i="1"/>
  <c r="H712" i="1"/>
  <c r="I712" i="1"/>
  <c r="H713" i="1"/>
  <c r="I713" i="1"/>
  <c r="H714" i="1"/>
  <c r="I714" i="1"/>
  <c r="H715" i="1"/>
  <c r="I715" i="1"/>
  <c r="H702" i="1"/>
  <c r="I702" i="1"/>
  <c r="H703" i="1"/>
  <c r="I703" i="1"/>
  <c r="H704" i="1"/>
  <c r="I704" i="1"/>
  <c r="H672" i="1"/>
  <c r="I672" i="1"/>
  <c r="H673" i="1"/>
  <c r="I673" i="1"/>
  <c r="H674" i="1"/>
  <c r="I674" i="1"/>
  <c r="H675" i="1"/>
  <c r="I675" i="1"/>
  <c r="H676" i="1"/>
  <c r="I676" i="1"/>
  <c r="H678" i="1"/>
  <c r="I678" i="1"/>
  <c r="H679" i="1"/>
  <c r="I679" i="1"/>
  <c r="H680" i="1"/>
  <c r="I680" i="1"/>
  <c r="H681" i="1"/>
  <c r="I681" i="1"/>
  <c r="H682" i="1"/>
  <c r="I682" i="1"/>
  <c r="H683" i="1"/>
  <c r="I683" i="1"/>
  <c r="H684" i="1"/>
  <c r="I684" i="1"/>
  <c r="H685" i="1"/>
  <c r="I685" i="1"/>
  <c r="H686" i="1"/>
  <c r="I686" i="1"/>
  <c r="H687" i="1"/>
  <c r="I687" i="1"/>
  <c r="H688" i="1"/>
  <c r="I688" i="1"/>
  <c r="H689" i="1"/>
  <c r="I689" i="1"/>
  <c r="H690" i="1"/>
  <c r="I690" i="1"/>
  <c r="H691" i="1"/>
  <c r="I691" i="1"/>
  <c r="H692" i="1"/>
  <c r="I692" i="1"/>
  <c r="H693" i="1"/>
  <c r="I693" i="1"/>
  <c r="H694" i="1"/>
  <c r="I694" i="1"/>
  <c r="H695" i="1"/>
  <c r="I695" i="1"/>
  <c r="H696" i="1"/>
  <c r="I696" i="1"/>
  <c r="H697" i="1"/>
  <c r="I697" i="1"/>
  <c r="H611" i="1"/>
  <c r="I611" i="1"/>
  <c r="H612" i="1"/>
  <c r="I612" i="1"/>
  <c r="H613" i="1"/>
  <c r="I613" i="1"/>
  <c r="H614" i="1"/>
  <c r="I614" i="1"/>
  <c r="H615" i="1"/>
  <c r="I615" i="1"/>
  <c r="H616" i="1"/>
  <c r="I616" i="1"/>
  <c r="H617" i="1"/>
  <c r="I617" i="1"/>
  <c r="H618" i="1"/>
  <c r="I618" i="1"/>
  <c r="H619" i="1"/>
  <c r="I619" i="1"/>
  <c r="H620" i="1"/>
  <c r="I620" i="1"/>
  <c r="H621" i="1"/>
  <c r="I621" i="1"/>
  <c r="H623" i="1"/>
  <c r="I623" i="1"/>
  <c r="H624" i="1"/>
  <c r="I624" i="1"/>
  <c r="H625" i="1"/>
  <c r="I625" i="1"/>
  <c r="H626" i="1"/>
  <c r="I626" i="1"/>
  <c r="H627" i="1"/>
  <c r="I627" i="1"/>
  <c r="H628" i="1"/>
  <c r="I628" i="1"/>
  <c r="H629" i="1"/>
  <c r="I629" i="1"/>
  <c r="H630" i="1"/>
  <c r="I630" i="1"/>
  <c r="H631" i="1"/>
  <c r="I631" i="1"/>
  <c r="H632" i="1"/>
  <c r="I632" i="1"/>
  <c r="H633" i="1"/>
  <c r="I633" i="1"/>
  <c r="H634" i="1"/>
  <c r="I634" i="1"/>
  <c r="H635" i="1"/>
  <c r="I635" i="1"/>
  <c r="H636" i="1"/>
  <c r="I636" i="1"/>
  <c r="H637" i="1"/>
  <c r="I637" i="1"/>
  <c r="H638" i="1"/>
  <c r="I638" i="1"/>
  <c r="H639" i="1"/>
  <c r="I639" i="1"/>
  <c r="H640" i="1"/>
  <c r="I640" i="1"/>
  <c r="H641" i="1"/>
  <c r="I641" i="1"/>
  <c r="H642" i="1"/>
  <c r="I642" i="1"/>
  <c r="H643" i="1"/>
  <c r="I643" i="1"/>
  <c r="H644" i="1"/>
  <c r="I644" i="1"/>
  <c r="H645" i="1"/>
  <c r="I645" i="1"/>
  <c r="H646" i="1"/>
  <c r="I646" i="1"/>
  <c r="H647" i="1"/>
  <c r="I647" i="1"/>
  <c r="H648" i="1"/>
  <c r="I648" i="1"/>
  <c r="H649" i="1"/>
  <c r="I649" i="1"/>
  <c r="H650" i="1"/>
  <c r="I650" i="1"/>
  <c r="H651" i="1"/>
  <c r="I651" i="1"/>
  <c r="H652" i="1"/>
  <c r="I652" i="1"/>
  <c r="H653" i="1"/>
  <c r="I653" i="1"/>
  <c r="H654" i="1"/>
  <c r="I654" i="1"/>
  <c r="H655" i="1"/>
  <c r="I655" i="1"/>
  <c r="H656" i="1"/>
  <c r="I656" i="1"/>
  <c r="H657" i="1"/>
  <c r="I657" i="1"/>
  <c r="H658" i="1"/>
  <c r="I658" i="1"/>
  <c r="H659" i="1"/>
  <c r="I659" i="1"/>
  <c r="H661" i="1"/>
  <c r="I661" i="1"/>
  <c r="H662" i="1"/>
  <c r="I662" i="1"/>
  <c r="H663" i="1"/>
  <c r="I663" i="1"/>
  <c r="H664" i="1"/>
  <c r="I664" i="1"/>
  <c r="H665" i="1"/>
  <c r="I665" i="1"/>
  <c r="H666" i="1"/>
  <c r="I666" i="1"/>
  <c r="H504" i="1"/>
  <c r="I504" i="1"/>
  <c r="H505" i="1"/>
  <c r="I505" i="1"/>
  <c r="H506" i="1"/>
  <c r="I506" i="1"/>
  <c r="H507" i="1"/>
  <c r="I507" i="1"/>
  <c r="H508" i="1"/>
  <c r="I508" i="1"/>
  <c r="H509" i="1"/>
  <c r="I509" i="1"/>
  <c r="H510" i="1"/>
  <c r="I510" i="1"/>
  <c r="H511" i="1"/>
  <c r="I511" i="1"/>
  <c r="H512" i="1"/>
  <c r="I512" i="1"/>
  <c r="H513" i="1"/>
  <c r="I513" i="1"/>
  <c r="H514" i="1"/>
  <c r="I514" i="1"/>
  <c r="H515" i="1"/>
  <c r="I515" i="1"/>
  <c r="H516" i="1"/>
  <c r="I516" i="1"/>
  <c r="H517" i="1"/>
  <c r="I517" i="1"/>
  <c r="H518" i="1"/>
  <c r="I518" i="1"/>
  <c r="H519" i="1"/>
  <c r="I519" i="1"/>
  <c r="H520" i="1"/>
  <c r="I520" i="1"/>
  <c r="H521" i="1"/>
  <c r="I521" i="1"/>
  <c r="H522" i="1"/>
  <c r="I522" i="1"/>
  <c r="H523" i="1"/>
  <c r="I523" i="1"/>
  <c r="H524" i="1"/>
  <c r="I524" i="1"/>
  <c r="H525" i="1"/>
  <c r="I525" i="1"/>
  <c r="H526" i="1"/>
  <c r="I526" i="1"/>
  <c r="H527" i="1"/>
  <c r="I527" i="1"/>
  <c r="H528" i="1"/>
  <c r="I528" i="1"/>
  <c r="H529" i="1"/>
  <c r="I529" i="1"/>
  <c r="H530" i="1"/>
  <c r="I530" i="1"/>
  <c r="H531" i="1"/>
  <c r="I531" i="1"/>
  <c r="H532" i="1"/>
  <c r="I532" i="1"/>
  <c r="H533" i="1"/>
  <c r="I533" i="1"/>
  <c r="H534" i="1"/>
  <c r="I534" i="1"/>
  <c r="H535" i="1"/>
  <c r="I535" i="1"/>
  <c r="H536" i="1"/>
  <c r="I536" i="1"/>
  <c r="H537" i="1"/>
  <c r="I537" i="1"/>
  <c r="H538" i="1"/>
  <c r="I538" i="1"/>
  <c r="H539" i="1"/>
  <c r="I539" i="1"/>
  <c r="H540" i="1"/>
  <c r="I540" i="1"/>
  <c r="H541" i="1"/>
  <c r="I541" i="1"/>
  <c r="H542" i="1"/>
  <c r="I542" i="1"/>
  <c r="H543" i="1"/>
  <c r="I543" i="1"/>
  <c r="H544" i="1"/>
  <c r="I544" i="1"/>
  <c r="H545" i="1"/>
  <c r="I545" i="1"/>
  <c r="H546" i="1"/>
  <c r="I546" i="1"/>
  <c r="H547" i="1"/>
  <c r="I547" i="1"/>
  <c r="H548" i="1"/>
  <c r="I548" i="1"/>
  <c r="H549" i="1"/>
  <c r="I549" i="1"/>
  <c r="H550" i="1"/>
  <c r="I550" i="1"/>
  <c r="H551" i="1"/>
  <c r="I551" i="1"/>
  <c r="H552" i="1"/>
  <c r="I552" i="1"/>
  <c r="H553" i="1"/>
  <c r="I553" i="1"/>
  <c r="H554" i="1"/>
  <c r="I554" i="1"/>
  <c r="H555" i="1"/>
  <c r="I555" i="1"/>
  <c r="H556" i="1"/>
  <c r="I556" i="1"/>
  <c r="H557" i="1"/>
  <c r="I557" i="1"/>
  <c r="H558" i="1"/>
  <c r="I558" i="1"/>
  <c r="H559" i="1"/>
  <c r="I559" i="1"/>
  <c r="H560" i="1"/>
  <c r="I560" i="1"/>
  <c r="H561" i="1"/>
  <c r="I561" i="1"/>
  <c r="H562" i="1"/>
  <c r="I562" i="1"/>
  <c r="H563" i="1"/>
  <c r="I563" i="1"/>
  <c r="H564" i="1"/>
  <c r="I564" i="1"/>
  <c r="H565" i="1"/>
  <c r="I565" i="1"/>
  <c r="H566" i="1"/>
  <c r="I566" i="1"/>
  <c r="H567" i="1"/>
  <c r="I567" i="1"/>
  <c r="H568" i="1"/>
  <c r="I568" i="1"/>
  <c r="H569" i="1"/>
  <c r="I569" i="1"/>
  <c r="H570" i="1"/>
  <c r="I570" i="1"/>
  <c r="H571" i="1"/>
  <c r="I571" i="1"/>
  <c r="H572" i="1"/>
  <c r="I572" i="1"/>
  <c r="H573" i="1"/>
  <c r="I573" i="1"/>
  <c r="H574" i="1"/>
  <c r="I574" i="1"/>
  <c r="H575" i="1"/>
  <c r="I575" i="1"/>
  <c r="H576" i="1"/>
  <c r="I576" i="1"/>
  <c r="H577" i="1"/>
  <c r="I577" i="1"/>
  <c r="H578" i="1"/>
  <c r="I578" i="1"/>
  <c r="H579" i="1"/>
  <c r="I579" i="1"/>
  <c r="H580" i="1"/>
  <c r="I580" i="1"/>
  <c r="H581" i="1"/>
  <c r="I581" i="1"/>
  <c r="H583" i="1"/>
  <c r="I583" i="1"/>
  <c r="H584" i="1"/>
  <c r="I584" i="1"/>
  <c r="H585" i="1"/>
  <c r="I585" i="1"/>
  <c r="H586" i="1"/>
  <c r="I586" i="1"/>
  <c r="H587" i="1"/>
  <c r="I587" i="1"/>
  <c r="H588" i="1"/>
  <c r="I588" i="1"/>
  <c r="H589" i="1"/>
  <c r="I589" i="1"/>
  <c r="H590" i="1"/>
  <c r="I590" i="1"/>
  <c r="H591" i="1"/>
  <c r="I591" i="1"/>
  <c r="H592" i="1"/>
  <c r="I592" i="1"/>
  <c r="H593" i="1"/>
  <c r="I593" i="1"/>
  <c r="H596" i="1"/>
  <c r="I596" i="1"/>
  <c r="H597" i="1"/>
  <c r="I597" i="1"/>
  <c r="H598" i="1"/>
  <c r="I598" i="1"/>
  <c r="H599" i="1"/>
  <c r="I599" i="1"/>
  <c r="H600" i="1"/>
  <c r="I600" i="1"/>
  <c r="H601" i="1"/>
  <c r="I601" i="1"/>
  <c r="H602" i="1"/>
  <c r="I602" i="1"/>
  <c r="H603" i="1"/>
  <c r="I603" i="1"/>
  <c r="H604" i="1"/>
  <c r="I604" i="1"/>
  <c r="H605" i="1"/>
  <c r="I605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H439" i="1"/>
  <c r="I439" i="1"/>
  <c r="H440" i="1"/>
  <c r="I440" i="1"/>
  <c r="H441" i="1"/>
  <c r="I441" i="1"/>
  <c r="H442" i="1"/>
  <c r="I442" i="1"/>
  <c r="H443" i="1"/>
  <c r="I443" i="1"/>
  <c r="H444" i="1"/>
  <c r="I444" i="1"/>
  <c r="H445" i="1"/>
  <c r="I445" i="1"/>
  <c r="H446" i="1"/>
  <c r="I446" i="1"/>
  <c r="H447" i="1"/>
  <c r="I447" i="1"/>
  <c r="H448" i="1"/>
  <c r="I448" i="1"/>
  <c r="H449" i="1"/>
  <c r="I449" i="1"/>
  <c r="H450" i="1"/>
  <c r="I450" i="1"/>
  <c r="H451" i="1"/>
  <c r="I451" i="1"/>
  <c r="H452" i="1"/>
  <c r="I452" i="1"/>
  <c r="H453" i="1"/>
  <c r="I453" i="1"/>
  <c r="H454" i="1"/>
  <c r="I454" i="1"/>
  <c r="H455" i="1"/>
  <c r="I455" i="1"/>
  <c r="H456" i="1"/>
  <c r="I456" i="1"/>
  <c r="H457" i="1"/>
  <c r="I457" i="1"/>
  <c r="H458" i="1"/>
  <c r="I458" i="1"/>
  <c r="H459" i="1"/>
  <c r="I459" i="1"/>
  <c r="H460" i="1"/>
  <c r="I460" i="1"/>
  <c r="H477" i="1"/>
  <c r="I477" i="1"/>
  <c r="H478" i="1"/>
  <c r="I478" i="1"/>
  <c r="H479" i="1"/>
  <c r="I479" i="1"/>
  <c r="H480" i="1"/>
  <c r="I480" i="1"/>
  <c r="H481" i="1"/>
  <c r="I481" i="1"/>
  <c r="H482" i="1"/>
  <c r="I482" i="1"/>
  <c r="H483" i="1"/>
  <c r="I483" i="1"/>
  <c r="H484" i="1"/>
  <c r="I484" i="1"/>
  <c r="H485" i="1"/>
  <c r="I485" i="1"/>
  <c r="H486" i="1"/>
  <c r="I486" i="1"/>
  <c r="H487" i="1"/>
  <c r="I487" i="1"/>
  <c r="H488" i="1"/>
  <c r="I488" i="1"/>
  <c r="H489" i="1"/>
  <c r="I489" i="1"/>
  <c r="H490" i="1"/>
  <c r="I490" i="1"/>
  <c r="H491" i="1"/>
  <c r="I491" i="1"/>
  <c r="H492" i="1"/>
  <c r="I492" i="1"/>
  <c r="H493" i="1"/>
  <c r="I493" i="1"/>
  <c r="H494" i="1"/>
  <c r="I494" i="1"/>
  <c r="H495" i="1"/>
  <c r="I495" i="1"/>
  <c r="H496" i="1"/>
  <c r="I496" i="1"/>
  <c r="H497" i="1"/>
  <c r="I497" i="1"/>
  <c r="H498" i="1"/>
  <c r="I498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6" i="1"/>
  <c r="I246" i="1"/>
  <c r="H503" i="1"/>
  <c r="I503" i="1"/>
  <c r="H610" i="1"/>
  <c r="I610" i="1"/>
  <c r="H671" i="1"/>
  <c r="I671" i="1"/>
  <c r="H705" i="1"/>
  <c r="I705" i="1"/>
  <c r="H733" i="1"/>
  <c r="I733" i="1"/>
  <c r="H734" i="1"/>
  <c r="I734" i="1"/>
  <c r="H739" i="1"/>
  <c r="I739" i="1"/>
  <c r="H845" i="1"/>
  <c r="I845" i="1"/>
  <c r="H1047" i="1"/>
  <c r="I1047" i="1"/>
  <c r="H1106" i="1"/>
  <c r="I1106" i="1"/>
  <c r="H1139" i="1"/>
  <c r="I1139" i="1"/>
  <c r="H1161" i="1"/>
  <c r="I1161" i="1"/>
  <c r="H1172" i="1"/>
  <c r="I1172" i="1"/>
  <c r="H1180" i="1"/>
  <c r="I1180" i="1"/>
  <c r="A13" i="1"/>
  <c r="V594" i="1" l="1"/>
  <c r="K1166" i="1"/>
  <c r="K828" i="1"/>
  <c r="K33" i="1"/>
  <c r="K32" i="1"/>
  <c r="K418" i="1"/>
  <c r="K419" i="1"/>
  <c r="K354" i="1"/>
  <c r="K353" i="1"/>
  <c r="K1114" i="1"/>
  <c r="W1131" i="1"/>
  <c r="V1131" i="1"/>
  <c r="R1131" i="1"/>
  <c r="A1131" i="1" s="1"/>
  <c r="W1130" i="1"/>
  <c r="V1130" i="1"/>
  <c r="R1130" i="1"/>
  <c r="A1130" i="1" s="1"/>
  <c r="W1129" i="1"/>
  <c r="V1129" i="1"/>
  <c r="R1129" i="1"/>
  <c r="A1129" i="1" s="1"/>
  <c r="W1128" i="1"/>
  <c r="V1128" i="1"/>
  <c r="R1128" i="1"/>
  <c r="A1128" i="1" s="1"/>
  <c r="W1127" i="1"/>
  <c r="V1127" i="1"/>
  <c r="R1127" i="1"/>
  <c r="A1127" i="1" s="1"/>
  <c r="W1126" i="1"/>
  <c r="V1126" i="1"/>
  <c r="R1126" i="1"/>
  <c r="A1126" i="1" s="1"/>
  <c r="W1125" i="1"/>
  <c r="V1125" i="1"/>
  <c r="R1125" i="1"/>
  <c r="A1125" i="1" s="1"/>
  <c r="W1124" i="1"/>
  <c r="V1124" i="1"/>
  <c r="R1124" i="1"/>
  <c r="A1124" i="1" s="1"/>
  <c r="W1123" i="1"/>
  <c r="V1123" i="1"/>
  <c r="R1123" i="1"/>
  <c r="A1123" i="1" s="1"/>
  <c r="W1122" i="1"/>
  <c r="V1122" i="1"/>
  <c r="R1122" i="1"/>
  <c r="A1122" i="1" s="1"/>
  <c r="W1121" i="1"/>
  <c r="V1121" i="1"/>
  <c r="R1121" i="1"/>
  <c r="A1121" i="1" s="1"/>
  <c r="W1120" i="1"/>
  <c r="V1120" i="1"/>
  <c r="R1120" i="1"/>
  <c r="A1120" i="1" s="1"/>
  <c r="W1119" i="1"/>
  <c r="V1119" i="1"/>
  <c r="R1119" i="1"/>
  <c r="A1119" i="1" s="1"/>
  <c r="W1118" i="1"/>
  <c r="V1118" i="1"/>
  <c r="R1118" i="1"/>
  <c r="A1118" i="1" s="1"/>
  <c r="W1117" i="1"/>
  <c r="V1117" i="1"/>
  <c r="R1117" i="1"/>
  <c r="A1117" i="1" s="1"/>
  <c r="W1116" i="1"/>
  <c r="V1116" i="1"/>
  <c r="R1116" i="1"/>
  <c r="A1116" i="1" s="1"/>
  <c r="W1115" i="1"/>
  <c r="V1115" i="1"/>
  <c r="R1115" i="1"/>
  <c r="A1115" i="1" s="1"/>
  <c r="W1114" i="1"/>
  <c r="V1114" i="1"/>
  <c r="R1114" i="1"/>
  <c r="A1114" i="1" s="1"/>
  <c r="W1113" i="1"/>
  <c r="V1113" i="1"/>
  <c r="R1113" i="1"/>
  <c r="A1113" i="1" s="1"/>
  <c r="W1112" i="1"/>
  <c r="V1112" i="1"/>
  <c r="R1112" i="1"/>
  <c r="A1112" i="1" s="1"/>
  <c r="W1111" i="1"/>
  <c r="V1111" i="1"/>
  <c r="R1111" i="1"/>
  <c r="A1111" i="1" s="1"/>
  <c r="W1110" i="1"/>
  <c r="V1110" i="1"/>
  <c r="R1110" i="1"/>
  <c r="A1110" i="1" s="1"/>
  <c r="W1109" i="1"/>
  <c r="V1109" i="1"/>
  <c r="R1109" i="1"/>
  <c r="A1109" i="1" s="1"/>
  <c r="W1108" i="1"/>
  <c r="V1108" i="1"/>
  <c r="R1108" i="1"/>
  <c r="A1108" i="1" s="1"/>
  <c r="W1107" i="1"/>
  <c r="V1107" i="1"/>
  <c r="R1107" i="1"/>
  <c r="A1107" i="1" s="1"/>
  <c r="N1107" i="1"/>
  <c r="O1107" i="1"/>
  <c r="N1108" i="1"/>
  <c r="O1108" i="1"/>
  <c r="N1109" i="1"/>
  <c r="O1109" i="1"/>
  <c r="N1110" i="1"/>
  <c r="O1110" i="1"/>
  <c r="N1111" i="1"/>
  <c r="O1111" i="1"/>
  <c r="N1112" i="1"/>
  <c r="O1112" i="1"/>
  <c r="N1113" i="1"/>
  <c r="O1113" i="1"/>
  <c r="N1114" i="1"/>
  <c r="O1114" i="1"/>
  <c r="N1115" i="1"/>
  <c r="O1115" i="1"/>
  <c r="N1116" i="1"/>
  <c r="O1116" i="1"/>
  <c r="N1117" i="1"/>
  <c r="O1117" i="1"/>
  <c r="N1118" i="1"/>
  <c r="O1118" i="1"/>
  <c r="N1119" i="1"/>
  <c r="O1119" i="1"/>
  <c r="N1120" i="1"/>
  <c r="O1120" i="1"/>
  <c r="N1121" i="1"/>
  <c r="O1121" i="1"/>
  <c r="N1122" i="1"/>
  <c r="O1122" i="1"/>
  <c r="N1123" i="1"/>
  <c r="O1123" i="1"/>
  <c r="N1124" i="1"/>
  <c r="O1124" i="1"/>
  <c r="N1125" i="1"/>
  <c r="O1125" i="1"/>
  <c r="N1126" i="1"/>
  <c r="O1126" i="1"/>
  <c r="N1127" i="1"/>
  <c r="O1127" i="1"/>
  <c r="N1128" i="1"/>
  <c r="O1128" i="1"/>
  <c r="N1129" i="1"/>
  <c r="O1129" i="1"/>
  <c r="N1130" i="1"/>
  <c r="O1130" i="1"/>
  <c r="N1131" i="1"/>
  <c r="O1131" i="1"/>
  <c r="W1101" i="1"/>
  <c r="V1101" i="1"/>
  <c r="R1101" i="1"/>
  <c r="A1101" i="1" s="1"/>
  <c r="W1100" i="1"/>
  <c r="V1100" i="1"/>
  <c r="R1100" i="1"/>
  <c r="A1100" i="1" s="1"/>
  <c r="W1099" i="1"/>
  <c r="V1099" i="1"/>
  <c r="R1099" i="1"/>
  <c r="A1099" i="1" s="1"/>
  <c r="W1098" i="1"/>
  <c r="V1098" i="1"/>
  <c r="R1098" i="1"/>
  <c r="A1098" i="1" s="1"/>
  <c r="W1097" i="1"/>
  <c r="V1097" i="1"/>
  <c r="R1097" i="1"/>
  <c r="A1097" i="1" s="1"/>
  <c r="W1096" i="1"/>
  <c r="V1096" i="1"/>
  <c r="R1096" i="1"/>
  <c r="A1096" i="1" s="1"/>
  <c r="W1095" i="1"/>
  <c r="V1095" i="1"/>
  <c r="R1095" i="1"/>
  <c r="A1095" i="1" s="1"/>
  <c r="W1094" i="1"/>
  <c r="V1094" i="1"/>
  <c r="R1094" i="1"/>
  <c r="A1094" i="1" s="1"/>
  <c r="W1093" i="1"/>
  <c r="V1093" i="1"/>
  <c r="R1093" i="1"/>
  <c r="A1093" i="1" s="1"/>
  <c r="W1092" i="1"/>
  <c r="V1092" i="1"/>
  <c r="R1092" i="1"/>
  <c r="A1092" i="1" s="1"/>
  <c r="W1091" i="1"/>
  <c r="V1091" i="1"/>
  <c r="R1091" i="1"/>
  <c r="A1091" i="1" s="1"/>
  <c r="W1090" i="1"/>
  <c r="V1090" i="1"/>
  <c r="R1090" i="1"/>
  <c r="A1090" i="1" s="1"/>
  <c r="W1089" i="1"/>
  <c r="V1089" i="1"/>
  <c r="R1089" i="1"/>
  <c r="A1089" i="1" s="1"/>
  <c r="W1088" i="1"/>
  <c r="V1088" i="1"/>
  <c r="R1088" i="1"/>
  <c r="A1088" i="1" s="1"/>
  <c r="W1087" i="1"/>
  <c r="V1087" i="1"/>
  <c r="R1087" i="1"/>
  <c r="A1087" i="1" s="1"/>
  <c r="W1086" i="1"/>
  <c r="V1086" i="1"/>
  <c r="R1086" i="1"/>
  <c r="A1086" i="1" s="1"/>
  <c r="W1085" i="1"/>
  <c r="V1085" i="1"/>
  <c r="R1085" i="1"/>
  <c r="A1085" i="1" s="1"/>
  <c r="W1084" i="1"/>
  <c r="V1084" i="1"/>
  <c r="R1084" i="1"/>
  <c r="A1084" i="1" s="1"/>
  <c r="W1083" i="1"/>
  <c r="V1083" i="1"/>
  <c r="R1083" i="1"/>
  <c r="A1083" i="1" s="1"/>
  <c r="W1082" i="1"/>
  <c r="V1082" i="1"/>
  <c r="R1082" i="1"/>
  <c r="A1082" i="1" s="1"/>
  <c r="W1081" i="1"/>
  <c r="V1081" i="1"/>
  <c r="R1081" i="1"/>
  <c r="A1081" i="1" s="1"/>
  <c r="W1080" i="1"/>
  <c r="V1080" i="1"/>
  <c r="R1080" i="1"/>
  <c r="A1080" i="1" s="1"/>
  <c r="W1079" i="1"/>
  <c r="V1079" i="1"/>
  <c r="R1079" i="1"/>
  <c r="A1079" i="1" s="1"/>
  <c r="W1078" i="1"/>
  <c r="V1078" i="1"/>
  <c r="R1078" i="1"/>
  <c r="A1078" i="1" s="1"/>
  <c r="W1077" i="1"/>
  <c r="V1077" i="1"/>
  <c r="R1077" i="1"/>
  <c r="A1077" i="1" s="1"/>
  <c r="W1076" i="1"/>
  <c r="V1076" i="1"/>
  <c r="R1076" i="1"/>
  <c r="A1076" i="1" s="1"/>
  <c r="N1091" i="1"/>
  <c r="O1091" i="1"/>
  <c r="N1092" i="1"/>
  <c r="O1092" i="1"/>
  <c r="N1093" i="1"/>
  <c r="O1093" i="1"/>
  <c r="N1094" i="1"/>
  <c r="O1094" i="1"/>
  <c r="N1095" i="1"/>
  <c r="O1095" i="1"/>
  <c r="N1096" i="1"/>
  <c r="O1096" i="1"/>
  <c r="N1097" i="1"/>
  <c r="O1097" i="1"/>
  <c r="N1098" i="1"/>
  <c r="O1098" i="1"/>
  <c r="N1099" i="1"/>
  <c r="O1099" i="1"/>
  <c r="N1100" i="1"/>
  <c r="O1100" i="1"/>
  <c r="N1101" i="1"/>
  <c r="O1101" i="1"/>
  <c r="N1076" i="1"/>
  <c r="O1076" i="1"/>
  <c r="N1077" i="1"/>
  <c r="O1077" i="1"/>
  <c r="N1078" i="1"/>
  <c r="O1078" i="1"/>
  <c r="N1079" i="1"/>
  <c r="O1079" i="1"/>
  <c r="N1080" i="1"/>
  <c r="O1080" i="1"/>
  <c r="N1081" i="1"/>
  <c r="O1081" i="1"/>
  <c r="N1082" i="1"/>
  <c r="O1082" i="1"/>
  <c r="N1083" i="1"/>
  <c r="O1083" i="1"/>
  <c r="N1084" i="1"/>
  <c r="O1084" i="1"/>
  <c r="N1085" i="1"/>
  <c r="O1085" i="1"/>
  <c r="N1086" i="1"/>
  <c r="O1086" i="1"/>
  <c r="N1087" i="1"/>
  <c r="O1087" i="1"/>
  <c r="N1088" i="1"/>
  <c r="O1088" i="1"/>
  <c r="N1089" i="1"/>
  <c r="O1089" i="1"/>
  <c r="N1090" i="1"/>
  <c r="O1090" i="1"/>
  <c r="W1075" i="1"/>
  <c r="V1075" i="1"/>
  <c r="R1075" i="1"/>
  <c r="A1075" i="1" s="1"/>
  <c r="W1074" i="1"/>
  <c r="V1074" i="1"/>
  <c r="R1074" i="1"/>
  <c r="A1074" i="1" s="1"/>
  <c r="W1073" i="1"/>
  <c r="V1073" i="1"/>
  <c r="R1073" i="1"/>
  <c r="A1073" i="1" s="1"/>
  <c r="W1072" i="1"/>
  <c r="V1072" i="1"/>
  <c r="R1072" i="1"/>
  <c r="A1072" i="1" s="1"/>
  <c r="W1071" i="1"/>
  <c r="V1071" i="1"/>
  <c r="R1071" i="1"/>
  <c r="A1071" i="1" s="1"/>
  <c r="W1070" i="1"/>
  <c r="V1070" i="1"/>
  <c r="R1070" i="1"/>
  <c r="A1070" i="1" s="1"/>
  <c r="W1069" i="1"/>
  <c r="V1069" i="1"/>
  <c r="R1069" i="1"/>
  <c r="A1069" i="1" s="1"/>
  <c r="W1068" i="1"/>
  <c r="V1068" i="1"/>
  <c r="R1068" i="1"/>
  <c r="A1068" i="1" s="1"/>
  <c r="W1067" i="1"/>
  <c r="V1067" i="1"/>
  <c r="R1067" i="1"/>
  <c r="A1067" i="1" s="1"/>
  <c r="W1066" i="1"/>
  <c r="V1066" i="1"/>
  <c r="R1066" i="1"/>
  <c r="A1066" i="1" s="1"/>
  <c r="W1065" i="1"/>
  <c r="V1065" i="1"/>
  <c r="R1065" i="1"/>
  <c r="A1065" i="1" s="1"/>
  <c r="W1064" i="1"/>
  <c r="V1064" i="1"/>
  <c r="R1064" i="1"/>
  <c r="A1064" i="1" s="1"/>
  <c r="W1063" i="1"/>
  <c r="V1063" i="1"/>
  <c r="R1063" i="1"/>
  <c r="A1063" i="1" s="1"/>
  <c r="W1062" i="1"/>
  <c r="V1062" i="1"/>
  <c r="R1062" i="1"/>
  <c r="A1062" i="1" s="1"/>
  <c r="W1061" i="1"/>
  <c r="V1061" i="1"/>
  <c r="R1061" i="1"/>
  <c r="A1061" i="1" s="1"/>
  <c r="W1060" i="1"/>
  <c r="V1060" i="1"/>
  <c r="R1060" i="1"/>
  <c r="A1060" i="1" s="1"/>
  <c r="W1059" i="1"/>
  <c r="V1059" i="1"/>
  <c r="R1059" i="1"/>
  <c r="A1059" i="1" s="1"/>
  <c r="W1058" i="1"/>
  <c r="V1058" i="1"/>
  <c r="R1058" i="1"/>
  <c r="A1058" i="1" s="1"/>
  <c r="W1057" i="1"/>
  <c r="V1057" i="1"/>
  <c r="R1057" i="1"/>
  <c r="A1057" i="1" s="1"/>
  <c r="W1056" i="1"/>
  <c r="V1056" i="1"/>
  <c r="R1056" i="1"/>
  <c r="A1056" i="1" s="1"/>
  <c r="W1055" i="1"/>
  <c r="V1055" i="1"/>
  <c r="R1055" i="1"/>
  <c r="W1054" i="1"/>
  <c r="V1054" i="1"/>
  <c r="R1054" i="1"/>
  <c r="W1053" i="1"/>
  <c r="V1053" i="1"/>
  <c r="R1053" i="1"/>
  <c r="W1052" i="1"/>
  <c r="V1052" i="1"/>
  <c r="R1052" i="1"/>
  <c r="W1051" i="1"/>
  <c r="V1051" i="1"/>
  <c r="R1051" i="1"/>
  <c r="W1050" i="1"/>
  <c r="V1050" i="1"/>
  <c r="R1050" i="1"/>
  <c r="W1049" i="1"/>
  <c r="V1049" i="1"/>
  <c r="R1049" i="1"/>
  <c r="W1048" i="1"/>
  <c r="V1048" i="1"/>
  <c r="R1048" i="1"/>
  <c r="N1048" i="1"/>
  <c r="O1048" i="1"/>
  <c r="N1049" i="1"/>
  <c r="O1049" i="1"/>
  <c r="N1050" i="1"/>
  <c r="O1050" i="1"/>
  <c r="N1051" i="1"/>
  <c r="O1051" i="1"/>
  <c r="N1052" i="1"/>
  <c r="O1052" i="1"/>
  <c r="N1053" i="1"/>
  <c r="O1053" i="1"/>
  <c r="N1054" i="1"/>
  <c r="O1054" i="1"/>
  <c r="N1055" i="1"/>
  <c r="O1055" i="1"/>
  <c r="N1056" i="1"/>
  <c r="O1056" i="1"/>
  <c r="N1057" i="1"/>
  <c r="O1057" i="1"/>
  <c r="N1058" i="1"/>
  <c r="O1058" i="1"/>
  <c r="N1059" i="1"/>
  <c r="O1059" i="1"/>
  <c r="N1060" i="1"/>
  <c r="O1060" i="1"/>
  <c r="N1061" i="1"/>
  <c r="O1061" i="1"/>
  <c r="N1062" i="1"/>
  <c r="O1062" i="1"/>
  <c r="N1063" i="1"/>
  <c r="O1063" i="1"/>
  <c r="N1064" i="1"/>
  <c r="O1064" i="1"/>
  <c r="N1065" i="1"/>
  <c r="O1065" i="1"/>
  <c r="N1066" i="1"/>
  <c r="O1066" i="1"/>
  <c r="N1067" i="1"/>
  <c r="O1067" i="1"/>
  <c r="N1068" i="1"/>
  <c r="O1068" i="1"/>
  <c r="N1069" i="1"/>
  <c r="O1069" i="1"/>
  <c r="N1070" i="1"/>
  <c r="O1070" i="1"/>
  <c r="N1071" i="1"/>
  <c r="O1071" i="1"/>
  <c r="N1072" i="1"/>
  <c r="O1072" i="1"/>
  <c r="N1073" i="1"/>
  <c r="O1073" i="1"/>
  <c r="N1074" i="1"/>
  <c r="O1074" i="1"/>
  <c r="N1075" i="1"/>
  <c r="O1075" i="1"/>
  <c r="W1042" i="1"/>
  <c r="V1042" i="1"/>
  <c r="R1042" i="1"/>
  <c r="W1041" i="1"/>
  <c r="V1041" i="1"/>
  <c r="R1041" i="1"/>
  <c r="W1040" i="1"/>
  <c r="V1040" i="1"/>
  <c r="R1040" i="1"/>
  <c r="W1039" i="1"/>
  <c r="V1039" i="1"/>
  <c r="R1039" i="1"/>
  <c r="W1038" i="1"/>
  <c r="V1038" i="1"/>
  <c r="R1038" i="1"/>
  <c r="W1037" i="1"/>
  <c r="V1037" i="1"/>
  <c r="R1037" i="1"/>
  <c r="W1036" i="1"/>
  <c r="V1036" i="1"/>
  <c r="R1036" i="1"/>
  <c r="W1035" i="1"/>
  <c r="V1035" i="1"/>
  <c r="R1035" i="1"/>
  <c r="W1034" i="1"/>
  <c r="V1034" i="1"/>
  <c r="R1034" i="1"/>
  <c r="W1033" i="1"/>
  <c r="V1033" i="1"/>
  <c r="R1033" i="1"/>
  <c r="W1032" i="1"/>
  <c r="V1032" i="1"/>
  <c r="R1032" i="1"/>
  <c r="W1031" i="1"/>
  <c r="V1031" i="1"/>
  <c r="R1031" i="1"/>
  <c r="W1030" i="1"/>
  <c r="V1030" i="1"/>
  <c r="R1030" i="1"/>
  <c r="W1029" i="1"/>
  <c r="V1029" i="1"/>
  <c r="R1029" i="1"/>
  <c r="W1028" i="1"/>
  <c r="V1028" i="1"/>
  <c r="R1028" i="1"/>
  <c r="W1027" i="1"/>
  <c r="V1027" i="1"/>
  <c r="R1027" i="1"/>
  <c r="W1026" i="1"/>
  <c r="V1026" i="1"/>
  <c r="R1026" i="1"/>
  <c r="W1025" i="1"/>
  <c r="V1025" i="1"/>
  <c r="R1025" i="1"/>
  <c r="W1024" i="1"/>
  <c r="V1024" i="1"/>
  <c r="R1024" i="1"/>
  <c r="W1023" i="1"/>
  <c r="V1023" i="1"/>
  <c r="R1023" i="1"/>
  <c r="W1022" i="1"/>
  <c r="V1022" i="1"/>
  <c r="R1022" i="1"/>
  <c r="W1021" i="1"/>
  <c r="V1021" i="1"/>
  <c r="R1021" i="1"/>
  <c r="W1020" i="1"/>
  <c r="V1020" i="1"/>
  <c r="R1020" i="1"/>
  <c r="W1019" i="1"/>
  <c r="V1019" i="1"/>
  <c r="R1019" i="1"/>
  <c r="W1018" i="1"/>
  <c r="V1018" i="1"/>
  <c r="R1018" i="1"/>
  <c r="W1017" i="1"/>
  <c r="V1017" i="1"/>
  <c r="R1017" i="1"/>
  <c r="W1016" i="1"/>
  <c r="V1016" i="1"/>
  <c r="R1016" i="1"/>
  <c r="W1015" i="1"/>
  <c r="V1015" i="1"/>
  <c r="R1015" i="1"/>
  <c r="W1014" i="1"/>
  <c r="V1014" i="1"/>
  <c r="R1014" i="1"/>
  <c r="W1013" i="1"/>
  <c r="V1013" i="1"/>
  <c r="R1013" i="1"/>
  <c r="W1012" i="1"/>
  <c r="V1012" i="1"/>
  <c r="R1012" i="1"/>
  <c r="W1011" i="1"/>
  <c r="V1011" i="1"/>
  <c r="R1011" i="1"/>
  <c r="W1010" i="1"/>
  <c r="V1010" i="1"/>
  <c r="R1010" i="1"/>
  <c r="W1009" i="1"/>
  <c r="V1009" i="1"/>
  <c r="R1009" i="1"/>
  <c r="W1008" i="1"/>
  <c r="V1008" i="1"/>
  <c r="R1008" i="1"/>
  <c r="W1007" i="1"/>
  <c r="V1007" i="1"/>
  <c r="R1007" i="1"/>
  <c r="W1006" i="1"/>
  <c r="V1006" i="1"/>
  <c r="R1006" i="1"/>
  <c r="W1005" i="1"/>
  <c r="V1005" i="1"/>
  <c r="R1005" i="1"/>
  <c r="W1004" i="1"/>
  <c r="V1004" i="1"/>
  <c r="R1004" i="1"/>
  <c r="W1003" i="1"/>
  <c r="V1003" i="1"/>
  <c r="R1003" i="1"/>
  <c r="W1002" i="1"/>
  <c r="V1002" i="1"/>
  <c r="R1002" i="1"/>
  <c r="W1001" i="1"/>
  <c r="V1001" i="1"/>
  <c r="R1001" i="1"/>
  <c r="W1000" i="1"/>
  <c r="V1000" i="1"/>
  <c r="R1000" i="1"/>
  <c r="W999" i="1"/>
  <c r="V999" i="1"/>
  <c r="R999" i="1"/>
  <c r="W998" i="1"/>
  <c r="V998" i="1"/>
  <c r="R998" i="1"/>
  <c r="W997" i="1"/>
  <c r="V997" i="1"/>
  <c r="R997" i="1"/>
  <c r="W996" i="1"/>
  <c r="V996" i="1"/>
  <c r="R996" i="1"/>
  <c r="W995" i="1"/>
  <c r="V995" i="1"/>
  <c r="R995" i="1"/>
  <c r="W994" i="1"/>
  <c r="V994" i="1"/>
  <c r="R994" i="1"/>
  <c r="W993" i="1"/>
  <c r="V993" i="1"/>
  <c r="R993" i="1"/>
  <c r="W992" i="1"/>
  <c r="V992" i="1"/>
  <c r="R992" i="1"/>
  <c r="W991" i="1"/>
  <c r="V991" i="1"/>
  <c r="R991" i="1"/>
  <c r="W990" i="1"/>
  <c r="V990" i="1"/>
  <c r="R990" i="1"/>
  <c r="W989" i="1"/>
  <c r="V989" i="1"/>
  <c r="R989" i="1"/>
  <c r="W988" i="1"/>
  <c r="V988" i="1"/>
  <c r="R988" i="1"/>
  <c r="W987" i="1"/>
  <c r="V987" i="1"/>
  <c r="R987" i="1"/>
  <c r="W986" i="1"/>
  <c r="V986" i="1"/>
  <c r="R986" i="1"/>
  <c r="W985" i="1"/>
  <c r="V985" i="1"/>
  <c r="R985" i="1"/>
  <c r="W984" i="1"/>
  <c r="V984" i="1"/>
  <c r="R984" i="1"/>
  <c r="W983" i="1"/>
  <c r="V983" i="1"/>
  <c r="R983" i="1"/>
  <c r="W982" i="1"/>
  <c r="V982" i="1"/>
  <c r="R982" i="1"/>
  <c r="W981" i="1"/>
  <c r="V981" i="1"/>
  <c r="R981" i="1"/>
  <c r="W980" i="1"/>
  <c r="V980" i="1"/>
  <c r="R980" i="1"/>
  <c r="W979" i="1"/>
  <c r="V979" i="1"/>
  <c r="R979" i="1"/>
  <c r="W977" i="1"/>
  <c r="V977" i="1"/>
  <c r="R977" i="1"/>
  <c r="W976" i="1"/>
  <c r="V976" i="1"/>
  <c r="R976" i="1"/>
  <c r="W975" i="1"/>
  <c r="V975" i="1"/>
  <c r="R975" i="1"/>
  <c r="W974" i="1"/>
  <c r="V974" i="1"/>
  <c r="R974" i="1"/>
  <c r="W973" i="1"/>
  <c r="V973" i="1"/>
  <c r="R973" i="1"/>
  <c r="W972" i="1"/>
  <c r="V972" i="1"/>
  <c r="R972" i="1"/>
  <c r="W971" i="1"/>
  <c r="V971" i="1"/>
  <c r="R971" i="1"/>
  <c r="W970" i="1"/>
  <c r="V970" i="1"/>
  <c r="R970" i="1"/>
  <c r="W969" i="1"/>
  <c r="V969" i="1"/>
  <c r="R969" i="1"/>
  <c r="W968" i="1"/>
  <c r="V968" i="1"/>
  <c r="R968" i="1"/>
  <c r="W967" i="1"/>
  <c r="V967" i="1"/>
  <c r="R967" i="1"/>
  <c r="W966" i="1"/>
  <c r="V966" i="1"/>
  <c r="R966" i="1"/>
  <c r="W965" i="1"/>
  <c r="V965" i="1"/>
  <c r="R965" i="1"/>
  <c r="W964" i="1"/>
  <c r="V964" i="1"/>
  <c r="R964" i="1"/>
  <c r="W963" i="1"/>
  <c r="V963" i="1"/>
  <c r="R963" i="1"/>
  <c r="W962" i="1"/>
  <c r="V962" i="1"/>
  <c r="R962" i="1"/>
  <c r="W961" i="1"/>
  <c r="V961" i="1"/>
  <c r="R961" i="1"/>
  <c r="W960" i="1"/>
  <c r="V960" i="1"/>
  <c r="R960" i="1"/>
  <c r="W959" i="1"/>
  <c r="V959" i="1"/>
  <c r="R959" i="1"/>
  <c r="W958" i="1"/>
  <c r="V958" i="1"/>
  <c r="R958" i="1"/>
  <c r="W957" i="1"/>
  <c r="V957" i="1"/>
  <c r="R957" i="1"/>
  <c r="W956" i="1"/>
  <c r="V956" i="1"/>
  <c r="R956" i="1"/>
  <c r="W955" i="1"/>
  <c r="V955" i="1"/>
  <c r="R955" i="1"/>
  <c r="W954" i="1"/>
  <c r="V954" i="1"/>
  <c r="R954" i="1"/>
  <c r="W953" i="1"/>
  <c r="V953" i="1"/>
  <c r="R953" i="1"/>
  <c r="W952" i="1"/>
  <c r="V952" i="1"/>
  <c r="R952" i="1"/>
  <c r="W951" i="1"/>
  <c r="V951" i="1"/>
  <c r="R951" i="1"/>
  <c r="W949" i="1"/>
  <c r="V949" i="1"/>
  <c r="R949" i="1"/>
  <c r="W948" i="1"/>
  <c r="V948" i="1"/>
  <c r="R948" i="1"/>
  <c r="W947" i="1"/>
  <c r="V947" i="1"/>
  <c r="R947" i="1"/>
  <c r="W946" i="1"/>
  <c r="V946" i="1"/>
  <c r="R946" i="1"/>
  <c r="W945" i="1"/>
  <c r="V945" i="1"/>
  <c r="R945" i="1"/>
  <c r="W944" i="1"/>
  <c r="V944" i="1"/>
  <c r="R944" i="1"/>
  <c r="W943" i="1"/>
  <c r="V943" i="1"/>
  <c r="R943" i="1"/>
  <c r="W942" i="1"/>
  <c r="V942" i="1"/>
  <c r="R942" i="1"/>
  <c r="W940" i="1"/>
  <c r="V940" i="1"/>
  <c r="R940" i="1"/>
  <c r="W939" i="1"/>
  <c r="V939" i="1"/>
  <c r="R939" i="1"/>
  <c r="W938" i="1"/>
  <c r="V938" i="1"/>
  <c r="R938" i="1"/>
  <c r="W937" i="1"/>
  <c r="V937" i="1"/>
  <c r="R937" i="1"/>
  <c r="W936" i="1"/>
  <c r="V936" i="1"/>
  <c r="R936" i="1"/>
  <c r="W935" i="1"/>
  <c r="V935" i="1"/>
  <c r="R935" i="1"/>
  <c r="W934" i="1"/>
  <c r="V934" i="1"/>
  <c r="R934" i="1"/>
  <c r="W933" i="1"/>
  <c r="V933" i="1"/>
  <c r="R933" i="1"/>
  <c r="W932" i="1"/>
  <c r="V932" i="1"/>
  <c r="R932" i="1"/>
  <c r="W931" i="1"/>
  <c r="V931" i="1"/>
  <c r="R931" i="1"/>
  <c r="W930" i="1"/>
  <c r="V930" i="1"/>
  <c r="R930" i="1"/>
  <c r="W929" i="1"/>
  <c r="V929" i="1"/>
  <c r="R929" i="1"/>
  <c r="W928" i="1"/>
  <c r="V928" i="1"/>
  <c r="R928" i="1"/>
  <c r="W927" i="1"/>
  <c r="V927" i="1"/>
  <c r="R927" i="1"/>
  <c r="W926" i="1"/>
  <c r="V926" i="1"/>
  <c r="R926" i="1"/>
  <c r="W925" i="1"/>
  <c r="V925" i="1"/>
  <c r="R925" i="1"/>
  <c r="W924" i="1"/>
  <c r="V924" i="1"/>
  <c r="R924" i="1"/>
  <c r="W923" i="1"/>
  <c r="V923" i="1"/>
  <c r="R923" i="1"/>
  <c r="W922" i="1"/>
  <c r="V922" i="1"/>
  <c r="R922" i="1"/>
  <c r="W921" i="1"/>
  <c r="V921" i="1"/>
  <c r="R921" i="1"/>
  <c r="W920" i="1"/>
  <c r="V920" i="1"/>
  <c r="R920" i="1"/>
  <c r="W919" i="1"/>
  <c r="V919" i="1"/>
  <c r="R919" i="1"/>
  <c r="W918" i="1"/>
  <c r="V918" i="1"/>
  <c r="R918" i="1"/>
  <c r="W917" i="1"/>
  <c r="V917" i="1"/>
  <c r="R917" i="1"/>
  <c r="W916" i="1"/>
  <c r="V916" i="1"/>
  <c r="R916" i="1"/>
  <c r="W915" i="1"/>
  <c r="V915" i="1"/>
  <c r="R915" i="1"/>
  <c r="W914" i="1"/>
  <c r="V914" i="1"/>
  <c r="R914" i="1"/>
  <c r="W913" i="1"/>
  <c r="V913" i="1"/>
  <c r="R913" i="1"/>
  <c r="W912" i="1"/>
  <c r="V912" i="1"/>
  <c r="R912" i="1"/>
  <c r="W911" i="1"/>
  <c r="V911" i="1"/>
  <c r="R911" i="1"/>
  <c r="W910" i="1"/>
  <c r="V910" i="1"/>
  <c r="R910" i="1"/>
  <c r="W909" i="1"/>
  <c r="V909" i="1"/>
  <c r="R909" i="1"/>
  <c r="W908" i="1"/>
  <c r="V908" i="1"/>
  <c r="R908" i="1"/>
  <c r="W907" i="1"/>
  <c r="V907" i="1"/>
  <c r="R907" i="1"/>
  <c r="W906" i="1"/>
  <c r="V906" i="1"/>
  <c r="R906" i="1"/>
  <c r="W905" i="1"/>
  <c r="V905" i="1"/>
  <c r="R905" i="1"/>
  <c r="W904" i="1"/>
  <c r="V904" i="1"/>
  <c r="R904" i="1"/>
  <c r="W903" i="1"/>
  <c r="V903" i="1"/>
  <c r="R903" i="1"/>
  <c r="W902" i="1"/>
  <c r="V902" i="1"/>
  <c r="R902" i="1"/>
  <c r="W901" i="1"/>
  <c r="V901" i="1"/>
  <c r="R901" i="1"/>
  <c r="W900" i="1"/>
  <c r="V900" i="1"/>
  <c r="R900" i="1"/>
  <c r="W899" i="1"/>
  <c r="V899" i="1"/>
  <c r="R899" i="1"/>
  <c r="W898" i="1"/>
  <c r="V898" i="1"/>
  <c r="R898" i="1"/>
  <c r="W897" i="1"/>
  <c r="V897" i="1"/>
  <c r="R897" i="1"/>
  <c r="W896" i="1"/>
  <c r="V896" i="1"/>
  <c r="R896" i="1"/>
  <c r="W895" i="1"/>
  <c r="V895" i="1"/>
  <c r="R895" i="1"/>
  <c r="W894" i="1"/>
  <c r="V894" i="1"/>
  <c r="R894" i="1"/>
  <c r="W893" i="1"/>
  <c r="V893" i="1"/>
  <c r="R893" i="1"/>
  <c r="W892" i="1"/>
  <c r="V892" i="1"/>
  <c r="R892" i="1"/>
  <c r="W891" i="1"/>
  <c r="V891" i="1"/>
  <c r="R891" i="1"/>
  <c r="W890" i="1"/>
  <c r="V890" i="1"/>
  <c r="R890" i="1"/>
  <c r="W889" i="1"/>
  <c r="V889" i="1"/>
  <c r="R889" i="1"/>
  <c r="W888" i="1"/>
  <c r="V888" i="1"/>
  <c r="R888" i="1"/>
  <c r="W887" i="1"/>
  <c r="V887" i="1"/>
  <c r="R887" i="1"/>
  <c r="W886" i="1"/>
  <c r="V886" i="1"/>
  <c r="R886" i="1"/>
  <c r="W885" i="1"/>
  <c r="V885" i="1"/>
  <c r="R885" i="1"/>
  <c r="W884" i="1"/>
  <c r="V884" i="1"/>
  <c r="R884" i="1"/>
  <c r="W883" i="1"/>
  <c r="V883" i="1"/>
  <c r="R883" i="1"/>
  <c r="W882" i="1"/>
  <c r="V882" i="1"/>
  <c r="R882" i="1"/>
  <c r="W881" i="1"/>
  <c r="V881" i="1"/>
  <c r="R881" i="1"/>
  <c r="W880" i="1"/>
  <c r="V880" i="1"/>
  <c r="R880" i="1"/>
  <c r="W879" i="1"/>
  <c r="V879" i="1"/>
  <c r="R879" i="1"/>
  <c r="W878" i="1"/>
  <c r="V878" i="1"/>
  <c r="R878" i="1"/>
  <c r="W877" i="1"/>
  <c r="V877" i="1"/>
  <c r="R877" i="1"/>
  <c r="W876" i="1"/>
  <c r="V876" i="1"/>
  <c r="R876" i="1"/>
  <c r="W875" i="1"/>
  <c r="V875" i="1"/>
  <c r="R875" i="1"/>
  <c r="W874" i="1"/>
  <c r="V874" i="1"/>
  <c r="R874" i="1"/>
  <c r="W873" i="1"/>
  <c r="V873" i="1"/>
  <c r="R873" i="1"/>
  <c r="W872" i="1"/>
  <c r="V872" i="1"/>
  <c r="R872" i="1"/>
  <c r="W871" i="1"/>
  <c r="V871" i="1"/>
  <c r="R871" i="1"/>
  <c r="W870" i="1"/>
  <c r="V870" i="1"/>
  <c r="R870" i="1"/>
  <c r="W869" i="1"/>
  <c r="V869" i="1"/>
  <c r="R869" i="1"/>
  <c r="W868" i="1"/>
  <c r="V868" i="1"/>
  <c r="R868" i="1"/>
  <c r="W867" i="1"/>
  <c r="V867" i="1"/>
  <c r="R867" i="1"/>
  <c r="W866" i="1"/>
  <c r="V866" i="1"/>
  <c r="R866" i="1"/>
  <c r="W865" i="1"/>
  <c r="V865" i="1"/>
  <c r="R865" i="1"/>
  <c r="W864" i="1"/>
  <c r="V864" i="1"/>
  <c r="R864" i="1"/>
  <c r="W863" i="1"/>
  <c r="V863" i="1"/>
  <c r="R863" i="1"/>
  <c r="W862" i="1"/>
  <c r="V862" i="1"/>
  <c r="R862" i="1"/>
  <c r="W861" i="1"/>
  <c r="V861" i="1"/>
  <c r="R861" i="1"/>
  <c r="W860" i="1"/>
  <c r="V860" i="1"/>
  <c r="R860" i="1"/>
  <c r="W859" i="1"/>
  <c r="V859" i="1"/>
  <c r="R859" i="1"/>
  <c r="W858" i="1"/>
  <c r="V858" i="1"/>
  <c r="R858" i="1"/>
  <c r="W857" i="1"/>
  <c r="V857" i="1"/>
  <c r="R857" i="1"/>
  <c r="W856" i="1"/>
  <c r="V856" i="1"/>
  <c r="R856" i="1"/>
  <c r="W855" i="1"/>
  <c r="V855" i="1"/>
  <c r="R855" i="1"/>
  <c r="W854" i="1"/>
  <c r="V854" i="1"/>
  <c r="R854" i="1"/>
  <c r="W853" i="1"/>
  <c r="V853" i="1"/>
  <c r="R853" i="1"/>
  <c r="W852" i="1"/>
  <c r="V852" i="1"/>
  <c r="R852" i="1"/>
  <c r="W851" i="1"/>
  <c r="V851" i="1"/>
  <c r="R851" i="1"/>
  <c r="W850" i="1"/>
  <c r="V850" i="1"/>
  <c r="R850" i="1"/>
  <c r="W849" i="1"/>
  <c r="V849" i="1"/>
  <c r="R849" i="1"/>
  <c r="W848" i="1"/>
  <c r="V848" i="1"/>
  <c r="R848" i="1"/>
  <c r="W847" i="1"/>
  <c r="V847" i="1"/>
  <c r="R847" i="1"/>
  <c r="W846" i="1"/>
  <c r="V846" i="1"/>
  <c r="R846" i="1"/>
  <c r="N1034" i="1"/>
  <c r="O1034" i="1"/>
  <c r="N1035" i="1"/>
  <c r="O1035" i="1"/>
  <c r="N1036" i="1"/>
  <c r="O1036" i="1"/>
  <c r="N1037" i="1"/>
  <c r="O1037" i="1"/>
  <c r="N1038" i="1"/>
  <c r="O1038" i="1"/>
  <c r="N1039" i="1"/>
  <c r="O1039" i="1"/>
  <c r="N1040" i="1"/>
  <c r="O1040" i="1"/>
  <c r="N1041" i="1"/>
  <c r="O1041" i="1"/>
  <c r="N1042" i="1"/>
  <c r="O1042" i="1"/>
  <c r="W941" i="1"/>
  <c r="V941" i="1"/>
  <c r="R941" i="1"/>
  <c r="N846" i="1"/>
  <c r="O846" i="1"/>
  <c r="N847" i="1"/>
  <c r="O847" i="1"/>
  <c r="N848" i="1"/>
  <c r="O848" i="1"/>
  <c r="N849" i="1"/>
  <c r="O849" i="1"/>
  <c r="N850" i="1"/>
  <c r="O850" i="1"/>
  <c r="N851" i="1"/>
  <c r="O851" i="1"/>
  <c r="N852" i="1"/>
  <c r="O852" i="1"/>
  <c r="N853" i="1"/>
  <c r="O853" i="1"/>
  <c r="N854" i="1"/>
  <c r="O854" i="1"/>
  <c r="N855" i="1"/>
  <c r="O855" i="1"/>
  <c r="N856" i="1"/>
  <c r="O856" i="1"/>
  <c r="N857" i="1"/>
  <c r="O857" i="1"/>
  <c r="N858" i="1"/>
  <c r="O858" i="1"/>
  <c r="N859" i="1"/>
  <c r="O859" i="1"/>
  <c r="N860" i="1"/>
  <c r="O860" i="1"/>
  <c r="N861" i="1"/>
  <c r="O861" i="1"/>
  <c r="N862" i="1"/>
  <c r="O862" i="1"/>
  <c r="N863" i="1"/>
  <c r="O863" i="1"/>
  <c r="N864" i="1"/>
  <c r="O864" i="1"/>
  <c r="N865" i="1"/>
  <c r="O865" i="1"/>
  <c r="N866" i="1"/>
  <c r="O866" i="1"/>
  <c r="N867" i="1"/>
  <c r="O867" i="1"/>
  <c r="N868" i="1"/>
  <c r="O868" i="1"/>
  <c r="N869" i="1"/>
  <c r="O869" i="1"/>
  <c r="N870" i="1"/>
  <c r="O870" i="1"/>
  <c r="N871" i="1"/>
  <c r="O871" i="1"/>
  <c r="N872" i="1"/>
  <c r="O872" i="1"/>
  <c r="N873" i="1"/>
  <c r="O873" i="1"/>
  <c r="N874" i="1"/>
  <c r="O874" i="1"/>
  <c r="N875" i="1"/>
  <c r="O875" i="1"/>
  <c r="N876" i="1"/>
  <c r="O876" i="1"/>
  <c r="N877" i="1"/>
  <c r="O877" i="1"/>
  <c r="N878" i="1"/>
  <c r="O878" i="1"/>
  <c r="N879" i="1"/>
  <c r="O879" i="1"/>
  <c r="N880" i="1"/>
  <c r="O880" i="1"/>
  <c r="N881" i="1"/>
  <c r="O881" i="1"/>
  <c r="N882" i="1"/>
  <c r="O882" i="1"/>
  <c r="N883" i="1"/>
  <c r="O883" i="1"/>
  <c r="N884" i="1"/>
  <c r="O884" i="1"/>
  <c r="N885" i="1"/>
  <c r="O885" i="1"/>
  <c r="N886" i="1"/>
  <c r="O886" i="1"/>
  <c r="N887" i="1"/>
  <c r="O887" i="1"/>
  <c r="N888" i="1"/>
  <c r="O888" i="1"/>
  <c r="N889" i="1"/>
  <c r="O889" i="1"/>
  <c r="N890" i="1"/>
  <c r="O890" i="1"/>
  <c r="N891" i="1"/>
  <c r="O891" i="1"/>
  <c r="N892" i="1"/>
  <c r="O892" i="1"/>
  <c r="N893" i="1"/>
  <c r="O893" i="1"/>
  <c r="N894" i="1"/>
  <c r="O894" i="1"/>
  <c r="N895" i="1"/>
  <c r="O895" i="1"/>
  <c r="N896" i="1"/>
  <c r="O896" i="1"/>
  <c r="N897" i="1"/>
  <c r="O897" i="1"/>
  <c r="N898" i="1"/>
  <c r="O898" i="1"/>
  <c r="N899" i="1"/>
  <c r="O899" i="1"/>
  <c r="N900" i="1"/>
  <c r="O900" i="1"/>
  <c r="N901" i="1"/>
  <c r="O901" i="1"/>
  <c r="N902" i="1"/>
  <c r="O902" i="1"/>
  <c r="N903" i="1"/>
  <c r="O903" i="1"/>
  <c r="N904" i="1"/>
  <c r="O904" i="1"/>
  <c r="N905" i="1"/>
  <c r="O905" i="1"/>
  <c r="N906" i="1"/>
  <c r="O906" i="1"/>
  <c r="N907" i="1"/>
  <c r="O907" i="1"/>
  <c r="N908" i="1"/>
  <c r="O908" i="1"/>
  <c r="N909" i="1"/>
  <c r="O909" i="1"/>
  <c r="N910" i="1"/>
  <c r="O910" i="1"/>
  <c r="N911" i="1"/>
  <c r="O911" i="1"/>
  <c r="N912" i="1"/>
  <c r="O912" i="1"/>
  <c r="N913" i="1"/>
  <c r="O913" i="1"/>
  <c r="N914" i="1"/>
  <c r="O914" i="1"/>
  <c r="N915" i="1"/>
  <c r="O915" i="1"/>
  <c r="N916" i="1"/>
  <c r="O916" i="1"/>
  <c r="N917" i="1"/>
  <c r="O917" i="1"/>
  <c r="N918" i="1"/>
  <c r="O918" i="1"/>
  <c r="N919" i="1"/>
  <c r="O919" i="1"/>
  <c r="N920" i="1"/>
  <c r="O920" i="1"/>
  <c r="N921" i="1"/>
  <c r="O921" i="1"/>
  <c r="N922" i="1"/>
  <c r="O922" i="1"/>
  <c r="N923" i="1"/>
  <c r="O923" i="1"/>
  <c r="N924" i="1"/>
  <c r="O924" i="1"/>
  <c r="N925" i="1"/>
  <c r="O925" i="1"/>
  <c r="N926" i="1"/>
  <c r="O926" i="1"/>
  <c r="N927" i="1"/>
  <c r="O927" i="1"/>
  <c r="N928" i="1"/>
  <c r="O928" i="1"/>
  <c r="N929" i="1"/>
  <c r="O929" i="1"/>
  <c r="N930" i="1"/>
  <c r="O930" i="1"/>
  <c r="N931" i="1"/>
  <c r="O931" i="1"/>
  <c r="N932" i="1"/>
  <c r="O932" i="1"/>
  <c r="N933" i="1"/>
  <c r="O933" i="1"/>
  <c r="N934" i="1"/>
  <c r="O934" i="1"/>
  <c r="N935" i="1"/>
  <c r="O935" i="1"/>
  <c r="N936" i="1"/>
  <c r="O936" i="1"/>
  <c r="N937" i="1"/>
  <c r="O937" i="1"/>
  <c r="N938" i="1"/>
  <c r="O938" i="1"/>
  <c r="N939" i="1"/>
  <c r="O939" i="1"/>
  <c r="N940" i="1"/>
  <c r="O940" i="1"/>
  <c r="N941" i="1"/>
  <c r="O941" i="1"/>
  <c r="N942" i="1"/>
  <c r="O942" i="1"/>
  <c r="N943" i="1"/>
  <c r="O943" i="1"/>
  <c r="N944" i="1"/>
  <c r="O944" i="1"/>
  <c r="N945" i="1"/>
  <c r="O945" i="1"/>
  <c r="N946" i="1"/>
  <c r="O946" i="1"/>
  <c r="N947" i="1"/>
  <c r="O947" i="1"/>
  <c r="N948" i="1"/>
  <c r="O948" i="1"/>
  <c r="N949" i="1"/>
  <c r="O949" i="1"/>
  <c r="N951" i="1"/>
  <c r="O951" i="1"/>
  <c r="N952" i="1"/>
  <c r="O952" i="1"/>
  <c r="N953" i="1"/>
  <c r="O953" i="1"/>
  <c r="N954" i="1"/>
  <c r="O954" i="1"/>
  <c r="N955" i="1"/>
  <c r="O955" i="1"/>
  <c r="N956" i="1"/>
  <c r="O956" i="1"/>
  <c r="N957" i="1"/>
  <c r="O957" i="1"/>
  <c r="N958" i="1"/>
  <c r="O958" i="1"/>
  <c r="N959" i="1"/>
  <c r="O959" i="1"/>
  <c r="N960" i="1"/>
  <c r="O960" i="1"/>
  <c r="N961" i="1"/>
  <c r="O961" i="1"/>
  <c r="N962" i="1"/>
  <c r="O962" i="1"/>
  <c r="N963" i="1"/>
  <c r="O963" i="1"/>
  <c r="N964" i="1"/>
  <c r="O964" i="1"/>
  <c r="N965" i="1"/>
  <c r="O965" i="1"/>
  <c r="N966" i="1"/>
  <c r="O966" i="1"/>
  <c r="N967" i="1"/>
  <c r="O967" i="1"/>
  <c r="N968" i="1"/>
  <c r="O968" i="1"/>
  <c r="N969" i="1"/>
  <c r="O969" i="1"/>
  <c r="N970" i="1"/>
  <c r="O970" i="1"/>
  <c r="N971" i="1"/>
  <c r="O971" i="1"/>
  <c r="N972" i="1"/>
  <c r="O972" i="1"/>
  <c r="N973" i="1"/>
  <c r="O973" i="1"/>
  <c r="N974" i="1"/>
  <c r="O974" i="1"/>
  <c r="N975" i="1"/>
  <c r="O975" i="1"/>
  <c r="N976" i="1"/>
  <c r="O976" i="1"/>
  <c r="N977" i="1"/>
  <c r="O977" i="1"/>
  <c r="N978" i="1"/>
  <c r="O978" i="1"/>
  <c r="N979" i="1"/>
  <c r="O979" i="1"/>
  <c r="N980" i="1"/>
  <c r="O980" i="1"/>
  <c r="N981" i="1"/>
  <c r="O981" i="1"/>
  <c r="N982" i="1"/>
  <c r="O982" i="1"/>
  <c r="N983" i="1"/>
  <c r="O983" i="1"/>
  <c r="N984" i="1"/>
  <c r="O984" i="1"/>
  <c r="N985" i="1"/>
  <c r="O985" i="1"/>
  <c r="N986" i="1"/>
  <c r="O986" i="1"/>
  <c r="N987" i="1"/>
  <c r="O987" i="1"/>
  <c r="N988" i="1"/>
  <c r="O988" i="1"/>
  <c r="N989" i="1"/>
  <c r="O989" i="1"/>
  <c r="N990" i="1"/>
  <c r="O990" i="1"/>
  <c r="N991" i="1"/>
  <c r="O991" i="1"/>
  <c r="N992" i="1"/>
  <c r="O992" i="1"/>
  <c r="N993" i="1"/>
  <c r="O993" i="1"/>
  <c r="N994" i="1"/>
  <c r="O994" i="1"/>
  <c r="N995" i="1"/>
  <c r="O995" i="1"/>
  <c r="N996" i="1"/>
  <c r="O996" i="1"/>
  <c r="N997" i="1"/>
  <c r="O997" i="1"/>
  <c r="N998" i="1"/>
  <c r="O998" i="1"/>
  <c r="N999" i="1"/>
  <c r="O999" i="1"/>
  <c r="N1000" i="1"/>
  <c r="O1000" i="1"/>
  <c r="N1001" i="1"/>
  <c r="O1001" i="1"/>
  <c r="N1002" i="1"/>
  <c r="O1002" i="1"/>
  <c r="N1003" i="1"/>
  <c r="O1003" i="1"/>
  <c r="N1004" i="1"/>
  <c r="O1004" i="1"/>
  <c r="N1005" i="1"/>
  <c r="O1005" i="1"/>
  <c r="N1006" i="1"/>
  <c r="O1006" i="1"/>
  <c r="N1007" i="1"/>
  <c r="O1007" i="1"/>
  <c r="N1008" i="1"/>
  <c r="O1008" i="1"/>
  <c r="N1009" i="1"/>
  <c r="O1009" i="1"/>
  <c r="N1010" i="1"/>
  <c r="O1010" i="1"/>
  <c r="N1011" i="1"/>
  <c r="O1011" i="1"/>
  <c r="N1012" i="1"/>
  <c r="O1012" i="1"/>
  <c r="N1013" i="1"/>
  <c r="O1013" i="1"/>
  <c r="N1014" i="1"/>
  <c r="O1014" i="1"/>
  <c r="N1015" i="1"/>
  <c r="O1015" i="1"/>
  <c r="N1016" i="1"/>
  <c r="O1016" i="1"/>
  <c r="N1017" i="1"/>
  <c r="O1017" i="1"/>
  <c r="N1018" i="1"/>
  <c r="O1018" i="1"/>
  <c r="N1019" i="1"/>
  <c r="O1019" i="1"/>
  <c r="N1020" i="1"/>
  <c r="O1020" i="1"/>
  <c r="N1021" i="1"/>
  <c r="O1021" i="1"/>
  <c r="N1022" i="1"/>
  <c r="O1022" i="1"/>
  <c r="N1023" i="1"/>
  <c r="O1023" i="1"/>
  <c r="N1024" i="1"/>
  <c r="O1024" i="1"/>
  <c r="N1025" i="1"/>
  <c r="O1025" i="1"/>
  <c r="N1026" i="1"/>
  <c r="O1026" i="1"/>
  <c r="N1027" i="1"/>
  <c r="O1027" i="1"/>
  <c r="N1028" i="1"/>
  <c r="O1028" i="1"/>
  <c r="N1029" i="1"/>
  <c r="O1029" i="1"/>
  <c r="N1030" i="1"/>
  <c r="O1030" i="1"/>
  <c r="N1031" i="1"/>
  <c r="O1031" i="1"/>
  <c r="N1032" i="1"/>
  <c r="O1032" i="1"/>
  <c r="N1033" i="1"/>
  <c r="O1033" i="1"/>
  <c r="W840" i="1"/>
  <c r="V840" i="1"/>
  <c r="R840" i="1"/>
  <c r="W839" i="1"/>
  <c r="V839" i="1"/>
  <c r="R839" i="1"/>
  <c r="W838" i="1"/>
  <c r="V838" i="1"/>
  <c r="R838" i="1"/>
  <c r="W837" i="1"/>
  <c r="V837" i="1"/>
  <c r="R837" i="1"/>
  <c r="W836" i="1"/>
  <c r="V836" i="1"/>
  <c r="R836" i="1"/>
  <c r="W835" i="1"/>
  <c r="V835" i="1"/>
  <c r="R835" i="1"/>
  <c r="W834" i="1"/>
  <c r="V834" i="1"/>
  <c r="R834" i="1"/>
  <c r="W833" i="1"/>
  <c r="V833" i="1"/>
  <c r="R833" i="1"/>
  <c r="W832" i="1"/>
  <c r="V832" i="1"/>
  <c r="R832" i="1"/>
  <c r="W831" i="1"/>
  <c r="V831" i="1"/>
  <c r="R831" i="1"/>
  <c r="W830" i="1"/>
  <c r="V830" i="1"/>
  <c r="R830" i="1"/>
  <c r="W829" i="1"/>
  <c r="V829" i="1"/>
  <c r="R829" i="1"/>
  <c r="W828" i="1"/>
  <c r="V828" i="1"/>
  <c r="R828" i="1"/>
  <c r="W827" i="1"/>
  <c r="V827" i="1"/>
  <c r="R827" i="1"/>
  <c r="W826" i="1"/>
  <c r="V826" i="1"/>
  <c r="R826" i="1"/>
  <c r="W825" i="1"/>
  <c r="V825" i="1"/>
  <c r="R825" i="1"/>
  <c r="W824" i="1"/>
  <c r="V824" i="1"/>
  <c r="R824" i="1"/>
  <c r="W823" i="1"/>
  <c r="V823" i="1"/>
  <c r="R823" i="1"/>
  <c r="W822" i="1"/>
  <c r="V822" i="1"/>
  <c r="R822" i="1"/>
  <c r="W821" i="1"/>
  <c r="V821" i="1"/>
  <c r="R821" i="1"/>
  <c r="W820" i="1"/>
  <c r="V820" i="1"/>
  <c r="R820" i="1"/>
  <c r="W819" i="1"/>
  <c r="V819" i="1"/>
  <c r="R819" i="1"/>
  <c r="W818" i="1"/>
  <c r="V818" i="1"/>
  <c r="R818" i="1"/>
  <c r="W817" i="1"/>
  <c r="V817" i="1"/>
  <c r="R817" i="1"/>
  <c r="W816" i="1"/>
  <c r="V816" i="1"/>
  <c r="R816" i="1"/>
  <c r="W815" i="1"/>
  <c r="V815" i="1"/>
  <c r="R815" i="1"/>
  <c r="W814" i="1"/>
  <c r="V814" i="1"/>
  <c r="R814" i="1"/>
  <c r="W813" i="1"/>
  <c r="V813" i="1"/>
  <c r="R813" i="1"/>
  <c r="W812" i="1"/>
  <c r="V812" i="1"/>
  <c r="R812" i="1"/>
  <c r="W811" i="1"/>
  <c r="V811" i="1"/>
  <c r="R811" i="1"/>
  <c r="W810" i="1"/>
  <c r="V810" i="1"/>
  <c r="R810" i="1"/>
  <c r="W809" i="1"/>
  <c r="V809" i="1"/>
  <c r="R809" i="1"/>
  <c r="W808" i="1"/>
  <c r="V808" i="1"/>
  <c r="R808" i="1"/>
  <c r="W807" i="1"/>
  <c r="V807" i="1"/>
  <c r="R807" i="1"/>
  <c r="W806" i="1"/>
  <c r="V806" i="1"/>
  <c r="R806" i="1"/>
  <c r="W805" i="1"/>
  <c r="V805" i="1"/>
  <c r="R805" i="1"/>
  <c r="W804" i="1"/>
  <c r="V804" i="1"/>
  <c r="R804" i="1"/>
  <c r="W803" i="1"/>
  <c r="V803" i="1"/>
  <c r="R803" i="1"/>
  <c r="N836" i="1"/>
  <c r="O836" i="1"/>
  <c r="N837" i="1"/>
  <c r="O837" i="1"/>
  <c r="N838" i="1"/>
  <c r="O838" i="1"/>
  <c r="N839" i="1"/>
  <c r="O839" i="1"/>
  <c r="N840" i="1"/>
  <c r="O840" i="1"/>
  <c r="N803" i="1"/>
  <c r="O803" i="1"/>
  <c r="N804" i="1"/>
  <c r="O804" i="1"/>
  <c r="N805" i="1"/>
  <c r="O805" i="1"/>
  <c r="N806" i="1"/>
  <c r="O806" i="1"/>
  <c r="N807" i="1"/>
  <c r="O807" i="1"/>
  <c r="N808" i="1"/>
  <c r="O808" i="1"/>
  <c r="N809" i="1"/>
  <c r="O809" i="1"/>
  <c r="N810" i="1"/>
  <c r="O810" i="1"/>
  <c r="N811" i="1"/>
  <c r="O811" i="1"/>
  <c r="N812" i="1"/>
  <c r="O812" i="1"/>
  <c r="N813" i="1"/>
  <c r="O813" i="1"/>
  <c r="N814" i="1"/>
  <c r="O814" i="1"/>
  <c r="N815" i="1"/>
  <c r="O815" i="1"/>
  <c r="N816" i="1"/>
  <c r="O816" i="1"/>
  <c r="N817" i="1"/>
  <c r="O817" i="1"/>
  <c r="N818" i="1"/>
  <c r="O818" i="1"/>
  <c r="N819" i="1"/>
  <c r="O819" i="1"/>
  <c r="N820" i="1"/>
  <c r="O820" i="1"/>
  <c r="N821" i="1"/>
  <c r="O821" i="1"/>
  <c r="N822" i="1"/>
  <c r="O822" i="1"/>
  <c r="N823" i="1"/>
  <c r="O823" i="1"/>
  <c r="N824" i="1"/>
  <c r="O824" i="1"/>
  <c r="N825" i="1"/>
  <c r="O825" i="1"/>
  <c r="N826" i="1"/>
  <c r="O826" i="1"/>
  <c r="N827" i="1"/>
  <c r="O827" i="1"/>
  <c r="N828" i="1"/>
  <c r="O828" i="1"/>
  <c r="N829" i="1"/>
  <c r="O829" i="1"/>
  <c r="N830" i="1"/>
  <c r="O830" i="1"/>
  <c r="N831" i="1"/>
  <c r="O831" i="1"/>
  <c r="N832" i="1"/>
  <c r="O832" i="1"/>
  <c r="N833" i="1"/>
  <c r="O833" i="1"/>
  <c r="N834" i="1"/>
  <c r="O834" i="1"/>
  <c r="N835" i="1"/>
  <c r="O835" i="1"/>
  <c r="W802" i="1"/>
  <c r="V802" i="1"/>
  <c r="R802" i="1"/>
  <c r="W801" i="1"/>
  <c r="V801" i="1"/>
  <c r="R801" i="1"/>
  <c r="W800" i="1"/>
  <c r="V800" i="1"/>
  <c r="R800" i="1"/>
  <c r="W799" i="1"/>
  <c r="V799" i="1"/>
  <c r="R799" i="1"/>
  <c r="W798" i="1"/>
  <c r="V798" i="1"/>
  <c r="R798" i="1"/>
  <c r="W797" i="1"/>
  <c r="V797" i="1"/>
  <c r="R797" i="1"/>
  <c r="W796" i="1"/>
  <c r="V796" i="1"/>
  <c r="R796" i="1"/>
  <c r="W795" i="1"/>
  <c r="V795" i="1"/>
  <c r="R795" i="1"/>
  <c r="W794" i="1"/>
  <c r="V794" i="1"/>
  <c r="R794" i="1"/>
  <c r="W793" i="1"/>
  <c r="V793" i="1"/>
  <c r="R793" i="1"/>
  <c r="W792" i="1"/>
  <c r="V792" i="1"/>
  <c r="R792" i="1"/>
  <c r="W791" i="1"/>
  <c r="V791" i="1"/>
  <c r="R791" i="1"/>
  <c r="W790" i="1"/>
  <c r="V790" i="1"/>
  <c r="R790" i="1"/>
  <c r="W789" i="1"/>
  <c r="V789" i="1"/>
  <c r="R789" i="1"/>
  <c r="W788" i="1"/>
  <c r="V788" i="1"/>
  <c r="R788" i="1"/>
  <c r="W787" i="1"/>
  <c r="V787" i="1"/>
  <c r="R787" i="1"/>
  <c r="W786" i="1"/>
  <c r="V786" i="1"/>
  <c r="R786" i="1"/>
  <c r="W785" i="1"/>
  <c r="V785" i="1"/>
  <c r="R785" i="1"/>
  <c r="W784" i="1"/>
  <c r="V784" i="1"/>
  <c r="R784" i="1"/>
  <c r="W783" i="1"/>
  <c r="V783" i="1"/>
  <c r="R783" i="1"/>
  <c r="W782" i="1"/>
  <c r="V782" i="1"/>
  <c r="R782" i="1"/>
  <c r="W781" i="1"/>
  <c r="V781" i="1"/>
  <c r="R781" i="1"/>
  <c r="W780" i="1"/>
  <c r="V780" i="1"/>
  <c r="R780" i="1"/>
  <c r="W779" i="1"/>
  <c r="V779" i="1"/>
  <c r="R779" i="1"/>
  <c r="W778" i="1"/>
  <c r="V778" i="1"/>
  <c r="R778" i="1"/>
  <c r="W777" i="1"/>
  <c r="V777" i="1"/>
  <c r="R777" i="1"/>
  <c r="W776" i="1"/>
  <c r="V776" i="1"/>
  <c r="R776" i="1"/>
  <c r="W775" i="1"/>
  <c r="V775" i="1"/>
  <c r="R775" i="1"/>
  <c r="W774" i="1"/>
  <c r="V774" i="1"/>
  <c r="R774" i="1"/>
  <c r="N774" i="1"/>
  <c r="O774" i="1"/>
  <c r="N775" i="1"/>
  <c r="O775" i="1"/>
  <c r="N776" i="1"/>
  <c r="O776" i="1"/>
  <c r="N777" i="1"/>
  <c r="O777" i="1"/>
  <c r="N778" i="1"/>
  <c r="O778" i="1"/>
  <c r="N779" i="1"/>
  <c r="O779" i="1"/>
  <c r="N780" i="1"/>
  <c r="O780" i="1"/>
  <c r="N781" i="1"/>
  <c r="O781" i="1"/>
  <c r="N782" i="1"/>
  <c r="O782" i="1"/>
  <c r="N783" i="1"/>
  <c r="O783" i="1"/>
  <c r="N784" i="1"/>
  <c r="O784" i="1"/>
  <c r="N785" i="1"/>
  <c r="O785" i="1"/>
  <c r="N786" i="1"/>
  <c r="O786" i="1"/>
  <c r="N787" i="1"/>
  <c r="O787" i="1"/>
  <c r="N788" i="1"/>
  <c r="O788" i="1"/>
  <c r="N789" i="1"/>
  <c r="O789" i="1"/>
  <c r="N790" i="1"/>
  <c r="O790" i="1"/>
  <c r="N791" i="1"/>
  <c r="O791" i="1"/>
  <c r="N792" i="1"/>
  <c r="O792" i="1"/>
  <c r="N793" i="1"/>
  <c r="O793" i="1"/>
  <c r="N794" i="1"/>
  <c r="O794" i="1"/>
  <c r="N795" i="1"/>
  <c r="O795" i="1"/>
  <c r="N796" i="1"/>
  <c r="O796" i="1"/>
  <c r="N797" i="1"/>
  <c r="O797" i="1"/>
  <c r="N798" i="1"/>
  <c r="O798" i="1"/>
  <c r="N799" i="1"/>
  <c r="O799" i="1"/>
  <c r="N800" i="1"/>
  <c r="O800" i="1"/>
  <c r="N801" i="1"/>
  <c r="O801" i="1"/>
  <c r="N802" i="1"/>
  <c r="O802" i="1"/>
  <c r="W773" i="1"/>
  <c r="V773" i="1"/>
  <c r="R773" i="1"/>
  <c r="W772" i="1"/>
  <c r="V772" i="1"/>
  <c r="R772" i="1"/>
  <c r="W771" i="1"/>
  <c r="V771" i="1"/>
  <c r="R771" i="1"/>
  <c r="W770" i="1"/>
  <c r="V770" i="1"/>
  <c r="R770" i="1"/>
  <c r="W769" i="1"/>
  <c r="V769" i="1"/>
  <c r="R769" i="1"/>
  <c r="W768" i="1"/>
  <c r="V768" i="1"/>
  <c r="R768" i="1"/>
  <c r="W767" i="1"/>
  <c r="V767" i="1"/>
  <c r="R767" i="1"/>
  <c r="W766" i="1"/>
  <c r="V766" i="1"/>
  <c r="R766" i="1"/>
  <c r="W765" i="1"/>
  <c r="V765" i="1"/>
  <c r="R765" i="1"/>
  <c r="W764" i="1"/>
  <c r="V764" i="1"/>
  <c r="R764" i="1"/>
  <c r="W763" i="1"/>
  <c r="V763" i="1"/>
  <c r="R763" i="1"/>
  <c r="W762" i="1"/>
  <c r="V762" i="1"/>
  <c r="R762" i="1"/>
  <c r="W761" i="1"/>
  <c r="V761" i="1"/>
  <c r="R761" i="1"/>
  <c r="W760" i="1"/>
  <c r="V760" i="1"/>
  <c r="R760" i="1"/>
  <c r="W759" i="1"/>
  <c r="V759" i="1"/>
  <c r="R759" i="1"/>
  <c r="W758" i="1"/>
  <c r="V758" i="1"/>
  <c r="R758" i="1"/>
  <c r="W757" i="1"/>
  <c r="V757" i="1"/>
  <c r="R757" i="1"/>
  <c r="W756" i="1"/>
  <c r="V756" i="1"/>
  <c r="R756" i="1"/>
  <c r="W755" i="1"/>
  <c r="V755" i="1"/>
  <c r="R755" i="1"/>
  <c r="W754" i="1"/>
  <c r="V754" i="1"/>
  <c r="R754" i="1"/>
  <c r="W753" i="1"/>
  <c r="V753" i="1"/>
  <c r="R753" i="1"/>
  <c r="W752" i="1"/>
  <c r="V752" i="1"/>
  <c r="R752" i="1"/>
  <c r="W751" i="1"/>
  <c r="V751" i="1"/>
  <c r="R751" i="1"/>
  <c r="W750" i="1"/>
  <c r="V750" i="1"/>
  <c r="R750" i="1"/>
  <c r="W749" i="1"/>
  <c r="V749" i="1"/>
  <c r="R749" i="1"/>
  <c r="W748" i="1"/>
  <c r="V748" i="1"/>
  <c r="R748" i="1"/>
  <c r="W747" i="1"/>
  <c r="V747" i="1"/>
  <c r="R747" i="1"/>
  <c r="W746" i="1"/>
  <c r="V746" i="1"/>
  <c r="R746" i="1"/>
  <c r="W745" i="1"/>
  <c r="V745" i="1"/>
  <c r="R745" i="1"/>
  <c r="W744" i="1"/>
  <c r="V744" i="1"/>
  <c r="R744" i="1"/>
  <c r="W743" i="1"/>
  <c r="V743" i="1"/>
  <c r="R743" i="1"/>
  <c r="W742" i="1"/>
  <c r="V742" i="1"/>
  <c r="R742" i="1"/>
  <c r="W741" i="1"/>
  <c r="V741" i="1"/>
  <c r="R741" i="1"/>
  <c r="W740" i="1"/>
  <c r="V740" i="1"/>
  <c r="R740" i="1"/>
  <c r="N740" i="1"/>
  <c r="O740" i="1"/>
  <c r="N741" i="1"/>
  <c r="O741" i="1"/>
  <c r="N742" i="1"/>
  <c r="O742" i="1"/>
  <c r="N743" i="1"/>
  <c r="O743" i="1"/>
  <c r="N744" i="1"/>
  <c r="O744" i="1"/>
  <c r="N745" i="1"/>
  <c r="O745" i="1"/>
  <c r="N746" i="1"/>
  <c r="O746" i="1"/>
  <c r="N747" i="1"/>
  <c r="O747" i="1"/>
  <c r="N748" i="1"/>
  <c r="O748" i="1"/>
  <c r="N749" i="1"/>
  <c r="O749" i="1"/>
  <c r="N750" i="1"/>
  <c r="O750" i="1"/>
  <c r="N751" i="1"/>
  <c r="O751" i="1"/>
  <c r="N752" i="1"/>
  <c r="O752" i="1"/>
  <c r="N753" i="1"/>
  <c r="O753" i="1"/>
  <c r="N754" i="1"/>
  <c r="O754" i="1"/>
  <c r="N755" i="1"/>
  <c r="O755" i="1"/>
  <c r="N756" i="1"/>
  <c r="O756" i="1"/>
  <c r="N757" i="1"/>
  <c r="O757" i="1"/>
  <c r="N758" i="1"/>
  <c r="O758" i="1"/>
  <c r="N759" i="1"/>
  <c r="O759" i="1"/>
  <c r="N760" i="1"/>
  <c r="O760" i="1"/>
  <c r="N761" i="1"/>
  <c r="O761" i="1"/>
  <c r="N762" i="1"/>
  <c r="O762" i="1"/>
  <c r="N763" i="1"/>
  <c r="O763" i="1"/>
  <c r="N764" i="1"/>
  <c r="O764" i="1"/>
  <c r="N765" i="1"/>
  <c r="O765" i="1"/>
  <c r="N766" i="1"/>
  <c r="O766" i="1"/>
  <c r="N767" i="1"/>
  <c r="O767" i="1"/>
  <c r="N768" i="1"/>
  <c r="O768" i="1"/>
  <c r="N769" i="1"/>
  <c r="O769" i="1"/>
  <c r="N770" i="1"/>
  <c r="O770" i="1"/>
  <c r="N771" i="1"/>
  <c r="O771" i="1"/>
  <c r="N772" i="1"/>
  <c r="O772" i="1"/>
  <c r="N773" i="1"/>
  <c r="O773" i="1"/>
  <c r="R667" i="1"/>
  <c r="R698" i="1"/>
  <c r="N707" i="1"/>
  <c r="O707" i="1"/>
  <c r="N708" i="1"/>
  <c r="O708" i="1"/>
  <c r="N709" i="1"/>
  <c r="O709" i="1"/>
  <c r="N710" i="1"/>
  <c r="O710" i="1"/>
  <c r="N711" i="1"/>
  <c r="O711" i="1"/>
  <c r="N712" i="1"/>
  <c r="O712" i="1"/>
  <c r="N713" i="1"/>
  <c r="O713" i="1"/>
  <c r="N714" i="1"/>
  <c r="O714" i="1"/>
  <c r="N715" i="1"/>
  <c r="O715" i="1"/>
  <c r="N702" i="1"/>
  <c r="O702" i="1"/>
  <c r="N703" i="1"/>
  <c r="O703" i="1"/>
  <c r="N704" i="1"/>
  <c r="O704" i="1"/>
  <c r="V715" i="1"/>
  <c r="U715" i="1"/>
  <c r="W715" i="1" s="1"/>
  <c r="R715" i="1"/>
  <c r="V714" i="1"/>
  <c r="U714" i="1"/>
  <c r="W714" i="1" s="1"/>
  <c r="R714" i="1"/>
  <c r="V713" i="1"/>
  <c r="U713" i="1"/>
  <c r="W713" i="1" s="1"/>
  <c r="R713" i="1"/>
  <c r="V712" i="1"/>
  <c r="U712" i="1"/>
  <c r="W712" i="1" s="1"/>
  <c r="R712" i="1"/>
  <c r="V711" i="1"/>
  <c r="U711" i="1"/>
  <c r="W711" i="1" s="1"/>
  <c r="R711" i="1"/>
  <c r="V710" i="1"/>
  <c r="U710" i="1"/>
  <c r="W710" i="1" s="1"/>
  <c r="R710" i="1"/>
  <c r="V709" i="1"/>
  <c r="U709" i="1"/>
  <c r="W709" i="1" s="1"/>
  <c r="R709" i="1"/>
  <c r="V708" i="1"/>
  <c r="U708" i="1"/>
  <c r="W708" i="1" s="1"/>
  <c r="R708" i="1"/>
  <c r="V707" i="1"/>
  <c r="U707" i="1"/>
  <c r="W707" i="1" s="1"/>
  <c r="R707" i="1"/>
  <c r="V705" i="1"/>
  <c r="U705" i="1"/>
  <c r="W705" i="1" s="1"/>
  <c r="R705" i="1"/>
  <c r="V704" i="1"/>
  <c r="U704" i="1"/>
  <c r="W704" i="1" s="1"/>
  <c r="R704" i="1"/>
  <c r="V703" i="1"/>
  <c r="U703" i="1"/>
  <c r="W703" i="1" s="1"/>
  <c r="R703" i="1"/>
  <c r="V702" i="1"/>
  <c r="U702" i="1"/>
  <c r="W702" i="1" s="1"/>
  <c r="R702" i="1"/>
  <c r="W697" i="1"/>
  <c r="V697" i="1"/>
  <c r="R697" i="1"/>
  <c r="W696" i="1"/>
  <c r="V696" i="1"/>
  <c r="R696" i="1"/>
  <c r="W694" i="1"/>
  <c r="V694" i="1"/>
  <c r="R694" i="1"/>
  <c r="W693" i="1"/>
  <c r="V693" i="1"/>
  <c r="R693" i="1"/>
  <c r="W692" i="1"/>
  <c r="V692" i="1"/>
  <c r="R692" i="1"/>
  <c r="W691" i="1"/>
  <c r="V691" i="1"/>
  <c r="R691" i="1"/>
  <c r="W690" i="1"/>
  <c r="V690" i="1"/>
  <c r="R690" i="1"/>
  <c r="W689" i="1"/>
  <c r="V689" i="1"/>
  <c r="R689" i="1"/>
  <c r="W688" i="1"/>
  <c r="V688" i="1"/>
  <c r="R688" i="1"/>
  <c r="W687" i="1"/>
  <c r="V687" i="1"/>
  <c r="R687" i="1"/>
  <c r="W686" i="1"/>
  <c r="V686" i="1"/>
  <c r="R686" i="1"/>
  <c r="W685" i="1"/>
  <c r="V685" i="1"/>
  <c r="R685" i="1"/>
  <c r="W684" i="1"/>
  <c r="V684" i="1"/>
  <c r="R684" i="1"/>
  <c r="W683" i="1"/>
  <c r="V683" i="1"/>
  <c r="R683" i="1"/>
  <c r="W682" i="1"/>
  <c r="V682" i="1"/>
  <c r="R682" i="1"/>
  <c r="W681" i="1"/>
  <c r="V681" i="1"/>
  <c r="R681" i="1"/>
  <c r="W680" i="1"/>
  <c r="V680" i="1"/>
  <c r="R680" i="1"/>
  <c r="W679" i="1"/>
  <c r="V679" i="1"/>
  <c r="R679" i="1"/>
  <c r="W678" i="1"/>
  <c r="V678" i="1"/>
  <c r="R678" i="1"/>
  <c r="W676" i="1"/>
  <c r="V676" i="1"/>
  <c r="R676" i="1"/>
  <c r="W675" i="1"/>
  <c r="V675" i="1"/>
  <c r="R675" i="1"/>
  <c r="W674" i="1"/>
  <c r="V674" i="1"/>
  <c r="R674" i="1"/>
  <c r="W673" i="1"/>
  <c r="V673" i="1"/>
  <c r="R673" i="1"/>
  <c r="W672" i="1"/>
  <c r="V672" i="1"/>
  <c r="R672" i="1"/>
  <c r="W671" i="1"/>
  <c r="R671" i="1"/>
  <c r="N672" i="1"/>
  <c r="O672" i="1"/>
  <c r="N673" i="1"/>
  <c r="O673" i="1"/>
  <c r="N674" i="1"/>
  <c r="O674" i="1"/>
  <c r="N675" i="1"/>
  <c r="O675" i="1"/>
  <c r="N676" i="1"/>
  <c r="O676" i="1"/>
  <c r="N678" i="1"/>
  <c r="O678" i="1"/>
  <c r="N679" i="1"/>
  <c r="O679" i="1"/>
  <c r="N680" i="1"/>
  <c r="O680" i="1"/>
  <c r="N681" i="1"/>
  <c r="O681" i="1"/>
  <c r="N682" i="1"/>
  <c r="O682" i="1"/>
  <c r="N683" i="1"/>
  <c r="O683" i="1"/>
  <c r="N684" i="1"/>
  <c r="O684" i="1"/>
  <c r="N685" i="1"/>
  <c r="O685" i="1"/>
  <c r="N686" i="1"/>
  <c r="O686" i="1"/>
  <c r="N687" i="1"/>
  <c r="O687" i="1"/>
  <c r="N688" i="1"/>
  <c r="O688" i="1"/>
  <c r="N689" i="1"/>
  <c r="O689" i="1"/>
  <c r="N690" i="1"/>
  <c r="O690" i="1"/>
  <c r="N691" i="1"/>
  <c r="O691" i="1"/>
  <c r="N692" i="1"/>
  <c r="O692" i="1"/>
  <c r="N693" i="1"/>
  <c r="O693" i="1"/>
  <c r="N694" i="1"/>
  <c r="O694" i="1"/>
  <c r="N695" i="1"/>
  <c r="O695" i="1"/>
  <c r="N696" i="1"/>
  <c r="O696" i="1"/>
  <c r="N697" i="1"/>
  <c r="O697" i="1"/>
  <c r="W665" i="1"/>
  <c r="V665" i="1"/>
  <c r="R665" i="1"/>
  <c r="W664" i="1"/>
  <c r="V664" i="1"/>
  <c r="R664" i="1"/>
  <c r="W663" i="1"/>
  <c r="V663" i="1"/>
  <c r="R663" i="1"/>
  <c r="W662" i="1"/>
  <c r="V662" i="1"/>
  <c r="R662" i="1"/>
  <c r="W661" i="1"/>
  <c r="V661" i="1"/>
  <c r="R661" i="1"/>
  <c r="W659" i="1"/>
  <c r="V659" i="1"/>
  <c r="R659" i="1"/>
  <c r="W658" i="1"/>
  <c r="V658" i="1"/>
  <c r="R658" i="1"/>
  <c r="W657" i="1"/>
  <c r="V657" i="1"/>
  <c r="R657" i="1"/>
  <c r="W656" i="1"/>
  <c r="V656" i="1"/>
  <c r="R656" i="1"/>
  <c r="W655" i="1"/>
  <c r="V655" i="1"/>
  <c r="R655" i="1"/>
  <c r="W654" i="1"/>
  <c r="V654" i="1"/>
  <c r="R654" i="1"/>
  <c r="W653" i="1"/>
  <c r="V653" i="1"/>
  <c r="R653" i="1"/>
  <c r="W652" i="1"/>
  <c r="V652" i="1"/>
  <c r="R652" i="1"/>
  <c r="W651" i="1"/>
  <c r="V651" i="1"/>
  <c r="R651" i="1"/>
  <c r="W650" i="1"/>
  <c r="V650" i="1"/>
  <c r="R650" i="1"/>
  <c r="W649" i="1"/>
  <c r="V649" i="1"/>
  <c r="R649" i="1"/>
  <c r="W648" i="1"/>
  <c r="V648" i="1"/>
  <c r="R648" i="1"/>
  <c r="W647" i="1"/>
  <c r="V647" i="1"/>
  <c r="R647" i="1"/>
  <c r="W646" i="1"/>
  <c r="V646" i="1"/>
  <c r="R646" i="1"/>
  <c r="W645" i="1"/>
  <c r="V645" i="1"/>
  <c r="R645" i="1"/>
  <c r="W644" i="1"/>
  <c r="V644" i="1"/>
  <c r="R644" i="1"/>
  <c r="W643" i="1"/>
  <c r="V643" i="1"/>
  <c r="R643" i="1"/>
  <c r="W642" i="1"/>
  <c r="V642" i="1"/>
  <c r="R642" i="1"/>
  <c r="W641" i="1"/>
  <c r="V641" i="1"/>
  <c r="R641" i="1"/>
  <c r="W640" i="1"/>
  <c r="V640" i="1"/>
  <c r="R640" i="1"/>
  <c r="W639" i="1"/>
  <c r="V639" i="1"/>
  <c r="R639" i="1"/>
  <c r="W638" i="1"/>
  <c r="V638" i="1"/>
  <c r="R638" i="1"/>
  <c r="W637" i="1"/>
  <c r="V637" i="1"/>
  <c r="R637" i="1"/>
  <c r="W636" i="1"/>
  <c r="V636" i="1"/>
  <c r="R636" i="1"/>
  <c r="W635" i="1"/>
  <c r="V635" i="1"/>
  <c r="R635" i="1"/>
  <c r="W634" i="1"/>
  <c r="V634" i="1"/>
  <c r="R634" i="1"/>
  <c r="W633" i="1"/>
  <c r="V633" i="1"/>
  <c r="R633" i="1"/>
  <c r="W632" i="1"/>
  <c r="V632" i="1"/>
  <c r="R632" i="1"/>
  <c r="W631" i="1"/>
  <c r="V631" i="1"/>
  <c r="R631" i="1"/>
  <c r="W666" i="1"/>
  <c r="V666" i="1"/>
  <c r="R666" i="1"/>
  <c r="N611" i="1"/>
  <c r="O611" i="1"/>
  <c r="N612" i="1"/>
  <c r="O612" i="1"/>
  <c r="N613" i="1"/>
  <c r="O613" i="1"/>
  <c r="N614" i="1"/>
  <c r="O614" i="1"/>
  <c r="N615" i="1"/>
  <c r="O615" i="1"/>
  <c r="N616" i="1"/>
  <c r="O616" i="1"/>
  <c r="N617" i="1"/>
  <c r="O617" i="1"/>
  <c r="N618" i="1"/>
  <c r="O618" i="1"/>
  <c r="N619" i="1"/>
  <c r="O619" i="1"/>
  <c r="N620" i="1"/>
  <c r="O620" i="1"/>
  <c r="N621" i="1"/>
  <c r="O621" i="1"/>
  <c r="N623" i="1"/>
  <c r="O623" i="1"/>
  <c r="N624" i="1"/>
  <c r="O624" i="1"/>
  <c r="N625" i="1"/>
  <c r="O625" i="1"/>
  <c r="N626" i="1"/>
  <c r="O626" i="1"/>
  <c r="N627" i="1"/>
  <c r="O627" i="1"/>
  <c r="N628" i="1"/>
  <c r="O628" i="1"/>
  <c r="N629" i="1"/>
  <c r="O629" i="1"/>
  <c r="N630" i="1"/>
  <c r="O630" i="1"/>
  <c r="N631" i="1"/>
  <c r="O631" i="1"/>
  <c r="N632" i="1"/>
  <c r="O632" i="1"/>
  <c r="N633" i="1"/>
  <c r="O633" i="1"/>
  <c r="N634" i="1"/>
  <c r="O634" i="1"/>
  <c r="N635" i="1"/>
  <c r="O635" i="1"/>
  <c r="N636" i="1"/>
  <c r="O636" i="1"/>
  <c r="N637" i="1"/>
  <c r="O637" i="1"/>
  <c r="N638" i="1"/>
  <c r="O638" i="1"/>
  <c r="N639" i="1"/>
  <c r="O639" i="1"/>
  <c r="N640" i="1"/>
  <c r="O640" i="1"/>
  <c r="N641" i="1"/>
  <c r="O641" i="1"/>
  <c r="N642" i="1"/>
  <c r="O642" i="1"/>
  <c r="N643" i="1"/>
  <c r="O643" i="1"/>
  <c r="N644" i="1"/>
  <c r="O644" i="1"/>
  <c r="N645" i="1"/>
  <c r="O645" i="1"/>
  <c r="N646" i="1"/>
  <c r="O646" i="1"/>
  <c r="N647" i="1"/>
  <c r="O647" i="1"/>
  <c r="N648" i="1"/>
  <c r="O648" i="1"/>
  <c r="N649" i="1"/>
  <c r="O649" i="1"/>
  <c r="N650" i="1"/>
  <c r="O650" i="1"/>
  <c r="N651" i="1"/>
  <c r="O651" i="1"/>
  <c r="N652" i="1"/>
  <c r="O652" i="1"/>
  <c r="N653" i="1"/>
  <c r="O653" i="1"/>
  <c r="N654" i="1"/>
  <c r="O654" i="1"/>
  <c r="N655" i="1"/>
  <c r="O655" i="1"/>
  <c r="N656" i="1"/>
  <c r="O656" i="1"/>
  <c r="N657" i="1"/>
  <c r="O657" i="1"/>
  <c r="N658" i="1"/>
  <c r="O658" i="1"/>
  <c r="N659" i="1"/>
  <c r="O659" i="1"/>
  <c r="N661" i="1"/>
  <c r="O661" i="1"/>
  <c r="N662" i="1"/>
  <c r="O662" i="1"/>
  <c r="N663" i="1"/>
  <c r="O663" i="1"/>
  <c r="N664" i="1"/>
  <c r="O664" i="1"/>
  <c r="N665" i="1"/>
  <c r="O665" i="1"/>
  <c r="N666" i="1"/>
  <c r="O666" i="1"/>
  <c r="W630" i="1"/>
  <c r="V630" i="1"/>
  <c r="R630" i="1"/>
  <c r="W629" i="1"/>
  <c r="V629" i="1"/>
  <c r="R629" i="1"/>
  <c r="W628" i="1"/>
  <c r="V628" i="1"/>
  <c r="R628" i="1"/>
  <c r="W627" i="1"/>
  <c r="V627" i="1"/>
  <c r="R627" i="1"/>
  <c r="W626" i="1"/>
  <c r="V626" i="1"/>
  <c r="R626" i="1"/>
  <c r="W625" i="1"/>
  <c r="V625" i="1"/>
  <c r="R625" i="1"/>
  <c r="W624" i="1"/>
  <c r="V624" i="1"/>
  <c r="R624" i="1"/>
  <c r="W623" i="1"/>
  <c r="V623" i="1"/>
  <c r="R623" i="1"/>
  <c r="W621" i="1"/>
  <c r="V621" i="1"/>
  <c r="R621" i="1"/>
  <c r="W620" i="1"/>
  <c r="V620" i="1"/>
  <c r="R620" i="1"/>
  <c r="W619" i="1"/>
  <c r="V619" i="1"/>
  <c r="R619" i="1"/>
  <c r="W618" i="1"/>
  <c r="V618" i="1"/>
  <c r="R618" i="1"/>
  <c r="W617" i="1"/>
  <c r="V617" i="1"/>
  <c r="R617" i="1"/>
  <c r="W616" i="1"/>
  <c r="V616" i="1"/>
  <c r="R616" i="1"/>
  <c r="W615" i="1"/>
  <c r="V615" i="1"/>
  <c r="R615" i="1"/>
  <c r="W614" i="1"/>
  <c r="V614" i="1"/>
  <c r="R614" i="1"/>
  <c r="W613" i="1"/>
  <c r="V613" i="1"/>
  <c r="R613" i="1"/>
  <c r="W612" i="1"/>
  <c r="V612" i="1"/>
  <c r="R612" i="1"/>
  <c r="W611" i="1"/>
  <c r="V611" i="1"/>
  <c r="R611" i="1"/>
  <c r="W604" i="1"/>
  <c r="V604" i="1"/>
  <c r="R604" i="1"/>
  <c r="A604" i="1" s="1"/>
  <c r="W603" i="1"/>
  <c r="V603" i="1"/>
  <c r="R603" i="1"/>
  <c r="W602" i="1"/>
  <c r="V602" i="1"/>
  <c r="R602" i="1"/>
  <c r="W601" i="1"/>
  <c r="V601" i="1"/>
  <c r="R601" i="1"/>
  <c r="W600" i="1"/>
  <c r="V600" i="1"/>
  <c r="R600" i="1"/>
  <c r="W599" i="1"/>
  <c r="V599" i="1"/>
  <c r="R599" i="1"/>
  <c r="W598" i="1"/>
  <c r="V598" i="1"/>
  <c r="R598" i="1"/>
  <c r="W597" i="1"/>
  <c r="V597" i="1"/>
  <c r="R597" i="1"/>
  <c r="W596" i="1"/>
  <c r="V596" i="1"/>
  <c r="R596" i="1"/>
  <c r="W595" i="1"/>
  <c r="V595" i="1"/>
  <c r="R595" i="1"/>
  <c r="W594" i="1"/>
  <c r="R594" i="1"/>
  <c r="W593" i="1"/>
  <c r="V593" i="1"/>
  <c r="R593" i="1"/>
  <c r="W592" i="1"/>
  <c r="V592" i="1"/>
  <c r="R592" i="1"/>
  <c r="W591" i="1"/>
  <c r="V591" i="1"/>
  <c r="R591" i="1"/>
  <c r="W590" i="1"/>
  <c r="V590" i="1"/>
  <c r="R590" i="1"/>
  <c r="W589" i="1"/>
  <c r="V589" i="1"/>
  <c r="R589" i="1"/>
  <c r="W588" i="1"/>
  <c r="V588" i="1"/>
  <c r="R588" i="1"/>
  <c r="W587" i="1"/>
  <c r="V587" i="1"/>
  <c r="R587" i="1"/>
  <c r="W586" i="1"/>
  <c r="V586" i="1"/>
  <c r="R586" i="1"/>
  <c r="W585" i="1"/>
  <c r="V585" i="1"/>
  <c r="R585" i="1"/>
  <c r="W584" i="1"/>
  <c r="V584" i="1"/>
  <c r="R584" i="1"/>
  <c r="W583" i="1"/>
  <c r="V583" i="1"/>
  <c r="R583" i="1"/>
  <c r="W580" i="1"/>
  <c r="V580" i="1"/>
  <c r="R580" i="1"/>
  <c r="W579" i="1"/>
  <c r="V579" i="1"/>
  <c r="R579" i="1"/>
  <c r="W578" i="1"/>
  <c r="V578" i="1"/>
  <c r="R578" i="1"/>
  <c r="W577" i="1"/>
  <c r="V577" i="1"/>
  <c r="R577" i="1"/>
  <c r="W576" i="1"/>
  <c r="V576" i="1"/>
  <c r="R576" i="1"/>
  <c r="W575" i="1"/>
  <c r="V575" i="1"/>
  <c r="R575" i="1"/>
  <c r="W574" i="1"/>
  <c r="V574" i="1"/>
  <c r="R574" i="1"/>
  <c r="W573" i="1"/>
  <c r="V573" i="1"/>
  <c r="R573" i="1"/>
  <c r="W572" i="1"/>
  <c r="V572" i="1"/>
  <c r="R572" i="1"/>
  <c r="W571" i="1"/>
  <c r="V571" i="1"/>
  <c r="R571" i="1"/>
  <c r="W570" i="1"/>
  <c r="V570" i="1"/>
  <c r="R570" i="1"/>
  <c r="W569" i="1"/>
  <c r="V569" i="1"/>
  <c r="R569" i="1"/>
  <c r="W568" i="1"/>
  <c r="V568" i="1"/>
  <c r="R568" i="1"/>
  <c r="W567" i="1"/>
  <c r="V567" i="1"/>
  <c r="R567" i="1"/>
  <c r="W566" i="1"/>
  <c r="V566" i="1"/>
  <c r="R566" i="1"/>
  <c r="W565" i="1"/>
  <c r="V565" i="1"/>
  <c r="R565" i="1"/>
  <c r="W564" i="1"/>
  <c r="V564" i="1"/>
  <c r="R564" i="1"/>
  <c r="W563" i="1"/>
  <c r="V563" i="1"/>
  <c r="R563" i="1"/>
  <c r="W562" i="1"/>
  <c r="V562" i="1"/>
  <c r="R562" i="1"/>
  <c r="W561" i="1"/>
  <c r="V561" i="1"/>
  <c r="R561" i="1"/>
  <c r="W560" i="1"/>
  <c r="V560" i="1"/>
  <c r="R560" i="1"/>
  <c r="W559" i="1"/>
  <c r="V559" i="1"/>
  <c r="R559" i="1"/>
  <c r="W558" i="1"/>
  <c r="V558" i="1"/>
  <c r="R558" i="1"/>
  <c r="W557" i="1"/>
  <c r="V557" i="1"/>
  <c r="R557" i="1"/>
  <c r="W556" i="1"/>
  <c r="V556" i="1"/>
  <c r="R556" i="1"/>
  <c r="W555" i="1"/>
  <c r="V555" i="1"/>
  <c r="R555" i="1"/>
  <c r="W554" i="1"/>
  <c r="V554" i="1"/>
  <c r="R554" i="1"/>
  <c r="W553" i="1"/>
  <c r="V553" i="1"/>
  <c r="R553" i="1"/>
  <c r="W552" i="1"/>
  <c r="V552" i="1"/>
  <c r="R552" i="1"/>
  <c r="W551" i="1"/>
  <c r="V551" i="1"/>
  <c r="R551" i="1"/>
  <c r="W550" i="1"/>
  <c r="V550" i="1"/>
  <c r="R550" i="1"/>
  <c r="W549" i="1"/>
  <c r="V549" i="1"/>
  <c r="R549" i="1"/>
  <c r="W548" i="1"/>
  <c r="V548" i="1"/>
  <c r="R548" i="1"/>
  <c r="W547" i="1"/>
  <c r="V547" i="1"/>
  <c r="R547" i="1"/>
  <c r="W546" i="1"/>
  <c r="V546" i="1"/>
  <c r="R546" i="1"/>
  <c r="W545" i="1"/>
  <c r="V545" i="1"/>
  <c r="R545" i="1"/>
  <c r="W544" i="1"/>
  <c r="V544" i="1"/>
  <c r="R544" i="1"/>
  <c r="W543" i="1"/>
  <c r="V543" i="1"/>
  <c r="R543" i="1"/>
  <c r="W542" i="1"/>
  <c r="V542" i="1"/>
  <c r="R542" i="1"/>
  <c r="W541" i="1"/>
  <c r="V541" i="1"/>
  <c r="R541" i="1"/>
  <c r="W540" i="1"/>
  <c r="V540" i="1"/>
  <c r="R540" i="1"/>
  <c r="W539" i="1"/>
  <c r="V539" i="1"/>
  <c r="R539" i="1"/>
  <c r="W538" i="1"/>
  <c r="V538" i="1"/>
  <c r="R538" i="1"/>
  <c r="W537" i="1"/>
  <c r="V537" i="1"/>
  <c r="R537" i="1"/>
  <c r="W536" i="1"/>
  <c r="V536" i="1"/>
  <c r="R536" i="1"/>
  <c r="W535" i="1"/>
  <c r="V535" i="1"/>
  <c r="R535" i="1"/>
  <c r="W534" i="1"/>
  <c r="V534" i="1"/>
  <c r="R534" i="1"/>
  <c r="W533" i="1"/>
  <c r="V533" i="1"/>
  <c r="R533" i="1"/>
  <c r="W532" i="1"/>
  <c r="V532" i="1"/>
  <c r="R532" i="1"/>
  <c r="W531" i="1"/>
  <c r="V531" i="1"/>
  <c r="R531" i="1"/>
  <c r="W530" i="1"/>
  <c r="V530" i="1"/>
  <c r="R530" i="1"/>
  <c r="W529" i="1"/>
  <c r="V529" i="1"/>
  <c r="R529" i="1"/>
  <c r="W528" i="1"/>
  <c r="V528" i="1"/>
  <c r="R528" i="1"/>
  <c r="W527" i="1"/>
  <c r="V527" i="1"/>
  <c r="R527" i="1"/>
  <c r="W526" i="1"/>
  <c r="V526" i="1"/>
  <c r="R526" i="1"/>
  <c r="W525" i="1"/>
  <c r="V525" i="1"/>
  <c r="R525" i="1"/>
  <c r="W524" i="1"/>
  <c r="V524" i="1"/>
  <c r="R524" i="1"/>
  <c r="W523" i="1"/>
  <c r="V523" i="1"/>
  <c r="R523" i="1"/>
  <c r="W522" i="1"/>
  <c r="V522" i="1"/>
  <c r="R522" i="1"/>
  <c r="W521" i="1"/>
  <c r="V521" i="1"/>
  <c r="R521" i="1"/>
  <c r="W520" i="1"/>
  <c r="V520" i="1"/>
  <c r="R520" i="1"/>
  <c r="W519" i="1"/>
  <c r="V519" i="1"/>
  <c r="R519" i="1"/>
  <c r="W518" i="1"/>
  <c r="V518" i="1"/>
  <c r="R518" i="1"/>
  <c r="W517" i="1"/>
  <c r="V517" i="1"/>
  <c r="R517" i="1"/>
  <c r="W516" i="1"/>
  <c r="V516" i="1"/>
  <c r="R516" i="1"/>
  <c r="W515" i="1"/>
  <c r="V515" i="1"/>
  <c r="R515" i="1"/>
  <c r="W514" i="1"/>
  <c r="V514" i="1"/>
  <c r="R514" i="1"/>
  <c r="W513" i="1"/>
  <c r="V513" i="1"/>
  <c r="R513" i="1"/>
  <c r="W512" i="1"/>
  <c r="V512" i="1"/>
  <c r="R512" i="1"/>
  <c r="W511" i="1"/>
  <c r="V511" i="1"/>
  <c r="R511" i="1"/>
  <c r="W510" i="1"/>
  <c r="V510" i="1"/>
  <c r="R510" i="1"/>
  <c r="W509" i="1"/>
  <c r="V509" i="1"/>
  <c r="R509" i="1"/>
  <c r="W508" i="1"/>
  <c r="V508" i="1"/>
  <c r="R508" i="1"/>
  <c r="W507" i="1"/>
  <c r="V507" i="1"/>
  <c r="R507" i="1"/>
  <c r="W506" i="1"/>
  <c r="V506" i="1"/>
  <c r="R506" i="1"/>
  <c r="W505" i="1"/>
  <c r="V505" i="1"/>
  <c r="R505" i="1"/>
  <c r="W504" i="1"/>
  <c r="V504" i="1"/>
  <c r="R504" i="1"/>
  <c r="W503" i="1"/>
  <c r="V503" i="1"/>
  <c r="R503" i="1"/>
  <c r="W605" i="1"/>
  <c r="V605" i="1"/>
  <c r="R605" i="1"/>
  <c r="N504" i="1"/>
  <c r="O504" i="1"/>
  <c r="N505" i="1"/>
  <c r="O505" i="1"/>
  <c r="N506" i="1"/>
  <c r="O506" i="1"/>
  <c r="N507" i="1"/>
  <c r="O507" i="1"/>
  <c r="N508" i="1"/>
  <c r="O508" i="1"/>
  <c r="N509" i="1"/>
  <c r="O509" i="1"/>
  <c r="N510" i="1"/>
  <c r="O510" i="1"/>
  <c r="N511" i="1"/>
  <c r="O511" i="1"/>
  <c r="N512" i="1"/>
  <c r="O512" i="1"/>
  <c r="N513" i="1"/>
  <c r="O513" i="1"/>
  <c r="N514" i="1"/>
  <c r="O514" i="1"/>
  <c r="N515" i="1"/>
  <c r="O515" i="1"/>
  <c r="N516" i="1"/>
  <c r="O516" i="1"/>
  <c r="N517" i="1"/>
  <c r="O517" i="1"/>
  <c r="N518" i="1"/>
  <c r="O518" i="1"/>
  <c r="N519" i="1"/>
  <c r="O519" i="1"/>
  <c r="N520" i="1"/>
  <c r="O520" i="1"/>
  <c r="N521" i="1"/>
  <c r="O521" i="1"/>
  <c r="N522" i="1"/>
  <c r="O522" i="1"/>
  <c r="N523" i="1"/>
  <c r="O523" i="1"/>
  <c r="N524" i="1"/>
  <c r="O524" i="1"/>
  <c r="N525" i="1"/>
  <c r="O525" i="1"/>
  <c r="N526" i="1"/>
  <c r="O526" i="1"/>
  <c r="N527" i="1"/>
  <c r="O527" i="1"/>
  <c r="N528" i="1"/>
  <c r="O528" i="1"/>
  <c r="N529" i="1"/>
  <c r="O529" i="1"/>
  <c r="N530" i="1"/>
  <c r="O530" i="1"/>
  <c r="N531" i="1"/>
  <c r="O531" i="1"/>
  <c r="N532" i="1"/>
  <c r="O532" i="1"/>
  <c r="N533" i="1"/>
  <c r="O533" i="1"/>
  <c r="N534" i="1"/>
  <c r="O534" i="1"/>
  <c r="N535" i="1"/>
  <c r="O535" i="1"/>
  <c r="N536" i="1"/>
  <c r="O536" i="1"/>
  <c r="N537" i="1"/>
  <c r="O537" i="1"/>
  <c r="N538" i="1"/>
  <c r="O538" i="1"/>
  <c r="N539" i="1"/>
  <c r="O539" i="1"/>
  <c r="N540" i="1"/>
  <c r="O540" i="1"/>
  <c r="N541" i="1"/>
  <c r="O541" i="1"/>
  <c r="N542" i="1"/>
  <c r="O542" i="1"/>
  <c r="N543" i="1"/>
  <c r="O543" i="1"/>
  <c r="N544" i="1"/>
  <c r="O544" i="1"/>
  <c r="N545" i="1"/>
  <c r="O545" i="1"/>
  <c r="N546" i="1"/>
  <c r="O546" i="1"/>
  <c r="N547" i="1"/>
  <c r="O547" i="1"/>
  <c r="N548" i="1"/>
  <c r="O548" i="1"/>
  <c r="N549" i="1"/>
  <c r="O549" i="1"/>
  <c r="N550" i="1"/>
  <c r="O550" i="1"/>
  <c r="N551" i="1"/>
  <c r="O551" i="1"/>
  <c r="N552" i="1"/>
  <c r="O552" i="1"/>
  <c r="N553" i="1"/>
  <c r="O553" i="1"/>
  <c r="N554" i="1"/>
  <c r="O554" i="1"/>
  <c r="N555" i="1"/>
  <c r="O555" i="1"/>
  <c r="N556" i="1"/>
  <c r="O556" i="1"/>
  <c r="N557" i="1"/>
  <c r="O557" i="1"/>
  <c r="N558" i="1"/>
  <c r="O558" i="1"/>
  <c r="N559" i="1"/>
  <c r="O559" i="1"/>
  <c r="N560" i="1"/>
  <c r="O560" i="1"/>
  <c r="N561" i="1"/>
  <c r="O561" i="1"/>
  <c r="N562" i="1"/>
  <c r="O562" i="1"/>
  <c r="N563" i="1"/>
  <c r="O563" i="1"/>
  <c r="N564" i="1"/>
  <c r="O564" i="1"/>
  <c r="N565" i="1"/>
  <c r="O565" i="1"/>
  <c r="N566" i="1"/>
  <c r="O566" i="1"/>
  <c r="N567" i="1"/>
  <c r="O567" i="1"/>
  <c r="N568" i="1"/>
  <c r="O568" i="1"/>
  <c r="N569" i="1"/>
  <c r="O569" i="1"/>
  <c r="N570" i="1"/>
  <c r="O570" i="1"/>
  <c r="N571" i="1"/>
  <c r="O571" i="1"/>
  <c r="N572" i="1"/>
  <c r="O572" i="1"/>
  <c r="N573" i="1"/>
  <c r="O573" i="1"/>
  <c r="N574" i="1"/>
  <c r="O574" i="1"/>
  <c r="N575" i="1"/>
  <c r="O575" i="1"/>
  <c r="N576" i="1"/>
  <c r="O576" i="1"/>
  <c r="N577" i="1"/>
  <c r="O577" i="1"/>
  <c r="N578" i="1"/>
  <c r="O578" i="1"/>
  <c r="N579" i="1"/>
  <c r="O579" i="1"/>
  <c r="N580" i="1"/>
  <c r="O580" i="1"/>
  <c r="N581" i="1"/>
  <c r="O581" i="1"/>
  <c r="N583" i="1"/>
  <c r="O583" i="1"/>
  <c r="N584" i="1"/>
  <c r="O584" i="1"/>
  <c r="N585" i="1"/>
  <c r="O585" i="1"/>
  <c r="N586" i="1"/>
  <c r="O586" i="1"/>
  <c r="N587" i="1"/>
  <c r="O587" i="1"/>
  <c r="N588" i="1"/>
  <c r="O588" i="1"/>
  <c r="N589" i="1"/>
  <c r="O589" i="1"/>
  <c r="N590" i="1"/>
  <c r="O590" i="1"/>
  <c r="N591" i="1"/>
  <c r="O591" i="1"/>
  <c r="N592" i="1"/>
  <c r="O592" i="1"/>
  <c r="N593" i="1"/>
  <c r="O593" i="1"/>
  <c r="N594" i="1"/>
  <c r="O594" i="1"/>
  <c r="N595" i="1"/>
  <c r="O595" i="1"/>
  <c r="N596" i="1"/>
  <c r="O596" i="1"/>
  <c r="N597" i="1"/>
  <c r="O597" i="1"/>
  <c r="N598" i="1"/>
  <c r="O598" i="1"/>
  <c r="N599" i="1"/>
  <c r="O599" i="1"/>
  <c r="N600" i="1"/>
  <c r="O600" i="1"/>
  <c r="N601" i="1"/>
  <c r="O601" i="1"/>
  <c r="N602" i="1"/>
  <c r="O602" i="1"/>
  <c r="N603" i="1"/>
  <c r="O603" i="1"/>
  <c r="N604" i="1"/>
  <c r="O604" i="1"/>
  <c r="N605" i="1"/>
  <c r="O605" i="1"/>
  <c r="S605" i="1" l="1"/>
  <c r="S504" i="1"/>
  <c r="S506" i="1"/>
  <c r="S508" i="1"/>
  <c r="S510" i="1"/>
  <c r="S512" i="1"/>
  <c r="S514" i="1"/>
  <c r="S516" i="1"/>
  <c r="S518" i="1"/>
  <c r="S520" i="1"/>
  <c r="S522" i="1"/>
  <c r="S524" i="1"/>
  <c r="S526" i="1"/>
  <c r="S528" i="1"/>
  <c r="S530" i="1"/>
  <c r="S532" i="1"/>
  <c r="S534" i="1"/>
  <c r="S536" i="1"/>
  <c r="S538" i="1"/>
  <c r="S540" i="1"/>
  <c r="S542" i="1"/>
  <c r="S544" i="1"/>
  <c r="S546" i="1"/>
  <c r="S548" i="1"/>
  <c r="S550" i="1"/>
  <c r="S552" i="1"/>
  <c r="S554" i="1"/>
  <c r="S556" i="1"/>
  <c r="S558" i="1"/>
  <c r="S560" i="1"/>
  <c r="S562" i="1"/>
  <c r="S564" i="1"/>
  <c r="S566" i="1"/>
  <c r="S568" i="1"/>
  <c r="S570" i="1"/>
  <c r="S572" i="1"/>
  <c r="S574" i="1"/>
  <c r="S576" i="1"/>
  <c r="S578" i="1"/>
  <c r="S580" i="1"/>
  <c r="S584" i="1"/>
  <c r="S586" i="1"/>
  <c r="S588" i="1"/>
  <c r="S590" i="1"/>
  <c r="S592" i="1"/>
  <c r="S594" i="1"/>
  <c r="S596" i="1"/>
  <c r="S598" i="1"/>
  <c r="S600" i="1"/>
  <c r="S602" i="1"/>
  <c r="S604" i="1"/>
  <c r="S666" i="1"/>
  <c r="S632" i="1"/>
  <c r="S634" i="1"/>
  <c r="S637" i="1"/>
  <c r="S639" i="1"/>
  <c r="S641" i="1"/>
  <c r="S643" i="1"/>
  <c r="S645" i="1"/>
  <c r="S647" i="1"/>
  <c r="S649" i="1"/>
  <c r="S651" i="1"/>
  <c r="S653" i="1"/>
  <c r="S655" i="1"/>
  <c r="S657" i="1"/>
  <c r="S659" i="1"/>
  <c r="S662" i="1"/>
  <c r="S664" i="1"/>
  <c r="S671" i="1"/>
  <c r="S672" i="1"/>
  <c r="S674" i="1"/>
  <c r="S676" i="1"/>
  <c r="S679" i="1"/>
  <c r="S681" i="1"/>
  <c r="S683" i="1"/>
  <c r="S685" i="1"/>
  <c r="S687" i="1"/>
  <c r="S691" i="1"/>
  <c r="S693" i="1"/>
  <c r="S696" i="1"/>
  <c r="S710" i="1"/>
  <c r="S712" i="1"/>
  <c r="S714" i="1"/>
  <c r="S741" i="1"/>
  <c r="S743" i="1"/>
  <c r="S745" i="1"/>
  <c r="S747" i="1"/>
  <c r="S749" i="1"/>
  <c r="S751" i="1"/>
  <c r="S753" i="1"/>
  <c r="S755" i="1"/>
  <c r="S757" i="1"/>
  <c r="S759" i="1"/>
  <c r="S761" i="1"/>
  <c r="S763" i="1"/>
  <c r="S765" i="1"/>
  <c r="S767" i="1"/>
  <c r="S769" i="1"/>
  <c r="S771" i="1"/>
  <c r="S773" i="1"/>
  <c r="S775" i="1"/>
  <c r="S777" i="1"/>
  <c r="S779" i="1"/>
  <c r="S781" i="1"/>
  <c r="S783" i="1"/>
  <c r="S785" i="1"/>
  <c r="S787" i="1"/>
  <c r="S789" i="1"/>
  <c r="S791" i="1"/>
  <c r="S793" i="1"/>
  <c r="S795" i="1"/>
  <c r="S797" i="1"/>
  <c r="S799" i="1"/>
  <c r="S801" i="1"/>
  <c r="S803" i="1"/>
  <c r="S805" i="1"/>
  <c r="S807" i="1"/>
  <c r="S809" i="1"/>
  <c r="S811" i="1"/>
  <c r="S813" i="1"/>
  <c r="S815" i="1"/>
  <c r="S817" i="1"/>
  <c r="S819" i="1"/>
  <c r="S821" i="1"/>
  <c r="S823" i="1"/>
  <c r="S825" i="1"/>
  <c r="S827" i="1"/>
  <c r="S829" i="1"/>
  <c r="S831" i="1"/>
  <c r="S833" i="1"/>
  <c r="S835" i="1"/>
  <c r="S837" i="1"/>
  <c r="S839" i="1"/>
  <c r="S941" i="1"/>
  <c r="S847" i="1"/>
  <c r="S849" i="1"/>
  <c r="S851" i="1"/>
  <c r="S853" i="1"/>
  <c r="S855" i="1"/>
  <c r="S857" i="1"/>
  <c r="S859" i="1"/>
  <c r="S861" i="1"/>
  <c r="S863" i="1"/>
  <c r="S865" i="1"/>
  <c r="S867" i="1"/>
  <c r="S869" i="1"/>
  <c r="S871" i="1"/>
  <c r="S873" i="1"/>
  <c r="S875" i="1"/>
  <c r="S877" i="1"/>
  <c r="S879" i="1"/>
  <c r="S881" i="1"/>
  <c r="S883" i="1"/>
  <c r="S885" i="1"/>
  <c r="S887" i="1"/>
  <c r="S889" i="1"/>
  <c r="S891" i="1"/>
  <c r="S893" i="1"/>
  <c r="S895" i="1"/>
  <c r="S897" i="1"/>
  <c r="S899" i="1"/>
  <c r="S901" i="1"/>
  <c r="S903" i="1"/>
  <c r="S905" i="1"/>
  <c r="S907" i="1"/>
  <c r="S909" i="1"/>
  <c r="S911" i="1"/>
  <c r="S913" i="1"/>
  <c r="S915" i="1"/>
  <c r="S917" i="1"/>
  <c r="S919" i="1"/>
  <c r="S921" i="1"/>
  <c r="S923" i="1"/>
  <c r="S925" i="1"/>
  <c r="S927" i="1"/>
  <c r="S929" i="1"/>
  <c r="S931" i="1"/>
  <c r="S933" i="1"/>
  <c r="S935" i="1"/>
  <c r="S937" i="1"/>
  <c r="S939" i="1"/>
  <c r="S942" i="1"/>
  <c r="S944" i="1"/>
  <c r="S946" i="1"/>
  <c r="S948" i="1"/>
  <c r="S952" i="1"/>
  <c r="S954" i="1"/>
  <c r="S956" i="1"/>
  <c r="S958" i="1"/>
  <c r="S960" i="1"/>
  <c r="S962" i="1"/>
  <c r="S964" i="1"/>
  <c r="S966" i="1"/>
  <c r="S968" i="1"/>
  <c r="S970" i="1"/>
  <c r="S972" i="1"/>
  <c r="S974" i="1"/>
  <c r="S976" i="1"/>
  <c r="S979" i="1"/>
  <c r="S981" i="1"/>
  <c r="S983" i="1"/>
  <c r="S985" i="1"/>
  <c r="S987" i="1"/>
  <c r="S989" i="1"/>
  <c r="S991" i="1"/>
  <c r="S993" i="1"/>
  <c r="S995" i="1"/>
  <c r="S997" i="1"/>
  <c r="S999" i="1"/>
  <c r="S1001" i="1"/>
  <c r="S1003" i="1"/>
  <c r="S1005" i="1"/>
  <c r="S1007" i="1"/>
  <c r="S1009" i="1"/>
  <c r="S1011" i="1"/>
  <c r="S1013" i="1"/>
  <c r="S1015" i="1"/>
  <c r="S1017" i="1"/>
  <c r="S1019" i="1"/>
  <c r="S1021" i="1"/>
  <c r="S1023" i="1"/>
  <c r="S1025" i="1"/>
  <c r="S1027" i="1"/>
  <c r="S1029" i="1"/>
  <c r="S1031" i="1"/>
  <c r="S1033" i="1"/>
  <c r="S1035" i="1"/>
  <c r="S1037" i="1"/>
  <c r="S1039" i="1"/>
  <c r="S1041" i="1"/>
  <c r="S1048" i="1"/>
  <c r="S1050" i="1"/>
  <c r="S1052" i="1"/>
  <c r="S1054" i="1"/>
  <c r="S1056" i="1"/>
  <c r="S1058" i="1"/>
  <c r="S1060" i="1"/>
  <c r="S1062" i="1"/>
  <c r="S1064" i="1"/>
  <c r="S1066" i="1"/>
  <c r="S1068" i="1"/>
  <c r="S1070" i="1"/>
  <c r="S1072" i="1"/>
  <c r="S1074" i="1"/>
  <c r="S1076" i="1"/>
  <c r="S1078" i="1"/>
  <c r="S1080" i="1"/>
  <c r="S1082" i="1"/>
  <c r="S1084" i="1"/>
  <c r="S1086" i="1"/>
  <c r="S1088" i="1"/>
  <c r="S1090" i="1"/>
  <c r="S1092" i="1"/>
  <c r="S1094" i="1"/>
  <c r="S1096" i="1"/>
  <c r="S1098" i="1"/>
  <c r="S1100" i="1"/>
  <c r="S1107" i="1"/>
  <c r="S1109" i="1"/>
  <c r="S1111" i="1"/>
  <c r="S1113" i="1"/>
  <c r="S1115" i="1"/>
  <c r="S1117" i="1"/>
  <c r="S1119" i="1"/>
  <c r="S1121" i="1"/>
  <c r="S1123" i="1"/>
  <c r="S1125" i="1"/>
  <c r="S1127" i="1"/>
  <c r="S1129" i="1"/>
  <c r="S1131" i="1"/>
  <c r="S503" i="1"/>
  <c r="S577" i="1"/>
  <c r="S579" i="1"/>
  <c r="S583" i="1"/>
  <c r="S585" i="1"/>
  <c r="S587" i="1"/>
  <c r="S589" i="1"/>
  <c r="S591" i="1"/>
  <c r="S593" i="1"/>
  <c r="S595" i="1"/>
  <c r="S597" i="1"/>
  <c r="S599" i="1"/>
  <c r="S601" i="1"/>
  <c r="S603" i="1"/>
  <c r="S611" i="1"/>
  <c r="S613" i="1"/>
  <c r="S615" i="1"/>
  <c r="S617" i="1"/>
  <c r="S619" i="1"/>
  <c r="S621" i="1"/>
  <c r="S624" i="1"/>
  <c r="S626" i="1"/>
  <c r="S628" i="1"/>
  <c r="S630" i="1"/>
  <c r="S631" i="1"/>
  <c r="S633" i="1"/>
  <c r="S635" i="1"/>
  <c r="S636" i="1"/>
  <c r="S638" i="1"/>
  <c r="S640" i="1"/>
  <c r="S642" i="1"/>
  <c r="S644" i="1"/>
  <c r="S646" i="1"/>
  <c r="S648" i="1"/>
  <c r="S650" i="1"/>
  <c r="S652" i="1"/>
  <c r="S654" i="1"/>
  <c r="S656" i="1"/>
  <c r="S658" i="1"/>
  <c r="S661" i="1"/>
  <c r="S663" i="1"/>
  <c r="S665" i="1"/>
  <c r="S673" i="1"/>
  <c r="S675" i="1"/>
  <c r="S678" i="1"/>
  <c r="S680" i="1"/>
  <c r="S682" i="1"/>
  <c r="S684" i="1"/>
  <c r="S686" i="1"/>
  <c r="S688" i="1"/>
  <c r="S690" i="1"/>
  <c r="S692" i="1"/>
  <c r="S697" i="1"/>
  <c r="S703" i="1"/>
  <c r="S705" i="1"/>
  <c r="S707" i="1"/>
  <c r="S709" i="1"/>
  <c r="S713" i="1"/>
  <c r="S715" i="1"/>
  <c r="S740" i="1"/>
  <c r="S742" i="1"/>
  <c r="S744" i="1"/>
  <c r="S746" i="1"/>
  <c r="S748" i="1"/>
  <c r="S750" i="1"/>
  <c r="S752" i="1"/>
  <c r="S754" i="1"/>
  <c r="S756" i="1"/>
  <c r="S758" i="1"/>
  <c r="S760" i="1"/>
  <c r="S762" i="1"/>
  <c r="S764" i="1"/>
  <c r="S766" i="1"/>
  <c r="S768" i="1"/>
  <c r="S770" i="1"/>
  <c r="S772" i="1"/>
  <c r="S774" i="1"/>
  <c r="S776" i="1"/>
  <c r="S778" i="1"/>
  <c r="S780" i="1"/>
  <c r="S782" i="1"/>
  <c r="S784" i="1"/>
  <c r="S786" i="1"/>
  <c r="S788" i="1"/>
  <c r="S790" i="1"/>
  <c r="S794" i="1"/>
  <c r="S796" i="1"/>
  <c r="S798" i="1"/>
  <c r="S800" i="1"/>
  <c r="S802" i="1"/>
  <c r="S804" i="1"/>
  <c r="S806" i="1"/>
  <c r="S808" i="1"/>
  <c r="S810" i="1"/>
  <c r="S812" i="1"/>
  <c r="S814" i="1"/>
  <c r="S816" i="1"/>
  <c r="S818" i="1"/>
  <c r="S820" i="1"/>
  <c r="S822" i="1"/>
  <c r="S824" i="1"/>
  <c r="S826" i="1"/>
  <c r="S828" i="1"/>
  <c r="S830" i="1"/>
  <c r="S832" i="1"/>
  <c r="S834" i="1"/>
  <c r="S836" i="1"/>
  <c r="S838" i="1"/>
  <c r="S840" i="1"/>
  <c r="S846" i="1"/>
  <c r="S848" i="1"/>
  <c r="S850" i="1"/>
  <c r="S852" i="1"/>
  <c r="S854" i="1"/>
  <c r="S856" i="1"/>
  <c r="S858" i="1"/>
  <c r="S860" i="1"/>
  <c r="S862" i="1"/>
  <c r="S864" i="1"/>
  <c r="S866" i="1"/>
  <c r="S868" i="1"/>
  <c r="S870" i="1"/>
  <c r="S872" i="1"/>
  <c r="S874" i="1"/>
  <c r="S876" i="1"/>
  <c r="S878" i="1"/>
  <c r="S880" i="1"/>
  <c r="S882" i="1"/>
  <c r="S884" i="1"/>
  <c r="S886" i="1"/>
  <c r="S888" i="1"/>
  <c r="S890" i="1"/>
  <c r="S892" i="1"/>
  <c r="S894" i="1"/>
  <c r="S896" i="1"/>
  <c r="S898" i="1"/>
  <c r="S900" i="1"/>
  <c r="S902" i="1"/>
  <c r="S904" i="1"/>
  <c r="S906" i="1"/>
  <c r="S908" i="1"/>
  <c r="S910" i="1"/>
  <c r="S912" i="1"/>
  <c r="S914" i="1"/>
  <c r="S916" i="1"/>
  <c r="S918" i="1"/>
  <c r="S920" i="1"/>
  <c r="S922" i="1"/>
  <c r="S924" i="1"/>
  <c r="S926" i="1"/>
  <c r="S928" i="1"/>
  <c r="S930" i="1"/>
  <c r="S932" i="1"/>
  <c r="S934" i="1"/>
  <c r="S936" i="1"/>
  <c r="S938" i="1"/>
  <c r="S940" i="1"/>
  <c r="S943" i="1"/>
  <c r="S945" i="1"/>
  <c r="S947" i="1"/>
  <c r="S949" i="1"/>
  <c r="S951" i="1"/>
  <c r="S953" i="1"/>
  <c r="S955" i="1"/>
  <c r="S957" i="1"/>
  <c r="S959" i="1"/>
  <c r="S961" i="1"/>
  <c r="S963" i="1"/>
  <c r="S965" i="1"/>
  <c r="S967" i="1"/>
  <c r="S969" i="1"/>
  <c r="S971" i="1"/>
  <c r="S973" i="1"/>
  <c r="S975" i="1"/>
  <c r="S977" i="1"/>
  <c r="S980" i="1"/>
  <c r="S982" i="1"/>
  <c r="S984" i="1"/>
  <c r="S986" i="1"/>
  <c r="S988" i="1"/>
  <c r="S990" i="1"/>
  <c r="S992" i="1"/>
  <c r="S994" i="1"/>
  <c r="S996" i="1"/>
  <c r="S998" i="1"/>
  <c r="S1000" i="1"/>
  <c r="S1002" i="1"/>
  <c r="S1004" i="1"/>
  <c r="S1006" i="1"/>
  <c r="S1008" i="1"/>
  <c r="S1010" i="1"/>
  <c r="S1012" i="1"/>
  <c r="S1014" i="1"/>
  <c r="S1016" i="1"/>
  <c r="S1018" i="1"/>
  <c r="S1020" i="1"/>
  <c r="S1022" i="1"/>
  <c r="S1024" i="1"/>
  <c r="S1026" i="1"/>
  <c r="S1028" i="1"/>
  <c r="S1030" i="1"/>
  <c r="S1032" i="1"/>
  <c r="S1034" i="1"/>
  <c r="S1036" i="1"/>
  <c r="S1038" i="1"/>
  <c r="S1040" i="1"/>
  <c r="S1042" i="1"/>
  <c r="S1049" i="1"/>
  <c r="S1051" i="1"/>
  <c r="S1053" i="1"/>
  <c r="S1055" i="1"/>
  <c r="S1057" i="1"/>
  <c r="S1059" i="1"/>
  <c r="S1061" i="1"/>
  <c r="S1063" i="1"/>
  <c r="S1065" i="1"/>
  <c r="S1067" i="1"/>
  <c r="S1069" i="1"/>
  <c r="S1071" i="1"/>
  <c r="S1073" i="1"/>
  <c r="S1075" i="1"/>
  <c r="S1077" i="1"/>
  <c r="S1079" i="1"/>
  <c r="S1081" i="1"/>
  <c r="S1083" i="1"/>
  <c r="S1085" i="1"/>
  <c r="S1087" i="1"/>
  <c r="S1089" i="1"/>
  <c r="S1091" i="1"/>
  <c r="S1093" i="1"/>
  <c r="S1095" i="1"/>
  <c r="S1097" i="1"/>
  <c r="S1099" i="1"/>
  <c r="S1101" i="1"/>
  <c r="S1108" i="1"/>
  <c r="S1110" i="1"/>
  <c r="S1112" i="1"/>
  <c r="S1114" i="1"/>
  <c r="S1116" i="1"/>
  <c r="S1118" i="1"/>
  <c r="S1120" i="1"/>
  <c r="S1122" i="1"/>
  <c r="S1124" i="1"/>
  <c r="S1126" i="1"/>
  <c r="S1128" i="1"/>
  <c r="S1130" i="1"/>
  <c r="S792" i="1"/>
  <c r="S694" i="1"/>
  <c r="S708" i="1"/>
  <c r="S689" i="1"/>
  <c r="S702" i="1"/>
  <c r="S711" i="1"/>
  <c r="S505" i="1"/>
  <c r="S507" i="1"/>
  <c r="S509" i="1"/>
  <c r="S511" i="1"/>
  <c r="S513" i="1"/>
  <c r="S515" i="1"/>
  <c r="S517" i="1"/>
  <c r="S519" i="1"/>
  <c r="S521" i="1"/>
  <c r="S523" i="1"/>
  <c r="S525" i="1"/>
  <c r="S527" i="1"/>
  <c r="S529" i="1"/>
  <c r="S531" i="1"/>
  <c r="S533" i="1"/>
  <c r="S535" i="1"/>
  <c r="S537" i="1"/>
  <c r="S539" i="1"/>
  <c r="S541" i="1"/>
  <c r="S543" i="1"/>
  <c r="S545" i="1"/>
  <c r="S547" i="1"/>
  <c r="S549" i="1"/>
  <c r="S551" i="1"/>
  <c r="S553" i="1"/>
  <c r="S555" i="1"/>
  <c r="S557" i="1"/>
  <c r="S559" i="1"/>
  <c r="S561" i="1"/>
  <c r="S563" i="1"/>
  <c r="S565" i="1"/>
  <c r="S567" i="1"/>
  <c r="S569" i="1"/>
  <c r="S571" i="1"/>
  <c r="S573" i="1"/>
  <c r="S575" i="1"/>
  <c r="S612" i="1"/>
  <c r="S614" i="1"/>
  <c r="S616" i="1"/>
  <c r="S618" i="1"/>
  <c r="S620" i="1"/>
  <c r="S623" i="1"/>
  <c r="S625" i="1"/>
  <c r="S627" i="1"/>
  <c r="S629" i="1"/>
  <c r="S704" i="1"/>
  <c r="W235" i="1"/>
  <c r="V235" i="1"/>
  <c r="R235" i="1"/>
  <c r="W234" i="1"/>
  <c r="V234" i="1"/>
  <c r="R234" i="1"/>
  <c r="W233" i="1"/>
  <c r="V233" i="1"/>
  <c r="R233" i="1"/>
  <c r="W232" i="1"/>
  <c r="V232" i="1"/>
  <c r="R232" i="1"/>
  <c r="W231" i="1"/>
  <c r="V231" i="1"/>
  <c r="R231" i="1"/>
  <c r="W230" i="1"/>
  <c r="V230" i="1"/>
  <c r="R230" i="1"/>
  <c r="W229" i="1"/>
  <c r="V229" i="1"/>
  <c r="R229" i="1"/>
  <c r="W228" i="1"/>
  <c r="V228" i="1"/>
  <c r="R228" i="1"/>
  <c r="W227" i="1"/>
  <c r="V227" i="1"/>
  <c r="R227" i="1"/>
  <c r="W226" i="1"/>
  <c r="V226" i="1"/>
  <c r="R226" i="1"/>
  <c r="W225" i="1"/>
  <c r="V225" i="1"/>
  <c r="R225" i="1"/>
  <c r="W221" i="1"/>
  <c r="V221" i="1"/>
  <c r="R221" i="1"/>
  <c r="W220" i="1"/>
  <c r="V220" i="1"/>
  <c r="R220" i="1"/>
  <c r="W219" i="1"/>
  <c r="V219" i="1"/>
  <c r="R219" i="1"/>
  <c r="W218" i="1"/>
  <c r="V218" i="1"/>
  <c r="R218" i="1"/>
  <c r="W217" i="1"/>
  <c r="V217" i="1"/>
  <c r="R217" i="1"/>
  <c r="W216" i="1"/>
  <c r="V216" i="1"/>
  <c r="R216" i="1"/>
  <c r="W215" i="1"/>
  <c r="V215" i="1"/>
  <c r="R215" i="1"/>
  <c r="W214" i="1"/>
  <c r="V214" i="1"/>
  <c r="R214" i="1"/>
  <c r="W213" i="1"/>
  <c r="V213" i="1"/>
  <c r="R213" i="1"/>
  <c r="W212" i="1"/>
  <c r="V212" i="1"/>
  <c r="R212" i="1"/>
  <c r="W211" i="1"/>
  <c r="V211" i="1"/>
  <c r="R211" i="1"/>
  <c r="W210" i="1"/>
  <c r="V210" i="1"/>
  <c r="R210" i="1"/>
  <c r="W209" i="1"/>
  <c r="V209" i="1"/>
  <c r="R209" i="1"/>
  <c r="W208" i="1"/>
  <c r="V208" i="1"/>
  <c r="R208" i="1"/>
  <c r="W207" i="1"/>
  <c r="V207" i="1"/>
  <c r="R207" i="1"/>
  <c r="W206" i="1"/>
  <c r="V206" i="1"/>
  <c r="R206" i="1"/>
  <c r="W205" i="1"/>
  <c r="V205" i="1"/>
  <c r="R205" i="1"/>
  <c r="W204" i="1"/>
  <c r="V204" i="1"/>
  <c r="R204" i="1"/>
  <c r="W203" i="1"/>
  <c r="V203" i="1"/>
  <c r="R203" i="1"/>
  <c r="W202" i="1"/>
  <c r="V202" i="1"/>
  <c r="R202" i="1"/>
  <c r="W201" i="1"/>
  <c r="V201" i="1"/>
  <c r="R201" i="1"/>
  <c r="W200" i="1"/>
  <c r="V200" i="1"/>
  <c r="R200" i="1"/>
  <c r="W199" i="1"/>
  <c r="V199" i="1"/>
  <c r="R199" i="1"/>
  <c r="W198" i="1"/>
  <c r="V198" i="1"/>
  <c r="R198" i="1"/>
  <c r="W197" i="1"/>
  <c r="V197" i="1"/>
  <c r="R197" i="1"/>
  <c r="W196" i="1"/>
  <c r="V196" i="1"/>
  <c r="R196" i="1"/>
  <c r="W195" i="1"/>
  <c r="V195" i="1"/>
  <c r="R195" i="1"/>
  <c r="W194" i="1"/>
  <c r="V194" i="1"/>
  <c r="R194" i="1"/>
  <c r="W193" i="1"/>
  <c r="V193" i="1"/>
  <c r="R193" i="1"/>
  <c r="W192" i="1"/>
  <c r="V192" i="1"/>
  <c r="R192" i="1"/>
  <c r="W191" i="1"/>
  <c r="V191" i="1"/>
  <c r="R191" i="1"/>
  <c r="W190" i="1"/>
  <c r="V190" i="1"/>
  <c r="R190" i="1"/>
  <c r="W189" i="1"/>
  <c r="V189" i="1"/>
  <c r="R189" i="1"/>
  <c r="W188" i="1"/>
  <c r="V188" i="1"/>
  <c r="R188" i="1"/>
  <c r="W187" i="1"/>
  <c r="V187" i="1"/>
  <c r="R187" i="1"/>
  <c r="W186" i="1"/>
  <c r="V186" i="1"/>
  <c r="R186" i="1"/>
  <c r="W185" i="1"/>
  <c r="V185" i="1"/>
  <c r="R185" i="1"/>
  <c r="W184" i="1"/>
  <c r="V184" i="1"/>
  <c r="R184" i="1"/>
  <c r="W183" i="1"/>
  <c r="V183" i="1"/>
  <c r="R183" i="1"/>
  <c r="W182" i="1"/>
  <c r="V182" i="1"/>
  <c r="R182" i="1"/>
  <c r="W181" i="1"/>
  <c r="V181" i="1"/>
  <c r="R181" i="1"/>
  <c r="W180" i="1"/>
  <c r="V180" i="1"/>
  <c r="R180" i="1"/>
  <c r="W179" i="1"/>
  <c r="V179" i="1"/>
  <c r="R179" i="1"/>
  <c r="W178" i="1"/>
  <c r="V178" i="1"/>
  <c r="R178" i="1"/>
  <c r="W177" i="1"/>
  <c r="V177" i="1"/>
  <c r="R177" i="1"/>
  <c r="W176" i="1"/>
  <c r="V176" i="1"/>
  <c r="R176" i="1"/>
  <c r="W175" i="1"/>
  <c r="V175" i="1"/>
  <c r="R175" i="1"/>
  <c r="W174" i="1"/>
  <c r="V174" i="1"/>
  <c r="R174" i="1"/>
  <c r="W173" i="1"/>
  <c r="V173" i="1"/>
  <c r="R173" i="1"/>
  <c r="W172" i="1"/>
  <c r="V172" i="1"/>
  <c r="R172" i="1"/>
  <c r="W171" i="1"/>
  <c r="V171" i="1"/>
  <c r="R171" i="1"/>
  <c r="W170" i="1"/>
  <c r="V170" i="1"/>
  <c r="R170" i="1"/>
  <c r="W169" i="1"/>
  <c r="V169" i="1"/>
  <c r="R169" i="1"/>
  <c r="W168" i="1"/>
  <c r="V168" i="1"/>
  <c r="R168" i="1"/>
  <c r="W167" i="1"/>
  <c r="V167" i="1"/>
  <c r="R167" i="1"/>
  <c r="W166" i="1"/>
  <c r="V166" i="1"/>
  <c r="R166" i="1"/>
  <c r="W165" i="1"/>
  <c r="V165" i="1"/>
  <c r="R165" i="1"/>
  <c r="W164" i="1"/>
  <c r="V164" i="1"/>
  <c r="R164" i="1"/>
  <c r="W163" i="1"/>
  <c r="V163" i="1"/>
  <c r="R163" i="1"/>
  <c r="W162" i="1"/>
  <c r="V162" i="1"/>
  <c r="R162" i="1"/>
  <c r="W161" i="1"/>
  <c r="V161" i="1"/>
  <c r="R161" i="1"/>
  <c r="W160" i="1"/>
  <c r="V160" i="1"/>
  <c r="R160" i="1"/>
  <c r="W159" i="1"/>
  <c r="V159" i="1"/>
  <c r="R159" i="1"/>
  <c r="W158" i="1"/>
  <c r="V158" i="1"/>
  <c r="R158" i="1"/>
  <c r="W157" i="1"/>
  <c r="V157" i="1"/>
  <c r="R157" i="1"/>
  <c r="W156" i="1"/>
  <c r="V156" i="1"/>
  <c r="R156" i="1"/>
  <c r="W155" i="1"/>
  <c r="V155" i="1"/>
  <c r="R155" i="1"/>
  <c r="W154" i="1"/>
  <c r="V154" i="1"/>
  <c r="R154" i="1"/>
  <c r="W153" i="1"/>
  <c r="V153" i="1"/>
  <c r="R153" i="1"/>
  <c r="W152" i="1"/>
  <c r="V152" i="1"/>
  <c r="R152" i="1"/>
  <c r="W151" i="1"/>
  <c r="V151" i="1"/>
  <c r="R151" i="1"/>
  <c r="W150" i="1"/>
  <c r="V150" i="1"/>
  <c r="R150" i="1"/>
  <c r="W149" i="1"/>
  <c r="V149" i="1"/>
  <c r="R149" i="1"/>
  <c r="W148" i="1"/>
  <c r="V148" i="1"/>
  <c r="R148" i="1"/>
  <c r="W147" i="1"/>
  <c r="V147" i="1"/>
  <c r="R147" i="1"/>
  <c r="W146" i="1"/>
  <c r="V146" i="1"/>
  <c r="R146" i="1"/>
  <c r="W145" i="1"/>
  <c r="V145" i="1"/>
  <c r="R145" i="1"/>
  <c r="W144" i="1"/>
  <c r="V144" i="1"/>
  <c r="R144" i="1"/>
  <c r="W143" i="1"/>
  <c r="V143" i="1"/>
  <c r="R143" i="1"/>
  <c r="W142" i="1"/>
  <c r="V142" i="1"/>
  <c r="R142" i="1"/>
  <c r="W141" i="1"/>
  <c r="V141" i="1"/>
  <c r="R141" i="1"/>
  <c r="W140" i="1"/>
  <c r="V140" i="1"/>
  <c r="R140" i="1"/>
  <c r="W139" i="1"/>
  <c r="V139" i="1"/>
  <c r="R139" i="1"/>
  <c r="W138" i="1"/>
  <c r="V138" i="1"/>
  <c r="R138" i="1"/>
  <c r="W137" i="1"/>
  <c r="V137" i="1"/>
  <c r="R137" i="1"/>
  <c r="W136" i="1"/>
  <c r="V136" i="1"/>
  <c r="R136" i="1"/>
  <c r="W135" i="1"/>
  <c r="V135" i="1"/>
  <c r="R135" i="1"/>
  <c r="W134" i="1"/>
  <c r="V134" i="1"/>
  <c r="R134" i="1"/>
  <c r="W133" i="1"/>
  <c r="V133" i="1"/>
  <c r="R133" i="1"/>
  <c r="W132" i="1"/>
  <c r="V132" i="1"/>
  <c r="R132" i="1"/>
  <c r="W131" i="1"/>
  <c r="V131" i="1"/>
  <c r="R131" i="1"/>
  <c r="W130" i="1"/>
  <c r="V130" i="1"/>
  <c r="R130" i="1"/>
  <c r="W129" i="1"/>
  <c r="V129" i="1"/>
  <c r="R129" i="1"/>
  <c r="W128" i="1"/>
  <c r="V128" i="1"/>
  <c r="R128" i="1"/>
  <c r="W127" i="1"/>
  <c r="V127" i="1"/>
  <c r="R127" i="1"/>
  <c r="W126" i="1"/>
  <c r="V126" i="1"/>
  <c r="R126" i="1"/>
  <c r="W125" i="1"/>
  <c r="V125" i="1"/>
  <c r="R125" i="1"/>
  <c r="W124" i="1"/>
  <c r="V124" i="1"/>
  <c r="R124" i="1"/>
  <c r="W123" i="1"/>
  <c r="V123" i="1"/>
  <c r="R123" i="1"/>
  <c r="W122" i="1"/>
  <c r="V122" i="1"/>
  <c r="R122" i="1"/>
  <c r="W121" i="1"/>
  <c r="V121" i="1"/>
  <c r="R121" i="1"/>
  <c r="W120" i="1"/>
  <c r="V120" i="1"/>
  <c r="R120" i="1"/>
  <c r="W119" i="1"/>
  <c r="V119" i="1"/>
  <c r="R119" i="1"/>
  <c r="W118" i="1"/>
  <c r="V118" i="1"/>
  <c r="R118" i="1"/>
  <c r="W117" i="1"/>
  <c r="V117" i="1"/>
  <c r="R117" i="1"/>
  <c r="W116" i="1"/>
  <c r="V116" i="1"/>
  <c r="R116" i="1"/>
  <c r="A116" i="1" s="1"/>
  <c r="W115" i="1"/>
  <c r="V115" i="1"/>
  <c r="R115" i="1"/>
  <c r="W114" i="1"/>
  <c r="V114" i="1"/>
  <c r="R114" i="1"/>
  <c r="W112" i="1"/>
  <c r="V112" i="1"/>
  <c r="R112" i="1"/>
  <c r="W111" i="1"/>
  <c r="R111" i="1"/>
  <c r="W110" i="1"/>
  <c r="V110" i="1"/>
  <c r="R110" i="1"/>
  <c r="W109" i="1"/>
  <c r="V109" i="1"/>
  <c r="R109" i="1"/>
  <c r="W108" i="1"/>
  <c r="V108" i="1"/>
  <c r="R108" i="1"/>
  <c r="W107" i="1"/>
  <c r="V107" i="1"/>
  <c r="R107" i="1"/>
  <c r="W106" i="1"/>
  <c r="V106" i="1"/>
  <c r="R106" i="1"/>
  <c r="W105" i="1"/>
  <c r="V105" i="1"/>
  <c r="R105" i="1"/>
  <c r="W104" i="1"/>
  <c r="V104" i="1"/>
  <c r="R104" i="1"/>
  <c r="W103" i="1"/>
  <c r="V103" i="1"/>
  <c r="R103" i="1"/>
  <c r="W102" i="1"/>
  <c r="V102" i="1"/>
  <c r="R102" i="1"/>
  <c r="A102" i="1" s="1"/>
  <c r="W101" i="1"/>
  <c r="V101" i="1"/>
  <c r="R101" i="1"/>
  <c r="W100" i="1"/>
  <c r="V100" i="1"/>
  <c r="R100" i="1"/>
  <c r="W99" i="1"/>
  <c r="V99" i="1"/>
  <c r="R99" i="1"/>
  <c r="W98" i="1"/>
  <c r="V98" i="1"/>
  <c r="R98" i="1"/>
  <c r="W97" i="1"/>
  <c r="V97" i="1"/>
  <c r="R97" i="1"/>
  <c r="W96" i="1"/>
  <c r="V96" i="1"/>
  <c r="R96" i="1"/>
  <c r="W95" i="1"/>
  <c r="V95" i="1"/>
  <c r="R95" i="1"/>
  <c r="W94" i="1"/>
  <c r="V94" i="1"/>
  <c r="R94" i="1"/>
  <c r="W93" i="1"/>
  <c r="V93" i="1"/>
  <c r="R93" i="1"/>
  <c r="W92" i="1"/>
  <c r="V92" i="1"/>
  <c r="R92" i="1"/>
  <c r="W91" i="1"/>
  <c r="V91" i="1"/>
  <c r="R91" i="1"/>
  <c r="W90" i="1"/>
  <c r="V90" i="1"/>
  <c r="R90" i="1"/>
  <c r="W89" i="1"/>
  <c r="V89" i="1"/>
  <c r="R89" i="1"/>
  <c r="W88" i="1"/>
  <c r="V88" i="1"/>
  <c r="R88" i="1"/>
  <c r="W87" i="1"/>
  <c r="V87" i="1"/>
  <c r="R87" i="1"/>
  <c r="W86" i="1"/>
  <c r="V86" i="1"/>
  <c r="R86" i="1"/>
  <c r="W85" i="1"/>
  <c r="V85" i="1"/>
  <c r="R85" i="1"/>
  <c r="W84" i="1"/>
  <c r="V84" i="1"/>
  <c r="R84" i="1"/>
  <c r="W83" i="1"/>
  <c r="V83" i="1"/>
  <c r="R83" i="1"/>
  <c r="W82" i="1"/>
  <c r="V82" i="1"/>
  <c r="R82" i="1"/>
  <c r="W81" i="1"/>
  <c r="V81" i="1"/>
  <c r="R81" i="1"/>
  <c r="W80" i="1"/>
  <c r="V80" i="1"/>
  <c r="R80" i="1"/>
  <c r="W79" i="1"/>
  <c r="V79" i="1"/>
  <c r="R79" i="1"/>
  <c r="W78" i="1"/>
  <c r="V78" i="1"/>
  <c r="R78" i="1"/>
  <c r="W77" i="1"/>
  <c r="V77" i="1"/>
  <c r="R77" i="1"/>
  <c r="W76" i="1"/>
  <c r="V76" i="1"/>
  <c r="R76" i="1"/>
  <c r="W75" i="1"/>
  <c r="V75" i="1"/>
  <c r="R75" i="1"/>
  <c r="W74" i="1"/>
  <c r="V74" i="1"/>
  <c r="R74" i="1"/>
  <c r="W73" i="1"/>
  <c r="V73" i="1"/>
  <c r="R73" i="1"/>
  <c r="W72" i="1"/>
  <c r="V72" i="1"/>
  <c r="R72" i="1"/>
  <c r="W71" i="1"/>
  <c r="V71" i="1"/>
  <c r="R71" i="1"/>
  <c r="W70" i="1"/>
  <c r="V70" i="1"/>
  <c r="R70" i="1"/>
  <c r="W69" i="1"/>
  <c r="V69" i="1"/>
  <c r="R69" i="1"/>
  <c r="W68" i="1"/>
  <c r="V68" i="1"/>
  <c r="R68" i="1"/>
  <c r="W67" i="1"/>
  <c r="V67" i="1"/>
  <c r="R67" i="1"/>
  <c r="W66" i="1"/>
  <c r="V66" i="1"/>
  <c r="R66" i="1"/>
  <c r="W65" i="1"/>
  <c r="V65" i="1"/>
  <c r="R65" i="1"/>
  <c r="W64" i="1"/>
  <c r="V64" i="1"/>
  <c r="R64" i="1"/>
  <c r="W63" i="1"/>
  <c r="V63" i="1"/>
  <c r="R63" i="1"/>
  <c r="W62" i="1"/>
  <c r="V62" i="1"/>
  <c r="R62" i="1"/>
  <c r="W61" i="1"/>
  <c r="V61" i="1"/>
  <c r="R61" i="1"/>
  <c r="W60" i="1"/>
  <c r="V60" i="1"/>
  <c r="R60" i="1"/>
  <c r="W59" i="1"/>
  <c r="V59" i="1"/>
  <c r="R59" i="1"/>
  <c r="W58" i="1"/>
  <c r="V58" i="1"/>
  <c r="R58" i="1"/>
  <c r="W57" i="1"/>
  <c r="V57" i="1"/>
  <c r="R57" i="1"/>
  <c r="W56" i="1"/>
  <c r="V56" i="1"/>
  <c r="R56" i="1"/>
  <c r="W55" i="1"/>
  <c r="V55" i="1"/>
  <c r="R55" i="1"/>
  <c r="W54" i="1"/>
  <c r="V54" i="1"/>
  <c r="R54" i="1"/>
  <c r="W53" i="1"/>
  <c r="V53" i="1"/>
  <c r="R53" i="1"/>
  <c r="W52" i="1"/>
  <c r="V52" i="1"/>
  <c r="R52" i="1"/>
  <c r="W51" i="1"/>
  <c r="V51" i="1"/>
  <c r="R51" i="1"/>
  <c r="W50" i="1"/>
  <c r="V50" i="1"/>
  <c r="R50" i="1"/>
  <c r="W49" i="1"/>
  <c r="V49" i="1"/>
  <c r="R49" i="1"/>
  <c r="W48" i="1"/>
  <c r="V48" i="1"/>
  <c r="R48" i="1"/>
  <c r="W47" i="1"/>
  <c r="V47" i="1"/>
  <c r="R47" i="1"/>
  <c r="W46" i="1"/>
  <c r="V46" i="1"/>
  <c r="R46" i="1"/>
  <c r="W45" i="1"/>
  <c r="V45" i="1"/>
  <c r="R45" i="1"/>
  <c r="W44" i="1"/>
  <c r="V44" i="1"/>
  <c r="R44" i="1"/>
  <c r="W43" i="1"/>
  <c r="V43" i="1"/>
  <c r="R43" i="1"/>
  <c r="W42" i="1"/>
  <c r="V42" i="1"/>
  <c r="R42" i="1"/>
  <c r="W41" i="1"/>
  <c r="V41" i="1"/>
  <c r="R41" i="1"/>
  <c r="W40" i="1"/>
  <c r="V40" i="1"/>
  <c r="R40" i="1"/>
  <c r="W39" i="1"/>
  <c r="V39" i="1"/>
  <c r="R39" i="1"/>
  <c r="A39" i="1" s="1"/>
  <c r="A242" i="1" s="1"/>
  <c r="W38" i="1"/>
  <c r="V38" i="1"/>
  <c r="R38" i="1"/>
  <c r="W37" i="1"/>
  <c r="V37" i="1"/>
  <c r="R37" i="1"/>
  <c r="W36" i="1"/>
  <c r="V36" i="1"/>
  <c r="R36" i="1"/>
  <c r="W35" i="1"/>
  <c r="V35" i="1"/>
  <c r="R35" i="1"/>
  <c r="W34" i="1"/>
  <c r="V34" i="1"/>
  <c r="R34" i="1"/>
  <c r="W33" i="1"/>
  <c r="V33" i="1"/>
  <c r="R33" i="1"/>
  <c r="W32" i="1"/>
  <c r="V32" i="1"/>
  <c r="R32" i="1"/>
  <c r="W31" i="1"/>
  <c r="V31" i="1"/>
  <c r="R31" i="1"/>
  <c r="W30" i="1"/>
  <c r="V30" i="1"/>
  <c r="R30" i="1"/>
  <c r="W29" i="1"/>
  <c r="V29" i="1"/>
  <c r="R29" i="1"/>
  <c r="W28" i="1"/>
  <c r="V28" i="1"/>
  <c r="R28" i="1"/>
  <c r="W27" i="1"/>
  <c r="V27" i="1"/>
  <c r="R27" i="1"/>
  <c r="W25" i="1"/>
  <c r="V25" i="1"/>
  <c r="R25" i="1"/>
  <c r="W24" i="1"/>
  <c r="V24" i="1"/>
  <c r="R24" i="1"/>
  <c r="W23" i="1"/>
  <c r="V23" i="1"/>
  <c r="R23" i="1"/>
  <c r="W22" i="1"/>
  <c r="V22" i="1"/>
  <c r="R22" i="1"/>
  <c r="W21" i="1"/>
  <c r="V21" i="1"/>
  <c r="R21" i="1"/>
  <c r="W20" i="1"/>
  <c r="V20" i="1"/>
  <c r="R20" i="1"/>
  <c r="W19" i="1"/>
  <c r="V19" i="1"/>
  <c r="R19" i="1"/>
  <c r="W18" i="1"/>
  <c r="V18" i="1"/>
  <c r="R18" i="1"/>
  <c r="W17" i="1"/>
  <c r="V17" i="1"/>
  <c r="R17" i="1"/>
  <c r="W16" i="1"/>
  <c r="V16" i="1"/>
  <c r="R16" i="1"/>
  <c r="W15" i="1"/>
  <c r="V15" i="1"/>
  <c r="R15" i="1"/>
  <c r="W14" i="1"/>
  <c r="V14" i="1"/>
  <c r="R14" i="1"/>
  <c r="S14" i="1" s="1"/>
  <c r="W241" i="1"/>
  <c r="V241" i="1"/>
  <c r="W240" i="1"/>
  <c r="V240" i="1"/>
  <c r="R240" i="1"/>
  <c r="W239" i="1"/>
  <c r="V239" i="1"/>
  <c r="R239" i="1"/>
  <c r="W238" i="1"/>
  <c r="V238" i="1"/>
  <c r="R238" i="1"/>
  <c r="W237" i="1"/>
  <c r="V237" i="1"/>
  <c r="R237" i="1"/>
  <c r="S238" i="1" l="1"/>
  <c r="S16" i="1"/>
  <c r="A16" i="1"/>
  <c r="S18" i="1"/>
  <c r="A18" i="1"/>
  <c r="S20" i="1"/>
  <c r="A20" i="1"/>
  <c r="S24" i="1"/>
  <c r="A24" i="1"/>
  <c r="S27" i="1"/>
  <c r="S29" i="1"/>
  <c r="S31" i="1"/>
  <c r="S33" i="1"/>
  <c r="S35" i="1"/>
  <c r="S37" i="1"/>
  <c r="S39" i="1"/>
  <c r="S41" i="1"/>
  <c r="S43" i="1"/>
  <c r="S45" i="1"/>
  <c r="S47" i="1"/>
  <c r="S49" i="1"/>
  <c r="S51" i="1"/>
  <c r="S53" i="1"/>
  <c r="S55" i="1"/>
  <c r="S57" i="1"/>
  <c r="S59" i="1"/>
  <c r="S61" i="1"/>
  <c r="S63" i="1"/>
  <c r="S65" i="1"/>
  <c r="S67" i="1"/>
  <c r="S69" i="1"/>
  <c r="S71" i="1"/>
  <c r="S73" i="1"/>
  <c r="S75" i="1"/>
  <c r="S77" i="1"/>
  <c r="S79" i="1"/>
  <c r="S81" i="1"/>
  <c r="S83" i="1"/>
  <c r="S85" i="1"/>
  <c r="S87" i="1"/>
  <c r="S89" i="1"/>
  <c r="S91" i="1"/>
  <c r="S93" i="1"/>
  <c r="S95" i="1"/>
  <c r="S97" i="1"/>
  <c r="S99" i="1"/>
  <c r="S101" i="1"/>
  <c r="S103" i="1"/>
  <c r="S105" i="1"/>
  <c r="S107" i="1"/>
  <c r="S109" i="1"/>
  <c r="S111" i="1"/>
  <c r="S112" i="1"/>
  <c r="S117" i="1"/>
  <c r="S119" i="1"/>
  <c r="S121" i="1"/>
  <c r="S123" i="1"/>
  <c r="S125" i="1"/>
  <c r="S127" i="1"/>
  <c r="S129" i="1"/>
  <c r="S131" i="1"/>
  <c r="S135" i="1"/>
  <c r="S137" i="1"/>
  <c r="S139" i="1"/>
  <c r="S141" i="1"/>
  <c r="S143" i="1"/>
  <c r="S145" i="1"/>
  <c r="S147" i="1"/>
  <c r="S149" i="1"/>
  <c r="S151" i="1"/>
  <c r="S153" i="1"/>
  <c r="S155" i="1"/>
  <c r="S157" i="1"/>
  <c r="S159" i="1"/>
  <c r="S161" i="1"/>
  <c r="S163" i="1"/>
  <c r="S165" i="1"/>
  <c r="S167" i="1"/>
  <c r="S169" i="1"/>
  <c r="S171" i="1"/>
  <c r="S173" i="1"/>
  <c r="S175" i="1"/>
  <c r="S177" i="1"/>
  <c r="S179" i="1"/>
  <c r="S181" i="1"/>
  <c r="S183" i="1"/>
  <c r="S187" i="1"/>
  <c r="S189" i="1"/>
  <c r="S191" i="1"/>
  <c r="S193" i="1"/>
  <c r="S195" i="1"/>
  <c r="S197" i="1"/>
  <c r="S199" i="1"/>
  <c r="S201" i="1"/>
  <c r="S203" i="1"/>
  <c r="S205" i="1"/>
  <c r="S207" i="1"/>
  <c r="S209" i="1"/>
  <c r="S211" i="1"/>
  <c r="S213" i="1"/>
  <c r="S215" i="1"/>
  <c r="S217" i="1"/>
  <c r="S219" i="1"/>
  <c r="S221" i="1"/>
  <c r="S226" i="1"/>
  <c r="S228" i="1"/>
  <c r="S230" i="1"/>
  <c r="S232" i="1"/>
  <c r="S234" i="1"/>
  <c r="S240" i="1"/>
  <c r="S239" i="1"/>
  <c r="S241" i="1"/>
  <c r="S15" i="1"/>
  <c r="A15" i="1"/>
  <c r="S17" i="1"/>
  <c r="A17" i="1"/>
  <c r="S23" i="1"/>
  <c r="A23" i="1"/>
  <c r="S25" i="1"/>
  <c r="A25" i="1"/>
  <c r="S28" i="1"/>
  <c r="S30" i="1"/>
  <c r="S32" i="1"/>
  <c r="S34" i="1"/>
  <c r="S36" i="1"/>
  <c r="S38" i="1"/>
  <c r="S40" i="1"/>
  <c r="S42" i="1"/>
  <c r="S44" i="1"/>
  <c r="S46" i="1"/>
  <c r="S48" i="1"/>
  <c r="S50" i="1"/>
  <c r="S52" i="1"/>
  <c r="S54" i="1"/>
  <c r="S56" i="1"/>
  <c r="S58" i="1"/>
  <c r="S60" i="1"/>
  <c r="S62" i="1"/>
  <c r="S64" i="1"/>
  <c r="S66" i="1"/>
  <c r="S68" i="1"/>
  <c r="S70" i="1"/>
  <c r="S72" i="1"/>
  <c r="S74" i="1"/>
  <c r="S76" i="1"/>
  <c r="S78" i="1"/>
  <c r="S80" i="1"/>
  <c r="S82" i="1"/>
  <c r="S84" i="1"/>
  <c r="S86" i="1"/>
  <c r="S88" i="1"/>
  <c r="S90" i="1"/>
  <c r="S92" i="1"/>
  <c r="S94" i="1"/>
  <c r="S96" i="1"/>
  <c r="S98" i="1"/>
  <c r="S100" i="1"/>
  <c r="S102" i="1"/>
  <c r="S104" i="1"/>
  <c r="S106" i="1"/>
  <c r="S108" i="1"/>
  <c r="S110" i="1"/>
  <c r="S116" i="1"/>
  <c r="S118" i="1"/>
  <c r="S120" i="1"/>
  <c r="S122" i="1"/>
  <c r="S124" i="1"/>
  <c r="S126" i="1"/>
  <c r="S128" i="1"/>
  <c r="S130" i="1"/>
  <c r="S132" i="1"/>
  <c r="S134" i="1"/>
  <c r="S136" i="1"/>
  <c r="S138" i="1"/>
  <c r="S140" i="1"/>
  <c r="S142" i="1"/>
  <c r="S144" i="1"/>
  <c r="S146" i="1"/>
  <c r="S148" i="1"/>
  <c r="S150" i="1"/>
  <c r="S152" i="1"/>
  <c r="S154" i="1"/>
  <c r="S156" i="1"/>
  <c r="S158" i="1"/>
  <c r="S160" i="1"/>
  <c r="S162" i="1"/>
  <c r="S164" i="1"/>
  <c r="S166" i="1"/>
  <c r="S168" i="1"/>
  <c r="S170" i="1"/>
  <c r="S172" i="1"/>
  <c r="S174" i="1"/>
  <c r="S176" i="1"/>
  <c r="S178" i="1"/>
  <c r="S180" i="1"/>
  <c r="S182" i="1"/>
  <c r="S184" i="1"/>
  <c r="S186" i="1"/>
  <c r="S188" i="1"/>
  <c r="S190" i="1"/>
  <c r="S192" i="1"/>
  <c r="S194" i="1"/>
  <c r="S196" i="1"/>
  <c r="S198" i="1"/>
  <c r="S200" i="1"/>
  <c r="S202" i="1"/>
  <c r="S204" i="1"/>
  <c r="S206" i="1"/>
  <c r="S208" i="1"/>
  <c r="S210" i="1"/>
  <c r="S212" i="1"/>
  <c r="S214" i="1"/>
  <c r="S216" i="1"/>
  <c r="S218" i="1"/>
  <c r="S220" i="1"/>
  <c r="S225" i="1"/>
  <c r="S227" i="1"/>
  <c r="S229" i="1"/>
  <c r="S231" i="1"/>
  <c r="S233" i="1"/>
  <c r="S235" i="1"/>
  <c r="S114" i="1"/>
  <c r="S115" i="1"/>
  <c r="S237" i="1"/>
  <c r="S185" i="1"/>
  <c r="S133" i="1"/>
  <c r="S22" i="1"/>
  <c r="A22" i="1"/>
  <c r="S19" i="1"/>
  <c r="A19" i="1"/>
  <c r="S21" i="1"/>
  <c r="A21" i="1"/>
  <c r="A14" i="1"/>
  <c r="W444" i="1" l="1"/>
  <c r="V444" i="1"/>
  <c r="R444" i="1"/>
  <c r="W443" i="1"/>
  <c r="V443" i="1"/>
  <c r="R443" i="1"/>
  <c r="W442" i="1"/>
  <c r="V442" i="1"/>
  <c r="R442" i="1"/>
  <c r="W441" i="1"/>
  <c r="V441" i="1"/>
  <c r="R441" i="1"/>
  <c r="W440" i="1"/>
  <c r="V440" i="1"/>
  <c r="R440" i="1"/>
  <c r="W439" i="1"/>
  <c r="V439" i="1"/>
  <c r="R439" i="1"/>
  <c r="W438" i="1"/>
  <c r="V438" i="1"/>
  <c r="R438" i="1"/>
  <c r="W437" i="1"/>
  <c r="V437" i="1"/>
  <c r="R437" i="1"/>
  <c r="W436" i="1"/>
  <c r="V436" i="1"/>
  <c r="R436" i="1"/>
  <c r="W435" i="1"/>
  <c r="V435" i="1"/>
  <c r="R435" i="1"/>
  <c r="W434" i="1"/>
  <c r="V434" i="1"/>
  <c r="R434" i="1"/>
  <c r="W433" i="1"/>
  <c r="V433" i="1"/>
  <c r="R433" i="1"/>
  <c r="W432" i="1"/>
  <c r="V432" i="1"/>
  <c r="R432" i="1"/>
  <c r="W431" i="1"/>
  <c r="V431" i="1"/>
  <c r="R431" i="1"/>
  <c r="W430" i="1"/>
  <c r="V430" i="1"/>
  <c r="R430" i="1"/>
  <c r="W428" i="1"/>
  <c r="V428" i="1"/>
  <c r="R428" i="1"/>
  <c r="A428" i="1" s="1"/>
  <c r="W427" i="1"/>
  <c r="V427" i="1"/>
  <c r="R427" i="1"/>
  <c r="A427" i="1" s="1"/>
  <c r="W426" i="1"/>
  <c r="V426" i="1"/>
  <c r="R426" i="1"/>
  <c r="A426" i="1" s="1"/>
  <c r="W425" i="1"/>
  <c r="V425" i="1"/>
  <c r="R425" i="1"/>
  <c r="A425" i="1" s="1"/>
  <c r="W424" i="1"/>
  <c r="V424" i="1"/>
  <c r="R424" i="1"/>
  <c r="A424" i="1" s="1"/>
  <c r="W423" i="1"/>
  <c r="V423" i="1"/>
  <c r="R423" i="1"/>
  <c r="A423" i="1" s="1"/>
  <c r="W422" i="1"/>
  <c r="V422" i="1"/>
  <c r="R422" i="1"/>
  <c r="A422" i="1" s="1"/>
  <c r="W421" i="1"/>
  <c r="V421" i="1"/>
  <c r="R421" i="1"/>
  <c r="A421" i="1" s="1"/>
  <c r="W420" i="1"/>
  <c r="V420" i="1"/>
  <c r="R420" i="1"/>
  <c r="A420" i="1" s="1"/>
  <c r="W419" i="1"/>
  <c r="V419" i="1"/>
  <c r="R419" i="1"/>
  <c r="A419" i="1" s="1"/>
  <c r="W418" i="1"/>
  <c r="V418" i="1"/>
  <c r="R418" i="1"/>
  <c r="A418" i="1" s="1"/>
  <c r="W417" i="1"/>
  <c r="V417" i="1"/>
  <c r="R417" i="1"/>
  <c r="A417" i="1" s="1"/>
  <c r="W416" i="1"/>
  <c r="V416" i="1"/>
  <c r="R416" i="1"/>
  <c r="A416" i="1" s="1"/>
  <c r="W415" i="1"/>
  <c r="V415" i="1"/>
  <c r="R415" i="1"/>
  <c r="A415" i="1" s="1"/>
  <c r="W414" i="1"/>
  <c r="V414" i="1"/>
  <c r="R414" i="1"/>
  <c r="A414" i="1" s="1"/>
  <c r="W413" i="1"/>
  <c r="V413" i="1"/>
  <c r="R413" i="1"/>
  <c r="A413" i="1" s="1"/>
  <c r="W412" i="1"/>
  <c r="V412" i="1"/>
  <c r="R412" i="1"/>
  <c r="A412" i="1" s="1"/>
  <c r="W411" i="1"/>
  <c r="V411" i="1"/>
  <c r="R411" i="1"/>
  <c r="A411" i="1" s="1"/>
  <c r="W410" i="1"/>
  <c r="V410" i="1"/>
  <c r="R410" i="1"/>
  <c r="A410" i="1" s="1"/>
  <c r="W409" i="1"/>
  <c r="V409" i="1"/>
  <c r="R409" i="1"/>
  <c r="A409" i="1" s="1"/>
  <c r="W408" i="1"/>
  <c r="V408" i="1"/>
  <c r="R408" i="1"/>
  <c r="A408" i="1" s="1"/>
  <c r="W407" i="1"/>
  <c r="V407" i="1"/>
  <c r="R407" i="1"/>
  <c r="A407" i="1" s="1"/>
  <c r="W405" i="1"/>
  <c r="V405" i="1"/>
  <c r="R405" i="1"/>
  <c r="W404" i="1"/>
  <c r="V404" i="1"/>
  <c r="R404" i="1"/>
  <c r="W403" i="1"/>
  <c r="V403" i="1"/>
  <c r="R403" i="1"/>
  <c r="W402" i="1"/>
  <c r="V402" i="1"/>
  <c r="R402" i="1"/>
  <c r="W401" i="1"/>
  <c r="V401" i="1"/>
  <c r="R401" i="1"/>
  <c r="W400" i="1"/>
  <c r="V400" i="1"/>
  <c r="R400" i="1"/>
  <c r="W399" i="1"/>
  <c r="V399" i="1"/>
  <c r="R399" i="1"/>
  <c r="W398" i="1"/>
  <c r="V398" i="1"/>
  <c r="R398" i="1"/>
  <c r="W397" i="1"/>
  <c r="V397" i="1"/>
  <c r="R397" i="1"/>
  <c r="W396" i="1"/>
  <c r="V396" i="1"/>
  <c r="R396" i="1"/>
  <c r="W395" i="1"/>
  <c r="V395" i="1"/>
  <c r="R395" i="1"/>
  <c r="W394" i="1"/>
  <c r="V394" i="1"/>
  <c r="R394" i="1"/>
  <c r="W393" i="1"/>
  <c r="V393" i="1"/>
  <c r="R393" i="1"/>
  <c r="W392" i="1"/>
  <c r="V392" i="1"/>
  <c r="R392" i="1"/>
  <c r="W391" i="1"/>
  <c r="V391" i="1"/>
  <c r="R391" i="1"/>
  <c r="W390" i="1"/>
  <c r="V390" i="1"/>
  <c r="R390" i="1"/>
  <c r="W389" i="1"/>
  <c r="V389" i="1"/>
  <c r="R389" i="1"/>
  <c r="W388" i="1"/>
  <c r="V388" i="1"/>
  <c r="R388" i="1"/>
  <c r="W387" i="1"/>
  <c r="V387" i="1"/>
  <c r="R387" i="1"/>
  <c r="W386" i="1"/>
  <c r="V386" i="1"/>
  <c r="R386" i="1"/>
  <c r="W385" i="1"/>
  <c r="V385" i="1"/>
  <c r="R385" i="1"/>
  <c r="W384" i="1"/>
  <c r="V384" i="1"/>
  <c r="R384" i="1"/>
  <c r="W383" i="1"/>
  <c r="V383" i="1"/>
  <c r="R383" i="1"/>
  <c r="W382" i="1"/>
  <c r="V382" i="1"/>
  <c r="R382" i="1"/>
  <c r="W381" i="1"/>
  <c r="V381" i="1"/>
  <c r="R381" i="1"/>
  <c r="W380" i="1"/>
  <c r="V380" i="1"/>
  <c r="R380" i="1"/>
  <c r="W379" i="1"/>
  <c r="V379" i="1"/>
  <c r="R379" i="1"/>
  <c r="W378" i="1"/>
  <c r="V378" i="1"/>
  <c r="R378" i="1"/>
  <c r="W377" i="1"/>
  <c r="V377" i="1"/>
  <c r="R377" i="1"/>
  <c r="W376" i="1"/>
  <c r="V376" i="1"/>
  <c r="R376" i="1"/>
  <c r="W375" i="1"/>
  <c r="V375" i="1"/>
  <c r="R375" i="1"/>
  <c r="W374" i="1"/>
  <c r="V374" i="1"/>
  <c r="R374" i="1"/>
  <c r="W373" i="1"/>
  <c r="V373" i="1"/>
  <c r="R373" i="1"/>
  <c r="W372" i="1"/>
  <c r="V372" i="1"/>
  <c r="R372" i="1"/>
  <c r="W371" i="1"/>
  <c r="V371" i="1"/>
  <c r="R371" i="1"/>
  <c r="W370" i="1"/>
  <c r="V370" i="1"/>
  <c r="R370" i="1"/>
  <c r="W369" i="1"/>
  <c r="V369" i="1"/>
  <c r="R369" i="1"/>
  <c r="W368" i="1"/>
  <c r="V368" i="1"/>
  <c r="R368" i="1"/>
  <c r="W367" i="1"/>
  <c r="V367" i="1"/>
  <c r="R367" i="1"/>
  <c r="W366" i="1"/>
  <c r="V366" i="1"/>
  <c r="R366" i="1"/>
  <c r="W365" i="1"/>
  <c r="V365" i="1"/>
  <c r="R365" i="1"/>
  <c r="W364" i="1"/>
  <c r="V364" i="1"/>
  <c r="R364" i="1"/>
  <c r="W363" i="1"/>
  <c r="V363" i="1"/>
  <c r="R363" i="1"/>
  <c r="W362" i="1"/>
  <c r="V362" i="1"/>
  <c r="R362" i="1"/>
  <c r="W361" i="1"/>
  <c r="V361" i="1"/>
  <c r="R361" i="1"/>
  <c r="W360" i="1"/>
  <c r="V360" i="1"/>
  <c r="R360" i="1"/>
  <c r="W359" i="1"/>
  <c r="V359" i="1"/>
  <c r="R359" i="1"/>
  <c r="W358" i="1"/>
  <c r="V358" i="1"/>
  <c r="R358" i="1"/>
  <c r="W357" i="1"/>
  <c r="V357" i="1"/>
  <c r="R357" i="1"/>
  <c r="W356" i="1"/>
  <c r="V356" i="1"/>
  <c r="R356" i="1"/>
  <c r="W355" i="1"/>
  <c r="V355" i="1"/>
  <c r="R355" i="1"/>
  <c r="W354" i="1"/>
  <c r="V354" i="1"/>
  <c r="R354" i="1"/>
  <c r="W353" i="1"/>
  <c r="V353" i="1"/>
  <c r="R353" i="1"/>
  <c r="W352" i="1"/>
  <c r="V352" i="1"/>
  <c r="R352" i="1"/>
  <c r="W351" i="1"/>
  <c r="V351" i="1"/>
  <c r="R351" i="1"/>
  <c r="W350" i="1"/>
  <c r="V350" i="1"/>
  <c r="R350" i="1"/>
  <c r="W349" i="1"/>
  <c r="V349" i="1"/>
  <c r="R349" i="1"/>
  <c r="W348" i="1"/>
  <c r="V348" i="1"/>
  <c r="R348" i="1"/>
  <c r="W347" i="1"/>
  <c r="V347" i="1"/>
  <c r="R347" i="1"/>
  <c r="W346" i="1"/>
  <c r="V346" i="1"/>
  <c r="R346" i="1"/>
  <c r="W345" i="1"/>
  <c r="V345" i="1"/>
  <c r="R345" i="1"/>
  <c r="W344" i="1"/>
  <c r="V344" i="1"/>
  <c r="R344" i="1"/>
  <c r="W343" i="1"/>
  <c r="V343" i="1"/>
  <c r="R343" i="1"/>
  <c r="W342" i="1"/>
  <c r="V342" i="1"/>
  <c r="R342" i="1"/>
  <c r="W341" i="1"/>
  <c r="V341" i="1"/>
  <c r="R341" i="1"/>
  <c r="W340" i="1"/>
  <c r="V340" i="1"/>
  <c r="R340" i="1"/>
  <c r="W339" i="1"/>
  <c r="V339" i="1"/>
  <c r="R339" i="1"/>
  <c r="W338" i="1"/>
  <c r="V338" i="1"/>
  <c r="R338" i="1"/>
  <c r="A338" i="1" s="1"/>
  <c r="W337" i="1"/>
  <c r="V337" i="1"/>
  <c r="R337" i="1"/>
  <c r="W336" i="1"/>
  <c r="V336" i="1"/>
  <c r="R336" i="1"/>
  <c r="W335" i="1"/>
  <c r="V335" i="1"/>
  <c r="R335" i="1"/>
  <c r="W334" i="1"/>
  <c r="V334" i="1"/>
  <c r="R334" i="1"/>
  <c r="W333" i="1"/>
  <c r="V333" i="1"/>
  <c r="R333" i="1"/>
  <c r="W332" i="1"/>
  <c r="V332" i="1"/>
  <c r="R332" i="1"/>
  <c r="W331" i="1"/>
  <c r="V331" i="1"/>
  <c r="R331" i="1"/>
  <c r="W330" i="1"/>
  <c r="V330" i="1"/>
  <c r="R330" i="1"/>
  <c r="W329" i="1"/>
  <c r="V329" i="1"/>
  <c r="R329" i="1"/>
  <c r="W328" i="1"/>
  <c r="V328" i="1"/>
  <c r="R328" i="1"/>
  <c r="W327" i="1"/>
  <c r="V327" i="1"/>
  <c r="R327" i="1"/>
  <c r="W326" i="1"/>
  <c r="V326" i="1"/>
  <c r="R326" i="1"/>
  <c r="W325" i="1"/>
  <c r="V325" i="1"/>
  <c r="R325" i="1"/>
  <c r="W324" i="1"/>
  <c r="V324" i="1"/>
  <c r="R324" i="1"/>
  <c r="W323" i="1"/>
  <c r="V323" i="1"/>
  <c r="R323" i="1"/>
  <c r="W322" i="1"/>
  <c r="V322" i="1"/>
  <c r="R322" i="1"/>
  <c r="W321" i="1"/>
  <c r="V321" i="1"/>
  <c r="R321" i="1"/>
  <c r="W320" i="1"/>
  <c r="V320" i="1"/>
  <c r="R320" i="1"/>
  <c r="W319" i="1"/>
  <c r="V319" i="1"/>
  <c r="R319" i="1"/>
  <c r="W318" i="1"/>
  <c r="V318" i="1"/>
  <c r="R318" i="1"/>
  <c r="W317" i="1"/>
  <c r="V317" i="1"/>
  <c r="R317" i="1"/>
  <c r="W316" i="1"/>
  <c r="V316" i="1"/>
  <c r="R316" i="1"/>
  <c r="W315" i="1"/>
  <c r="V315" i="1"/>
  <c r="R315" i="1"/>
  <c r="W314" i="1"/>
  <c r="V314" i="1"/>
  <c r="R314" i="1"/>
  <c r="W313" i="1"/>
  <c r="V313" i="1"/>
  <c r="R313" i="1"/>
  <c r="W312" i="1"/>
  <c r="V312" i="1"/>
  <c r="R312" i="1"/>
  <c r="W311" i="1"/>
  <c r="V311" i="1"/>
  <c r="R311" i="1"/>
  <c r="W310" i="1"/>
  <c r="V310" i="1"/>
  <c r="R310" i="1"/>
  <c r="W309" i="1"/>
  <c r="V309" i="1"/>
  <c r="R309" i="1"/>
  <c r="W308" i="1"/>
  <c r="V308" i="1"/>
  <c r="R308" i="1"/>
  <c r="W307" i="1"/>
  <c r="V307" i="1"/>
  <c r="R307" i="1"/>
  <c r="W306" i="1"/>
  <c r="V306" i="1"/>
  <c r="R306" i="1"/>
  <c r="W305" i="1"/>
  <c r="V305" i="1"/>
  <c r="R305" i="1"/>
  <c r="W304" i="1"/>
  <c r="V304" i="1"/>
  <c r="R304" i="1"/>
  <c r="W303" i="1"/>
  <c r="V303" i="1"/>
  <c r="R303" i="1"/>
  <c r="W302" i="1"/>
  <c r="V302" i="1"/>
  <c r="R302" i="1"/>
  <c r="W301" i="1"/>
  <c r="V301" i="1"/>
  <c r="R301" i="1"/>
  <c r="W300" i="1"/>
  <c r="V300" i="1"/>
  <c r="R300" i="1"/>
  <c r="W299" i="1"/>
  <c r="V299" i="1"/>
  <c r="R299" i="1"/>
  <c r="W298" i="1"/>
  <c r="V298" i="1"/>
  <c r="R298" i="1"/>
  <c r="W297" i="1"/>
  <c r="V297" i="1"/>
  <c r="R297" i="1"/>
  <c r="W296" i="1"/>
  <c r="V296" i="1"/>
  <c r="R296" i="1"/>
  <c r="W295" i="1"/>
  <c r="V295" i="1"/>
  <c r="R295" i="1"/>
  <c r="W294" i="1"/>
  <c r="V294" i="1"/>
  <c r="R294" i="1"/>
  <c r="W293" i="1"/>
  <c r="V293" i="1"/>
  <c r="R293" i="1"/>
  <c r="W292" i="1"/>
  <c r="V292" i="1"/>
  <c r="R292" i="1"/>
  <c r="W291" i="1"/>
  <c r="V291" i="1"/>
  <c r="R291" i="1"/>
  <c r="W290" i="1"/>
  <c r="V290" i="1"/>
  <c r="R290" i="1"/>
  <c r="W289" i="1"/>
  <c r="V289" i="1"/>
  <c r="R289" i="1"/>
  <c r="W288" i="1"/>
  <c r="V288" i="1"/>
  <c r="R288" i="1"/>
  <c r="W287" i="1"/>
  <c r="V287" i="1"/>
  <c r="R287" i="1"/>
  <c r="W286" i="1"/>
  <c r="V286" i="1"/>
  <c r="R286" i="1"/>
  <c r="W285" i="1"/>
  <c r="V285" i="1"/>
  <c r="R285" i="1"/>
  <c r="W284" i="1"/>
  <c r="V284" i="1"/>
  <c r="R284" i="1"/>
  <c r="W283" i="1"/>
  <c r="V283" i="1"/>
  <c r="R283" i="1"/>
  <c r="W282" i="1"/>
  <c r="V282" i="1"/>
  <c r="R282" i="1"/>
  <c r="W281" i="1"/>
  <c r="V281" i="1"/>
  <c r="R281" i="1"/>
  <c r="W280" i="1"/>
  <c r="V280" i="1"/>
  <c r="R280" i="1"/>
  <c r="W279" i="1"/>
  <c r="V279" i="1"/>
  <c r="R279" i="1"/>
  <c r="W278" i="1"/>
  <c r="V278" i="1"/>
  <c r="R278" i="1"/>
  <c r="W277" i="1"/>
  <c r="V277" i="1"/>
  <c r="R277" i="1"/>
  <c r="W276" i="1"/>
  <c r="V276" i="1"/>
  <c r="R276" i="1"/>
  <c r="W275" i="1"/>
  <c r="V275" i="1"/>
  <c r="R275" i="1"/>
  <c r="W274" i="1"/>
  <c r="V274" i="1"/>
  <c r="R274" i="1"/>
  <c r="W273" i="1"/>
  <c r="V273" i="1"/>
  <c r="R273" i="1"/>
  <c r="W272" i="1"/>
  <c r="V272" i="1"/>
  <c r="R272" i="1"/>
  <c r="W271" i="1"/>
  <c r="V271" i="1"/>
  <c r="R271" i="1"/>
  <c r="W270" i="1"/>
  <c r="V270" i="1"/>
  <c r="R270" i="1"/>
  <c r="W269" i="1"/>
  <c r="V269" i="1"/>
  <c r="R269" i="1"/>
  <c r="W268" i="1"/>
  <c r="V268" i="1"/>
  <c r="R268" i="1"/>
  <c r="W267" i="1"/>
  <c r="V267" i="1"/>
  <c r="R267" i="1"/>
  <c r="W266" i="1"/>
  <c r="V266" i="1"/>
  <c r="R266" i="1"/>
  <c r="W265" i="1"/>
  <c r="V265" i="1"/>
  <c r="R265" i="1"/>
  <c r="W264" i="1"/>
  <c r="V264" i="1"/>
  <c r="R264" i="1"/>
  <c r="W263" i="1"/>
  <c r="V263" i="1"/>
  <c r="R263" i="1"/>
  <c r="W262" i="1"/>
  <c r="V262" i="1"/>
  <c r="R262" i="1"/>
  <c r="W261" i="1"/>
  <c r="V261" i="1"/>
  <c r="R261" i="1"/>
  <c r="W260" i="1"/>
  <c r="V260" i="1"/>
  <c r="R260" i="1"/>
  <c r="W259" i="1"/>
  <c r="V259" i="1"/>
  <c r="R259" i="1"/>
  <c r="W258" i="1"/>
  <c r="V258" i="1"/>
  <c r="R258" i="1"/>
  <c r="W257" i="1"/>
  <c r="V257" i="1"/>
  <c r="R257" i="1"/>
  <c r="W256" i="1"/>
  <c r="V256" i="1"/>
  <c r="R256" i="1"/>
  <c r="W255" i="1"/>
  <c r="V255" i="1"/>
  <c r="R255" i="1"/>
  <c r="W254" i="1"/>
  <c r="V254" i="1"/>
  <c r="R254" i="1"/>
  <c r="W253" i="1"/>
  <c r="V253" i="1"/>
  <c r="R253" i="1"/>
  <c r="W252" i="1"/>
  <c r="V252" i="1"/>
  <c r="R252" i="1"/>
  <c r="W251" i="1"/>
  <c r="V251" i="1"/>
  <c r="R251" i="1"/>
  <c r="W250" i="1"/>
  <c r="V250" i="1"/>
  <c r="R250" i="1"/>
  <c r="W249" i="1"/>
  <c r="V249" i="1"/>
  <c r="R249" i="1"/>
  <c r="W248" i="1"/>
  <c r="V248" i="1"/>
  <c r="R248" i="1"/>
  <c r="W247" i="1"/>
  <c r="V247" i="1"/>
  <c r="R247" i="1"/>
  <c r="W498" i="1"/>
  <c r="V498" i="1"/>
  <c r="R498" i="1"/>
  <c r="W497" i="1"/>
  <c r="V497" i="1"/>
  <c r="R497" i="1"/>
  <c r="W496" i="1"/>
  <c r="V496" i="1"/>
  <c r="R496" i="1"/>
  <c r="W495" i="1"/>
  <c r="V495" i="1"/>
  <c r="R495" i="1"/>
  <c r="W494" i="1"/>
  <c r="V494" i="1"/>
  <c r="R494" i="1"/>
  <c r="W493" i="1"/>
  <c r="V493" i="1"/>
  <c r="R493" i="1"/>
  <c r="W492" i="1"/>
  <c r="V492" i="1"/>
  <c r="R492" i="1"/>
  <c r="W491" i="1"/>
  <c r="V491" i="1"/>
  <c r="R491" i="1"/>
  <c r="W490" i="1"/>
  <c r="V490" i="1"/>
  <c r="R490" i="1"/>
  <c r="W489" i="1"/>
  <c r="V489" i="1"/>
  <c r="R489" i="1"/>
  <c r="W488" i="1"/>
  <c r="V488" i="1"/>
  <c r="R488" i="1"/>
  <c r="W487" i="1"/>
  <c r="V487" i="1"/>
  <c r="R487" i="1"/>
  <c r="W486" i="1"/>
  <c r="V486" i="1"/>
  <c r="R486" i="1"/>
  <c r="W485" i="1"/>
  <c r="V485" i="1"/>
  <c r="R485" i="1"/>
  <c r="W484" i="1"/>
  <c r="V484" i="1"/>
  <c r="R484" i="1"/>
  <c r="W483" i="1"/>
  <c r="V483" i="1"/>
  <c r="R483" i="1"/>
  <c r="W482" i="1"/>
  <c r="V482" i="1"/>
  <c r="R482" i="1"/>
  <c r="W481" i="1"/>
  <c r="V481" i="1"/>
  <c r="R481" i="1"/>
  <c r="W480" i="1"/>
  <c r="V480" i="1"/>
  <c r="R480" i="1"/>
  <c r="W479" i="1"/>
  <c r="V479" i="1"/>
  <c r="R479" i="1"/>
  <c r="W478" i="1"/>
  <c r="V478" i="1"/>
  <c r="R478" i="1"/>
  <c r="W477" i="1"/>
  <c r="V477" i="1"/>
  <c r="R477" i="1"/>
  <c r="W475" i="1"/>
  <c r="V475" i="1"/>
  <c r="R475" i="1"/>
  <c r="A475" i="1" s="1"/>
  <c r="W474" i="1"/>
  <c r="V474" i="1"/>
  <c r="R474" i="1"/>
  <c r="A474" i="1" s="1"/>
  <c r="W473" i="1"/>
  <c r="V473" i="1"/>
  <c r="R473" i="1"/>
  <c r="A473" i="1" s="1"/>
  <c r="W472" i="1"/>
  <c r="V472" i="1"/>
  <c r="R472" i="1"/>
  <c r="A472" i="1" s="1"/>
  <c r="W471" i="1"/>
  <c r="V471" i="1"/>
  <c r="R471" i="1"/>
  <c r="A471" i="1" s="1"/>
  <c r="W470" i="1"/>
  <c r="V470" i="1"/>
  <c r="R470" i="1"/>
  <c r="A470" i="1" s="1"/>
  <c r="W469" i="1"/>
  <c r="V469" i="1"/>
  <c r="R469" i="1"/>
  <c r="A469" i="1" s="1"/>
  <c r="W468" i="1"/>
  <c r="V468" i="1"/>
  <c r="R468" i="1"/>
  <c r="A468" i="1" s="1"/>
  <c r="W466" i="1"/>
  <c r="V466" i="1"/>
  <c r="R466" i="1"/>
  <c r="W465" i="1"/>
  <c r="V465" i="1"/>
  <c r="R465" i="1"/>
  <c r="W464" i="1"/>
  <c r="V464" i="1"/>
  <c r="R464" i="1"/>
  <c r="W463" i="1"/>
  <c r="V463" i="1"/>
  <c r="R463" i="1"/>
  <c r="W462" i="1"/>
  <c r="V462" i="1"/>
  <c r="R462" i="1"/>
  <c r="W461" i="1"/>
  <c r="V461" i="1"/>
  <c r="R461" i="1"/>
  <c r="W460" i="1"/>
  <c r="V460" i="1"/>
  <c r="R460" i="1"/>
  <c r="A460" i="1" s="1"/>
  <c r="W459" i="1"/>
  <c r="V459" i="1"/>
  <c r="R459" i="1"/>
  <c r="W457" i="1"/>
  <c r="V457" i="1"/>
  <c r="R457" i="1"/>
  <c r="W456" i="1"/>
  <c r="V456" i="1"/>
  <c r="R456" i="1"/>
  <c r="W455" i="1"/>
  <c r="V455" i="1"/>
  <c r="R455" i="1"/>
  <c r="W454" i="1"/>
  <c r="V454" i="1"/>
  <c r="R454" i="1"/>
  <c r="W453" i="1"/>
  <c r="V453" i="1"/>
  <c r="R453" i="1"/>
  <c r="W452" i="1"/>
  <c r="V452" i="1"/>
  <c r="R452" i="1"/>
  <c r="W451" i="1"/>
  <c r="V451" i="1"/>
  <c r="R451" i="1"/>
  <c r="W450" i="1"/>
  <c r="V450" i="1"/>
  <c r="R450" i="1"/>
  <c r="W449" i="1"/>
  <c r="V449" i="1"/>
  <c r="R449" i="1"/>
  <c r="W448" i="1"/>
  <c r="V448" i="1"/>
  <c r="R448" i="1"/>
  <c r="W447" i="1"/>
  <c r="V447" i="1"/>
  <c r="R447" i="1"/>
  <c r="W446" i="1"/>
  <c r="V446" i="1"/>
  <c r="R446" i="1"/>
  <c r="W445" i="1"/>
  <c r="V445" i="1"/>
  <c r="R445" i="1"/>
  <c r="W458" i="1"/>
  <c r="V458" i="1"/>
  <c r="R458" i="1"/>
  <c r="N247" i="1"/>
  <c r="O247" i="1"/>
  <c r="N248" i="1"/>
  <c r="O248" i="1"/>
  <c r="N249" i="1"/>
  <c r="O249" i="1"/>
  <c r="N250" i="1"/>
  <c r="O250" i="1"/>
  <c r="N251" i="1"/>
  <c r="O251" i="1"/>
  <c r="N252" i="1"/>
  <c r="O252" i="1"/>
  <c r="N253" i="1"/>
  <c r="O253" i="1"/>
  <c r="N254" i="1"/>
  <c r="O254" i="1"/>
  <c r="N255" i="1"/>
  <c r="O255" i="1"/>
  <c r="N256" i="1"/>
  <c r="O256" i="1"/>
  <c r="N257" i="1"/>
  <c r="O257" i="1"/>
  <c r="N258" i="1"/>
  <c r="O258" i="1"/>
  <c r="N259" i="1"/>
  <c r="O259" i="1"/>
  <c r="N260" i="1"/>
  <c r="O260" i="1"/>
  <c r="N261" i="1"/>
  <c r="O261" i="1"/>
  <c r="N262" i="1"/>
  <c r="O262" i="1"/>
  <c r="N263" i="1"/>
  <c r="O263" i="1"/>
  <c r="N264" i="1"/>
  <c r="O264" i="1"/>
  <c r="N265" i="1"/>
  <c r="O265" i="1"/>
  <c r="N266" i="1"/>
  <c r="O266" i="1"/>
  <c r="N267" i="1"/>
  <c r="O267" i="1"/>
  <c r="N268" i="1"/>
  <c r="O268" i="1"/>
  <c r="N269" i="1"/>
  <c r="O269" i="1"/>
  <c r="N270" i="1"/>
  <c r="O270" i="1"/>
  <c r="N271" i="1"/>
  <c r="O271" i="1"/>
  <c r="N272" i="1"/>
  <c r="O272" i="1"/>
  <c r="N273" i="1"/>
  <c r="O273" i="1"/>
  <c r="N274" i="1"/>
  <c r="O274" i="1"/>
  <c r="N275" i="1"/>
  <c r="O275" i="1"/>
  <c r="N276" i="1"/>
  <c r="O276" i="1"/>
  <c r="N277" i="1"/>
  <c r="O277" i="1"/>
  <c r="N278" i="1"/>
  <c r="O278" i="1"/>
  <c r="N279" i="1"/>
  <c r="O279" i="1"/>
  <c r="N280" i="1"/>
  <c r="O280" i="1"/>
  <c r="N281" i="1"/>
  <c r="O281" i="1"/>
  <c r="N282" i="1"/>
  <c r="O282" i="1"/>
  <c r="N283" i="1"/>
  <c r="O283" i="1"/>
  <c r="N284" i="1"/>
  <c r="O284" i="1"/>
  <c r="N285" i="1"/>
  <c r="O285" i="1"/>
  <c r="N286" i="1"/>
  <c r="O286" i="1"/>
  <c r="N287" i="1"/>
  <c r="O287" i="1"/>
  <c r="N288" i="1"/>
  <c r="O288" i="1"/>
  <c r="N289" i="1"/>
  <c r="O289" i="1"/>
  <c r="N290" i="1"/>
  <c r="O290" i="1"/>
  <c r="N291" i="1"/>
  <c r="O291" i="1"/>
  <c r="N292" i="1"/>
  <c r="O292" i="1"/>
  <c r="N293" i="1"/>
  <c r="O293" i="1"/>
  <c r="N294" i="1"/>
  <c r="O294" i="1"/>
  <c r="N295" i="1"/>
  <c r="O295" i="1"/>
  <c r="N296" i="1"/>
  <c r="O296" i="1"/>
  <c r="N297" i="1"/>
  <c r="O297" i="1"/>
  <c r="N298" i="1"/>
  <c r="O298" i="1"/>
  <c r="N299" i="1"/>
  <c r="O299" i="1"/>
  <c r="N300" i="1"/>
  <c r="O300" i="1"/>
  <c r="N301" i="1"/>
  <c r="O301" i="1"/>
  <c r="N302" i="1"/>
  <c r="O302" i="1"/>
  <c r="N303" i="1"/>
  <c r="O303" i="1"/>
  <c r="N304" i="1"/>
  <c r="O304" i="1"/>
  <c r="N305" i="1"/>
  <c r="O305" i="1"/>
  <c r="N306" i="1"/>
  <c r="O306" i="1"/>
  <c r="N307" i="1"/>
  <c r="O307" i="1"/>
  <c r="N308" i="1"/>
  <c r="O308" i="1"/>
  <c r="N309" i="1"/>
  <c r="O309" i="1"/>
  <c r="N310" i="1"/>
  <c r="O310" i="1"/>
  <c r="N311" i="1"/>
  <c r="O311" i="1"/>
  <c r="N312" i="1"/>
  <c r="O312" i="1"/>
  <c r="N313" i="1"/>
  <c r="O313" i="1"/>
  <c r="N314" i="1"/>
  <c r="O314" i="1"/>
  <c r="N315" i="1"/>
  <c r="O315" i="1"/>
  <c r="N316" i="1"/>
  <c r="O316" i="1"/>
  <c r="N317" i="1"/>
  <c r="O317" i="1"/>
  <c r="N318" i="1"/>
  <c r="O318" i="1"/>
  <c r="N319" i="1"/>
  <c r="O319" i="1"/>
  <c r="N320" i="1"/>
  <c r="O320" i="1"/>
  <c r="N321" i="1"/>
  <c r="O321" i="1"/>
  <c r="N322" i="1"/>
  <c r="O322" i="1"/>
  <c r="N323" i="1"/>
  <c r="O323" i="1"/>
  <c r="N324" i="1"/>
  <c r="O324" i="1"/>
  <c r="N325" i="1"/>
  <c r="O325" i="1"/>
  <c r="N326" i="1"/>
  <c r="O326" i="1"/>
  <c r="N327" i="1"/>
  <c r="O327" i="1"/>
  <c r="N328" i="1"/>
  <c r="O328" i="1"/>
  <c r="N329" i="1"/>
  <c r="O329" i="1"/>
  <c r="N330" i="1"/>
  <c r="O330" i="1"/>
  <c r="N331" i="1"/>
  <c r="O331" i="1"/>
  <c r="N332" i="1"/>
  <c r="O332" i="1"/>
  <c r="N333" i="1"/>
  <c r="O333" i="1"/>
  <c r="N334" i="1"/>
  <c r="O334" i="1"/>
  <c r="N335" i="1"/>
  <c r="O335" i="1"/>
  <c r="N336" i="1"/>
  <c r="O336" i="1"/>
  <c r="N337" i="1"/>
  <c r="O337" i="1"/>
  <c r="N338" i="1"/>
  <c r="O338" i="1"/>
  <c r="N339" i="1"/>
  <c r="O339" i="1"/>
  <c r="N340" i="1"/>
  <c r="O340" i="1"/>
  <c r="N341" i="1"/>
  <c r="O341" i="1"/>
  <c r="N342" i="1"/>
  <c r="O342" i="1"/>
  <c r="N343" i="1"/>
  <c r="O343" i="1"/>
  <c r="N344" i="1"/>
  <c r="O344" i="1"/>
  <c r="N345" i="1"/>
  <c r="O345" i="1"/>
  <c r="N346" i="1"/>
  <c r="O346" i="1"/>
  <c r="N347" i="1"/>
  <c r="O347" i="1"/>
  <c r="N348" i="1"/>
  <c r="O348" i="1"/>
  <c r="N349" i="1"/>
  <c r="O349" i="1"/>
  <c r="N350" i="1"/>
  <c r="O350" i="1"/>
  <c r="N351" i="1"/>
  <c r="O351" i="1"/>
  <c r="N352" i="1"/>
  <c r="O352" i="1"/>
  <c r="N353" i="1"/>
  <c r="O353" i="1"/>
  <c r="N354" i="1"/>
  <c r="O354" i="1"/>
  <c r="N355" i="1"/>
  <c r="O355" i="1"/>
  <c r="N356" i="1"/>
  <c r="O356" i="1"/>
  <c r="N357" i="1"/>
  <c r="O357" i="1"/>
  <c r="N358" i="1"/>
  <c r="O358" i="1"/>
  <c r="N359" i="1"/>
  <c r="O359" i="1"/>
  <c r="N360" i="1"/>
  <c r="O360" i="1"/>
  <c r="N361" i="1"/>
  <c r="O361" i="1"/>
  <c r="N362" i="1"/>
  <c r="O362" i="1"/>
  <c r="N363" i="1"/>
  <c r="O363" i="1"/>
  <c r="N364" i="1"/>
  <c r="O364" i="1"/>
  <c r="N365" i="1"/>
  <c r="O365" i="1"/>
  <c r="N366" i="1"/>
  <c r="O366" i="1"/>
  <c r="N367" i="1"/>
  <c r="O367" i="1"/>
  <c r="N368" i="1"/>
  <c r="O368" i="1"/>
  <c r="N369" i="1"/>
  <c r="O369" i="1"/>
  <c r="N370" i="1"/>
  <c r="O370" i="1"/>
  <c r="N371" i="1"/>
  <c r="O371" i="1"/>
  <c r="N372" i="1"/>
  <c r="O372" i="1"/>
  <c r="N373" i="1"/>
  <c r="O373" i="1"/>
  <c r="N374" i="1"/>
  <c r="O374" i="1"/>
  <c r="N375" i="1"/>
  <c r="O375" i="1"/>
  <c r="N376" i="1"/>
  <c r="O376" i="1"/>
  <c r="N377" i="1"/>
  <c r="O377" i="1"/>
  <c r="N378" i="1"/>
  <c r="O378" i="1"/>
  <c r="N379" i="1"/>
  <c r="O379" i="1"/>
  <c r="N380" i="1"/>
  <c r="O380" i="1"/>
  <c r="N381" i="1"/>
  <c r="O381" i="1"/>
  <c r="N382" i="1"/>
  <c r="O382" i="1"/>
  <c r="N383" i="1"/>
  <c r="O383" i="1"/>
  <c r="N384" i="1"/>
  <c r="O384" i="1"/>
  <c r="N385" i="1"/>
  <c r="O385" i="1"/>
  <c r="N386" i="1"/>
  <c r="O386" i="1"/>
  <c r="N387" i="1"/>
  <c r="O387" i="1"/>
  <c r="N388" i="1"/>
  <c r="O388" i="1"/>
  <c r="N389" i="1"/>
  <c r="O389" i="1"/>
  <c r="N390" i="1"/>
  <c r="O390" i="1"/>
  <c r="N391" i="1"/>
  <c r="O391" i="1"/>
  <c r="N392" i="1"/>
  <c r="O392" i="1"/>
  <c r="N393" i="1"/>
  <c r="O393" i="1"/>
  <c r="N394" i="1"/>
  <c r="O394" i="1"/>
  <c r="N395" i="1"/>
  <c r="O395" i="1"/>
  <c r="N396" i="1"/>
  <c r="O396" i="1"/>
  <c r="N397" i="1"/>
  <c r="O397" i="1"/>
  <c r="N398" i="1"/>
  <c r="O398" i="1"/>
  <c r="N399" i="1"/>
  <c r="O399" i="1"/>
  <c r="N400" i="1"/>
  <c r="O400" i="1"/>
  <c r="N401" i="1"/>
  <c r="O401" i="1"/>
  <c r="N402" i="1"/>
  <c r="O402" i="1"/>
  <c r="N403" i="1"/>
  <c r="O403" i="1"/>
  <c r="N404" i="1"/>
  <c r="O404" i="1"/>
  <c r="N405" i="1"/>
  <c r="O405" i="1"/>
  <c r="N407" i="1"/>
  <c r="O407" i="1"/>
  <c r="N408" i="1"/>
  <c r="O408" i="1"/>
  <c r="N409" i="1"/>
  <c r="O409" i="1"/>
  <c r="N410" i="1"/>
  <c r="O410" i="1"/>
  <c r="N411" i="1"/>
  <c r="O411" i="1"/>
  <c r="N412" i="1"/>
  <c r="O412" i="1"/>
  <c r="N413" i="1"/>
  <c r="O413" i="1"/>
  <c r="N414" i="1"/>
  <c r="O414" i="1"/>
  <c r="N415" i="1"/>
  <c r="O415" i="1"/>
  <c r="N416" i="1"/>
  <c r="O416" i="1"/>
  <c r="N417" i="1"/>
  <c r="O417" i="1"/>
  <c r="N418" i="1"/>
  <c r="O418" i="1"/>
  <c r="N419" i="1"/>
  <c r="O419" i="1"/>
  <c r="N420" i="1"/>
  <c r="O420" i="1"/>
  <c r="N421" i="1"/>
  <c r="O421" i="1"/>
  <c r="N422" i="1"/>
  <c r="O422" i="1"/>
  <c r="N423" i="1"/>
  <c r="O423" i="1"/>
  <c r="N424" i="1"/>
  <c r="O424" i="1"/>
  <c r="N425" i="1"/>
  <c r="O425" i="1"/>
  <c r="N426" i="1"/>
  <c r="O426" i="1"/>
  <c r="N427" i="1"/>
  <c r="O427" i="1"/>
  <c r="N428" i="1"/>
  <c r="O428" i="1"/>
  <c r="N430" i="1"/>
  <c r="O430" i="1"/>
  <c r="N431" i="1"/>
  <c r="O431" i="1"/>
  <c r="N432" i="1"/>
  <c r="O432" i="1"/>
  <c r="N433" i="1"/>
  <c r="O433" i="1"/>
  <c r="N434" i="1"/>
  <c r="O434" i="1"/>
  <c r="N435" i="1"/>
  <c r="O435" i="1"/>
  <c r="N436" i="1"/>
  <c r="O436" i="1"/>
  <c r="N437" i="1"/>
  <c r="O437" i="1"/>
  <c r="N438" i="1"/>
  <c r="O438" i="1"/>
  <c r="N439" i="1"/>
  <c r="O439" i="1"/>
  <c r="N440" i="1"/>
  <c r="O440" i="1"/>
  <c r="N441" i="1"/>
  <c r="O441" i="1"/>
  <c r="N442" i="1"/>
  <c r="O442" i="1"/>
  <c r="N443" i="1"/>
  <c r="O443" i="1"/>
  <c r="N444" i="1"/>
  <c r="O444" i="1"/>
  <c r="N445" i="1"/>
  <c r="O445" i="1"/>
  <c r="N446" i="1"/>
  <c r="O446" i="1"/>
  <c r="N447" i="1"/>
  <c r="O447" i="1"/>
  <c r="N448" i="1"/>
  <c r="O448" i="1"/>
  <c r="N449" i="1"/>
  <c r="O449" i="1"/>
  <c r="N450" i="1"/>
  <c r="O450" i="1"/>
  <c r="N451" i="1"/>
  <c r="O451" i="1"/>
  <c r="N452" i="1"/>
  <c r="O452" i="1"/>
  <c r="N453" i="1"/>
  <c r="O453" i="1"/>
  <c r="N454" i="1"/>
  <c r="O454" i="1"/>
  <c r="N455" i="1"/>
  <c r="O455" i="1"/>
  <c r="N456" i="1"/>
  <c r="O456" i="1"/>
  <c r="N457" i="1"/>
  <c r="O457" i="1"/>
  <c r="N458" i="1"/>
  <c r="O458" i="1"/>
  <c r="N459" i="1"/>
  <c r="O459" i="1"/>
  <c r="N460" i="1"/>
  <c r="O460" i="1"/>
  <c r="N461" i="1"/>
  <c r="O461" i="1"/>
  <c r="N462" i="1"/>
  <c r="O462" i="1"/>
  <c r="N463" i="1"/>
  <c r="O463" i="1"/>
  <c r="N464" i="1"/>
  <c r="O464" i="1"/>
  <c r="N465" i="1"/>
  <c r="O465" i="1"/>
  <c r="N466" i="1"/>
  <c r="O466" i="1"/>
  <c r="N468" i="1"/>
  <c r="O468" i="1"/>
  <c r="N469" i="1"/>
  <c r="O469" i="1"/>
  <c r="N470" i="1"/>
  <c r="O470" i="1"/>
  <c r="N471" i="1"/>
  <c r="O471" i="1"/>
  <c r="N472" i="1"/>
  <c r="O472" i="1"/>
  <c r="N473" i="1"/>
  <c r="O473" i="1"/>
  <c r="N474" i="1"/>
  <c r="O474" i="1"/>
  <c r="N475" i="1"/>
  <c r="O475" i="1"/>
  <c r="N477" i="1"/>
  <c r="O477" i="1"/>
  <c r="N478" i="1"/>
  <c r="O478" i="1"/>
  <c r="N479" i="1"/>
  <c r="O479" i="1"/>
  <c r="N480" i="1"/>
  <c r="O480" i="1"/>
  <c r="N481" i="1"/>
  <c r="O481" i="1"/>
  <c r="N482" i="1"/>
  <c r="O482" i="1"/>
  <c r="N483" i="1"/>
  <c r="O483" i="1"/>
  <c r="N484" i="1"/>
  <c r="O484" i="1"/>
  <c r="N485" i="1"/>
  <c r="O485" i="1"/>
  <c r="N486" i="1"/>
  <c r="O486" i="1"/>
  <c r="N487" i="1"/>
  <c r="O487" i="1"/>
  <c r="N488" i="1"/>
  <c r="O488" i="1"/>
  <c r="N489" i="1"/>
  <c r="O489" i="1"/>
  <c r="N490" i="1"/>
  <c r="O490" i="1"/>
  <c r="N491" i="1"/>
  <c r="O491" i="1"/>
  <c r="N492" i="1"/>
  <c r="O492" i="1"/>
  <c r="N493" i="1"/>
  <c r="O493" i="1"/>
  <c r="N494" i="1"/>
  <c r="O494" i="1"/>
  <c r="N495" i="1"/>
  <c r="O495" i="1"/>
  <c r="N496" i="1"/>
  <c r="O496" i="1"/>
  <c r="N497" i="1"/>
  <c r="O497" i="1"/>
  <c r="N498" i="1"/>
  <c r="O498" i="1"/>
  <c r="N107" i="1"/>
  <c r="O107" i="1"/>
  <c r="N108" i="1"/>
  <c r="O108" i="1"/>
  <c r="N109" i="1"/>
  <c r="O109" i="1"/>
  <c r="N110" i="1"/>
  <c r="O110" i="1"/>
  <c r="N111" i="1"/>
  <c r="O111" i="1"/>
  <c r="N112" i="1"/>
  <c r="O112" i="1"/>
  <c r="N114" i="1"/>
  <c r="O114" i="1"/>
  <c r="N115" i="1"/>
  <c r="O115" i="1"/>
  <c r="N116" i="1"/>
  <c r="O116" i="1"/>
  <c r="N117" i="1"/>
  <c r="O117" i="1"/>
  <c r="N118" i="1"/>
  <c r="O118" i="1"/>
  <c r="N119" i="1"/>
  <c r="O119" i="1"/>
  <c r="N120" i="1"/>
  <c r="O120" i="1"/>
  <c r="N121" i="1"/>
  <c r="O121" i="1"/>
  <c r="N122" i="1"/>
  <c r="O122" i="1"/>
  <c r="N123" i="1"/>
  <c r="O123" i="1"/>
  <c r="N124" i="1"/>
  <c r="O124" i="1"/>
  <c r="N125" i="1"/>
  <c r="O125" i="1"/>
  <c r="N126" i="1"/>
  <c r="O126" i="1"/>
  <c r="N127" i="1"/>
  <c r="O127" i="1"/>
  <c r="N128" i="1"/>
  <c r="O128" i="1"/>
  <c r="N129" i="1"/>
  <c r="O129" i="1"/>
  <c r="N130" i="1"/>
  <c r="O130" i="1"/>
  <c r="N131" i="1"/>
  <c r="O131" i="1"/>
  <c r="N132" i="1"/>
  <c r="O132" i="1"/>
  <c r="N133" i="1"/>
  <c r="O133" i="1"/>
  <c r="N134" i="1"/>
  <c r="O134" i="1"/>
  <c r="N135" i="1"/>
  <c r="O135" i="1"/>
  <c r="N136" i="1"/>
  <c r="O136" i="1"/>
  <c r="N137" i="1"/>
  <c r="O137" i="1"/>
  <c r="N138" i="1"/>
  <c r="O138" i="1"/>
  <c r="N139" i="1"/>
  <c r="O139" i="1"/>
  <c r="N140" i="1"/>
  <c r="O140" i="1"/>
  <c r="N141" i="1"/>
  <c r="O141" i="1"/>
  <c r="N142" i="1"/>
  <c r="O142" i="1"/>
  <c r="N143" i="1"/>
  <c r="O143" i="1"/>
  <c r="N144" i="1"/>
  <c r="O144" i="1"/>
  <c r="N145" i="1"/>
  <c r="O145" i="1"/>
  <c r="N146" i="1"/>
  <c r="O146" i="1"/>
  <c r="N147" i="1"/>
  <c r="O147" i="1"/>
  <c r="N148" i="1"/>
  <c r="O148" i="1"/>
  <c r="N149" i="1"/>
  <c r="O149" i="1"/>
  <c r="N150" i="1"/>
  <c r="O150" i="1"/>
  <c r="N151" i="1"/>
  <c r="O151" i="1"/>
  <c r="N152" i="1"/>
  <c r="O152" i="1"/>
  <c r="N153" i="1"/>
  <c r="O153" i="1"/>
  <c r="N154" i="1"/>
  <c r="O154" i="1"/>
  <c r="N155" i="1"/>
  <c r="O155" i="1"/>
  <c r="N156" i="1"/>
  <c r="O156" i="1"/>
  <c r="N157" i="1"/>
  <c r="O157" i="1"/>
  <c r="N158" i="1"/>
  <c r="O158" i="1"/>
  <c r="N159" i="1"/>
  <c r="O159" i="1"/>
  <c r="N160" i="1"/>
  <c r="O160" i="1"/>
  <c r="N161" i="1"/>
  <c r="O161" i="1"/>
  <c r="N162" i="1"/>
  <c r="O162" i="1"/>
  <c r="N163" i="1"/>
  <c r="O163" i="1"/>
  <c r="N164" i="1"/>
  <c r="O164" i="1"/>
  <c r="N165" i="1"/>
  <c r="O165" i="1"/>
  <c r="N166" i="1"/>
  <c r="O166" i="1"/>
  <c r="N167" i="1"/>
  <c r="O167" i="1"/>
  <c r="N168" i="1"/>
  <c r="O168" i="1"/>
  <c r="N169" i="1"/>
  <c r="O169" i="1"/>
  <c r="N170" i="1"/>
  <c r="O170" i="1"/>
  <c r="N171" i="1"/>
  <c r="O171" i="1"/>
  <c r="N172" i="1"/>
  <c r="O172" i="1"/>
  <c r="N173" i="1"/>
  <c r="O173" i="1"/>
  <c r="N174" i="1"/>
  <c r="O174" i="1"/>
  <c r="N175" i="1"/>
  <c r="O175" i="1"/>
  <c r="N176" i="1"/>
  <c r="O176" i="1"/>
  <c r="N177" i="1"/>
  <c r="O177" i="1"/>
  <c r="N178" i="1"/>
  <c r="O178" i="1"/>
  <c r="N179" i="1"/>
  <c r="O179" i="1"/>
  <c r="N180" i="1"/>
  <c r="O180" i="1"/>
  <c r="N181" i="1"/>
  <c r="O181" i="1"/>
  <c r="N182" i="1"/>
  <c r="O182" i="1"/>
  <c r="N183" i="1"/>
  <c r="O183" i="1"/>
  <c r="N184" i="1"/>
  <c r="O184" i="1"/>
  <c r="N185" i="1"/>
  <c r="O185" i="1"/>
  <c r="N186" i="1"/>
  <c r="O186" i="1"/>
  <c r="N187" i="1"/>
  <c r="O187" i="1"/>
  <c r="N188" i="1"/>
  <c r="O188" i="1"/>
  <c r="N189" i="1"/>
  <c r="O189" i="1"/>
  <c r="N190" i="1"/>
  <c r="O190" i="1"/>
  <c r="N191" i="1"/>
  <c r="O191" i="1"/>
  <c r="N192" i="1"/>
  <c r="O192" i="1"/>
  <c r="N193" i="1"/>
  <c r="O193" i="1"/>
  <c r="N194" i="1"/>
  <c r="O194" i="1"/>
  <c r="N195" i="1"/>
  <c r="O195" i="1"/>
  <c r="N196" i="1"/>
  <c r="O196" i="1"/>
  <c r="N197" i="1"/>
  <c r="O197" i="1"/>
  <c r="N198" i="1"/>
  <c r="O198" i="1"/>
  <c r="N199" i="1"/>
  <c r="O199" i="1"/>
  <c r="N200" i="1"/>
  <c r="O200" i="1"/>
  <c r="N201" i="1"/>
  <c r="O201" i="1"/>
  <c r="N202" i="1"/>
  <c r="O202" i="1"/>
  <c r="N203" i="1"/>
  <c r="O203" i="1"/>
  <c r="N204" i="1"/>
  <c r="O204" i="1"/>
  <c r="N205" i="1"/>
  <c r="O205" i="1"/>
  <c r="N206" i="1"/>
  <c r="O206" i="1"/>
  <c r="N207" i="1"/>
  <c r="O207" i="1"/>
  <c r="N208" i="1"/>
  <c r="O208" i="1"/>
  <c r="N209" i="1"/>
  <c r="O209" i="1"/>
  <c r="N210" i="1"/>
  <c r="O210" i="1"/>
  <c r="N211" i="1"/>
  <c r="O211" i="1"/>
  <c r="N212" i="1"/>
  <c r="O212" i="1"/>
  <c r="N213" i="1"/>
  <c r="O213" i="1"/>
  <c r="N214" i="1"/>
  <c r="O214" i="1"/>
  <c r="N215" i="1"/>
  <c r="O215" i="1"/>
  <c r="N216" i="1"/>
  <c r="O216" i="1"/>
  <c r="N217" i="1"/>
  <c r="O217" i="1"/>
  <c r="N218" i="1"/>
  <c r="O218" i="1"/>
  <c r="N219" i="1"/>
  <c r="O219" i="1"/>
  <c r="N220" i="1"/>
  <c r="O220" i="1"/>
  <c r="N221" i="1"/>
  <c r="O221" i="1"/>
  <c r="N225" i="1"/>
  <c r="O225" i="1"/>
  <c r="N226" i="1"/>
  <c r="O226" i="1"/>
  <c r="N227" i="1"/>
  <c r="O227" i="1"/>
  <c r="N228" i="1"/>
  <c r="O228" i="1"/>
  <c r="N229" i="1"/>
  <c r="O229" i="1"/>
  <c r="N230" i="1"/>
  <c r="O230" i="1"/>
  <c r="N231" i="1"/>
  <c r="O231" i="1"/>
  <c r="N232" i="1"/>
  <c r="O232" i="1"/>
  <c r="N233" i="1"/>
  <c r="O233" i="1"/>
  <c r="N234" i="1"/>
  <c r="O234" i="1"/>
  <c r="N235" i="1"/>
  <c r="O235" i="1"/>
  <c r="N236" i="1"/>
  <c r="O236" i="1"/>
  <c r="N237" i="1"/>
  <c r="O237" i="1"/>
  <c r="N238" i="1"/>
  <c r="O238" i="1"/>
  <c r="N239" i="1"/>
  <c r="O239" i="1"/>
  <c r="N240" i="1"/>
  <c r="O240" i="1"/>
  <c r="N241" i="1"/>
  <c r="O241" i="1"/>
  <c r="N246" i="1"/>
  <c r="O246" i="1"/>
  <c r="N36" i="1"/>
  <c r="O36" i="1"/>
  <c r="N37" i="1"/>
  <c r="O37" i="1"/>
  <c r="N38" i="1"/>
  <c r="O38" i="1"/>
  <c r="N39" i="1"/>
  <c r="O39" i="1"/>
  <c r="N40" i="1"/>
  <c r="O40" i="1"/>
  <c r="N41" i="1"/>
  <c r="O41" i="1"/>
  <c r="N42" i="1"/>
  <c r="O42" i="1"/>
  <c r="N43" i="1"/>
  <c r="O43" i="1"/>
  <c r="N44" i="1"/>
  <c r="O44" i="1"/>
  <c r="N45" i="1"/>
  <c r="O45" i="1"/>
  <c r="N46" i="1"/>
  <c r="O46" i="1"/>
  <c r="N47" i="1"/>
  <c r="O47" i="1"/>
  <c r="N48" i="1"/>
  <c r="O48" i="1"/>
  <c r="N49" i="1"/>
  <c r="O49" i="1"/>
  <c r="N50" i="1"/>
  <c r="O50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59" i="1"/>
  <c r="O59" i="1"/>
  <c r="N60" i="1"/>
  <c r="O60" i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N69" i="1"/>
  <c r="O69" i="1"/>
  <c r="N70" i="1"/>
  <c r="O70" i="1"/>
  <c r="N71" i="1"/>
  <c r="O71" i="1"/>
  <c r="N72" i="1"/>
  <c r="O72" i="1"/>
  <c r="N73" i="1"/>
  <c r="O73" i="1"/>
  <c r="N74" i="1"/>
  <c r="O74" i="1"/>
  <c r="N75" i="1"/>
  <c r="O75" i="1"/>
  <c r="N76" i="1"/>
  <c r="O76" i="1"/>
  <c r="N77" i="1"/>
  <c r="O77" i="1"/>
  <c r="N78" i="1"/>
  <c r="O78" i="1"/>
  <c r="N79" i="1"/>
  <c r="O79" i="1"/>
  <c r="N80" i="1"/>
  <c r="O80" i="1"/>
  <c r="N81" i="1"/>
  <c r="O81" i="1"/>
  <c r="N82" i="1"/>
  <c r="O82" i="1"/>
  <c r="N83" i="1"/>
  <c r="O83" i="1"/>
  <c r="N84" i="1"/>
  <c r="O84" i="1"/>
  <c r="N85" i="1"/>
  <c r="O85" i="1"/>
  <c r="N86" i="1"/>
  <c r="O86" i="1"/>
  <c r="N87" i="1"/>
  <c r="O87" i="1"/>
  <c r="N88" i="1"/>
  <c r="O88" i="1"/>
  <c r="N89" i="1"/>
  <c r="O89" i="1"/>
  <c r="N90" i="1"/>
  <c r="O90" i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N99" i="1"/>
  <c r="O99" i="1"/>
  <c r="N100" i="1"/>
  <c r="O100" i="1"/>
  <c r="N101" i="1"/>
  <c r="O101" i="1"/>
  <c r="N102" i="1"/>
  <c r="O102" i="1"/>
  <c r="N103" i="1"/>
  <c r="O103" i="1"/>
  <c r="N104" i="1"/>
  <c r="O104" i="1"/>
  <c r="N105" i="1"/>
  <c r="O105" i="1"/>
  <c r="N106" i="1"/>
  <c r="O106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W13" i="1"/>
  <c r="R13" i="1"/>
  <c r="S13" i="1" s="1"/>
  <c r="O13" i="1"/>
  <c r="N13" i="1"/>
  <c r="I13" i="1"/>
  <c r="H13" i="1"/>
  <c r="S272" i="1" l="1"/>
  <c r="S458" i="1"/>
  <c r="S446" i="1"/>
  <c r="S448" i="1"/>
  <c r="S450" i="1"/>
  <c r="S452" i="1"/>
  <c r="S454" i="1"/>
  <c r="S456" i="1"/>
  <c r="S459" i="1"/>
  <c r="S461" i="1"/>
  <c r="S463" i="1"/>
  <c r="S465" i="1"/>
  <c r="S468" i="1"/>
  <c r="S470" i="1"/>
  <c r="S472" i="1"/>
  <c r="S474" i="1"/>
  <c r="S477" i="1"/>
  <c r="S479" i="1"/>
  <c r="S481" i="1"/>
  <c r="S483" i="1"/>
  <c r="S485" i="1"/>
  <c r="S487" i="1"/>
  <c r="S489" i="1"/>
  <c r="S491" i="1"/>
  <c r="S493" i="1"/>
  <c r="S497" i="1"/>
  <c r="S247" i="1"/>
  <c r="S249" i="1"/>
  <c r="S251" i="1"/>
  <c r="S253" i="1"/>
  <c r="S255" i="1"/>
  <c r="S257" i="1"/>
  <c r="S259" i="1"/>
  <c r="S261" i="1"/>
  <c r="S263" i="1"/>
  <c r="S265" i="1"/>
  <c r="S267" i="1"/>
  <c r="S269" i="1"/>
  <c r="S273" i="1"/>
  <c r="S275" i="1"/>
  <c r="S277" i="1"/>
  <c r="S279" i="1"/>
  <c r="S281" i="1"/>
  <c r="S283" i="1"/>
  <c r="S285" i="1"/>
  <c r="S287" i="1"/>
  <c r="S289" i="1"/>
  <c r="S291" i="1"/>
  <c r="S293" i="1"/>
  <c r="S295" i="1"/>
  <c r="S297" i="1"/>
  <c r="S299" i="1"/>
  <c r="S301" i="1"/>
  <c r="S303" i="1"/>
  <c r="S305" i="1"/>
  <c r="S307" i="1"/>
  <c r="S309" i="1"/>
  <c r="S311" i="1"/>
  <c r="S313" i="1"/>
  <c r="S315" i="1"/>
  <c r="S317" i="1"/>
  <c r="S319" i="1"/>
  <c r="S321" i="1"/>
  <c r="S323" i="1"/>
  <c r="S325" i="1"/>
  <c r="S327" i="1"/>
  <c r="S329" i="1"/>
  <c r="S331" i="1"/>
  <c r="S333" i="1"/>
  <c r="S335" i="1"/>
  <c r="S337" i="1"/>
  <c r="S339" i="1"/>
  <c r="S341" i="1"/>
  <c r="S343" i="1"/>
  <c r="S345" i="1"/>
  <c r="S347" i="1"/>
  <c r="S349" i="1"/>
  <c r="S351" i="1"/>
  <c r="S353" i="1"/>
  <c r="S355" i="1"/>
  <c r="S357" i="1"/>
  <c r="S359" i="1"/>
  <c r="S361" i="1"/>
  <c r="S363" i="1"/>
  <c r="S365" i="1"/>
  <c r="S367" i="1"/>
  <c r="S369" i="1"/>
  <c r="S371" i="1"/>
  <c r="S373" i="1"/>
  <c r="S375" i="1"/>
  <c r="S377" i="1"/>
  <c r="S379" i="1"/>
  <c r="S381" i="1"/>
  <c r="S383" i="1"/>
  <c r="S385" i="1"/>
  <c r="S387" i="1"/>
  <c r="S389" i="1"/>
  <c r="S391" i="1"/>
  <c r="S393" i="1"/>
  <c r="S395" i="1"/>
  <c r="S397" i="1"/>
  <c r="S399" i="1"/>
  <c r="S401" i="1"/>
  <c r="S403" i="1"/>
  <c r="S405" i="1"/>
  <c r="S408" i="1"/>
  <c r="S410" i="1"/>
  <c r="S412" i="1"/>
  <c r="S414" i="1"/>
  <c r="S416" i="1"/>
  <c r="S418" i="1"/>
  <c r="S420" i="1"/>
  <c r="S422" i="1"/>
  <c r="S424" i="1"/>
  <c r="S426" i="1"/>
  <c r="S428" i="1"/>
  <c r="S431" i="1"/>
  <c r="S433" i="1"/>
  <c r="S435" i="1"/>
  <c r="S437" i="1"/>
  <c r="S439" i="1"/>
  <c r="S441" i="1"/>
  <c r="S443" i="1"/>
  <c r="S445" i="1"/>
  <c r="S447" i="1"/>
  <c r="S449" i="1"/>
  <c r="S451" i="1"/>
  <c r="S453" i="1"/>
  <c r="S455" i="1"/>
  <c r="S457" i="1"/>
  <c r="S460" i="1"/>
  <c r="S462" i="1"/>
  <c r="S464" i="1"/>
  <c r="S466" i="1"/>
  <c r="S469" i="1"/>
  <c r="S471" i="1"/>
  <c r="S473" i="1"/>
  <c r="S475" i="1"/>
  <c r="S478" i="1"/>
  <c r="S480" i="1"/>
  <c r="S482" i="1"/>
  <c r="S484" i="1"/>
  <c r="S486" i="1"/>
  <c r="S488" i="1"/>
  <c r="S490" i="1"/>
  <c r="S492" i="1"/>
  <c r="S498" i="1"/>
  <c r="S248" i="1"/>
  <c r="S250" i="1"/>
  <c r="S252" i="1"/>
  <c r="S254" i="1"/>
  <c r="S256" i="1"/>
  <c r="S258" i="1"/>
  <c r="S260" i="1"/>
  <c r="S262" i="1"/>
  <c r="S264" i="1"/>
  <c r="S266" i="1"/>
  <c r="S268" i="1"/>
  <c r="S270" i="1"/>
  <c r="S271" i="1"/>
  <c r="S274" i="1"/>
  <c r="S276" i="1"/>
  <c r="S278" i="1"/>
  <c r="S280" i="1"/>
  <c r="S282" i="1"/>
  <c r="S284" i="1"/>
  <c r="S286" i="1"/>
  <c r="S288" i="1"/>
  <c r="S290" i="1"/>
  <c r="S292" i="1"/>
  <c r="S294" i="1"/>
  <c r="S296" i="1"/>
  <c r="S298" i="1"/>
  <c r="S300" i="1"/>
  <c r="S302" i="1"/>
  <c r="S304" i="1"/>
  <c r="S306" i="1"/>
  <c r="S308" i="1"/>
  <c r="S310" i="1"/>
  <c r="S312" i="1"/>
  <c r="S314" i="1"/>
  <c r="S316" i="1"/>
  <c r="S318" i="1"/>
  <c r="S320" i="1"/>
  <c r="S322" i="1"/>
  <c r="S324" i="1"/>
  <c r="S326" i="1"/>
  <c r="S328" i="1"/>
  <c r="S330" i="1"/>
  <c r="S332" i="1"/>
  <c r="S334" i="1"/>
  <c r="S336" i="1"/>
  <c r="S338" i="1"/>
  <c r="S340" i="1"/>
  <c r="S342" i="1"/>
  <c r="S344" i="1"/>
  <c r="S346" i="1"/>
  <c r="S348" i="1"/>
  <c r="S350" i="1"/>
  <c r="S352" i="1"/>
  <c r="S354" i="1"/>
  <c r="S356" i="1"/>
  <c r="S358" i="1"/>
  <c r="S360" i="1"/>
  <c r="S362" i="1"/>
  <c r="S364" i="1"/>
  <c r="S366" i="1"/>
  <c r="S368" i="1"/>
  <c r="S370" i="1"/>
  <c r="S372" i="1"/>
  <c r="S374" i="1"/>
  <c r="S376" i="1"/>
  <c r="S378" i="1"/>
  <c r="S380" i="1"/>
  <c r="S382" i="1"/>
  <c r="S384" i="1"/>
  <c r="S386" i="1"/>
  <c r="S388" i="1"/>
  <c r="S390" i="1"/>
  <c r="S392" i="1"/>
  <c r="S394" i="1"/>
  <c r="S396" i="1"/>
  <c r="S398" i="1"/>
  <c r="S400" i="1"/>
  <c r="S402" i="1"/>
  <c r="S404" i="1"/>
  <c r="S407" i="1"/>
  <c r="S409" i="1"/>
  <c r="S411" i="1"/>
  <c r="S413" i="1"/>
  <c r="S415" i="1"/>
  <c r="S417" i="1"/>
  <c r="S419" i="1"/>
  <c r="S421" i="1"/>
  <c r="S423" i="1"/>
  <c r="S425" i="1"/>
  <c r="S427" i="1"/>
  <c r="S430" i="1"/>
  <c r="S432" i="1"/>
  <c r="S434" i="1"/>
  <c r="S436" i="1"/>
  <c r="S438" i="1"/>
  <c r="S440" i="1"/>
  <c r="S442" i="1"/>
  <c r="S444" i="1"/>
  <c r="S495" i="1"/>
  <c r="S494" i="1"/>
  <c r="S496" i="1"/>
  <c r="R246" i="1"/>
  <c r="Q729" i="1" l="1"/>
  <c r="Q728" i="1"/>
  <c r="Q724" i="1"/>
  <c r="B724" i="1"/>
  <c r="R724" i="1"/>
  <c r="W724" i="1"/>
  <c r="W728" i="1"/>
  <c r="N1106" i="1" l="1"/>
  <c r="N1047" i="1"/>
  <c r="N845" i="1"/>
  <c r="N739" i="1"/>
  <c r="N734" i="1"/>
  <c r="N733" i="1"/>
  <c r="L665" i="2"/>
  <c r="K1047" i="1"/>
  <c r="K1106" i="1"/>
  <c r="K1172" i="1"/>
  <c r="K1161" i="1"/>
  <c r="K1180" i="1"/>
  <c r="Q16" i="2"/>
  <c r="V671" i="1" s="1"/>
  <c r="O1180" i="1"/>
  <c r="N1180" i="1"/>
  <c r="O1174" i="1"/>
  <c r="N1174" i="1"/>
  <c r="O1173" i="1"/>
  <c r="N1173" i="1"/>
  <c r="O1172" i="1"/>
  <c r="N1172" i="1"/>
  <c r="O1167" i="1"/>
  <c r="N1167" i="1"/>
  <c r="O1161" i="1"/>
  <c r="N1161" i="1"/>
  <c r="O1152" i="1"/>
  <c r="N1152" i="1"/>
  <c r="O1151" i="1"/>
  <c r="N1151" i="1"/>
  <c r="O1150" i="1"/>
  <c r="N1150" i="1"/>
  <c r="O1149" i="1"/>
  <c r="N1149" i="1"/>
  <c r="O1148" i="1"/>
  <c r="N1148" i="1"/>
  <c r="O1145" i="1"/>
  <c r="N1145" i="1"/>
  <c r="O1142" i="1"/>
  <c r="N1142" i="1"/>
  <c r="O1141" i="1"/>
  <c r="N1141" i="1"/>
  <c r="O1140" i="1"/>
  <c r="N1140" i="1"/>
  <c r="O1139" i="1"/>
  <c r="N1139" i="1"/>
  <c r="K733" i="1"/>
  <c r="O1106" i="1"/>
  <c r="O1047" i="1"/>
  <c r="O845" i="1"/>
  <c r="O739" i="1"/>
  <c r="O734" i="1"/>
  <c r="O733" i="1"/>
  <c r="W729" i="1" l="1"/>
  <c r="V1180" i="1" l="1"/>
  <c r="V1174" i="1"/>
  <c r="V1173" i="1"/>
  <c r="V1172" i="1"/>
  <c r="V1167" i="1"/>
  <c r="V1163" i="1"/>
  <c r="V1162" i="1"/>
  <c r="V1161" i="1"/>
  <c r="V1152" i="1"/>
  <c r="V1151" i="1"/>
  <c r="V1150" i="1"/>
  <c r="V1149" i="1"/>
  <c r="V1148" i="1"/>
  <c r="V1145" i="1"/>
  <c r="V1142" i="1"/>
  <c r="V1141" i="1"/>
  <c r="V1140" i="1"/>
  <c r="V1139" i="1"/>
  <c r="V1106" i="1"/>
  <c r="V1047" i="1"/>
  <c r="V978" i="1"/>
  <c r="V845" i="1"/>
  <c r="V739" i="1"/>
  <c r="V734" i="1"/>
  <c r="V733" i="1"/>
  <c r="V695" i="1"/>
  <c r="V610" i="1"/>
  <c r="V581" i="1"/>
  <c r="V246" i="1"/>
  <c r="V236" i="1"/>
  <c r="U1180" i="1" l="1"/>
  <c r="W1180" i="1" s="1"/>
  <c r="U1174" i="1"/>
  <c r="W1174" i="1" s="1"/>
  <c r="U1173" i="1"/>
  <c r="W1173" i="1" s="1"/>
  <c r="U1172" i="1"/>
  <c r="W1172" i="1" s="1"/>
  <c r="U1167" i="1"/>
  <c r="W1167" i="1" s="1"/>
  <c r="U1163" i="1"/>
  <c r="W1163" i="1" s="1"/>
  <c r="U1162" i="1"/>
  <c r="W1162" i="1" s="1"/>
  <c r="U1161" i="1"/>
  <c r="W1161" i="1" s="1"/>
  <c r="U1152" i="1"/>
  <c r="W1152" i="1" s="1"/>
  <c r="U1151" i="1"/>
  <c r="W1151" i="1" s="1"/>
  <c r="U1150" i="1"/>
  <c r="W1150" i="1" s="1"/>
  <c r="U1149" i="1"/>
  <c r="W1149" i="1" s="1"/>
  <c r="U1148" i="1"/>
  <c r="W1148" i="1" s="1"/>
  <c r="U1145" i="1"/>
  <c r="W1145" i="1" s="1"/>
  <c r="U1142" i="1"/>
  <c r="W1142" i="1" s="1"/>
  <c r="U1141" i="1"/>
  <c r="W1141" i="1" s="1"/>
  <c r="U1140" i="1"/>
  <c r="W1140" i="1" s="1"/>
  <c r="U1139" i="1"/>
  <c r="W1139" i="1" s="1"/>
  <c r="W1106" i="1"/>
  <c r="W1047" i="1"/>
  <c r="W978" i="1"/>
  <c r="W845" i="1"/>
  <c r="W739" i="1"/>
  <c r="W734" i="1"/>
  <c r="W733" i="1"/>
  <c r="W695" i="1"/>
  <c r="W610" i="1"/>
  <c r="W581" i="1"/>
  <c r="W246" i="1"/>
  <c r="W236" i="1"/>
  <c r="V13" i="1" l="1"/>
  <c r="K1139" i="1"/>
  <c r="AC13" i="1"/>
  <c r="AC8" i="1"/>
  <c r="AC6" i="1"/>
  <c r="AC12" i="1"/>
  <c r="AC11" i="1"/>
  <c r="AC10" i="1"/>
  <c r="AC3" i="1"/>
  <c r="AC9" i="1"/>
  <c r="AC4" i="1"/>
  <c r="AC5" i="1"/>
  <c r="AC7" i="1"/>
  <c r="O705" i="1"/>
  <c r="O671" i="1"/>
  <c r="O610" i="1"/>
  <c r="O503" i="1"/>
  <c r="AD13" i="1" l="1"/>
  <c r="AE13" i="1" s="1"/>
  <c r="AE12" i="1"/>
  <c r="AD12" i="1" s="1"/>
  <c r="AF13" i="1" l="1"/>
  <c r="AH13" i="1"/>
  <c r="AF12" i="1"/>
  <c r="AH12" i="1"/>
  <c r="AE11" i="1"/>
  <c r="AD11" i="1" s="1"/>
  <c r="AH11" i="1" s="1"/>
  <c r="A1190" i="1"/>
  <c r="A1191" i="1"/>
  <c r="A1192" i="1"/>
  <c r="E3" i="3"/>
  <c r="E2" i="3"/>
  <c r="V10" i="1"/>
  <c r="H8" i="1" s="1"/>
  <c r="V9" i="1"/>
  <c r="B8" i="1" s="1"/>
  <c r="E1" i="3"/>
  <c r="T1" i="1"/>
  <c r="B6" i="1" s="1"/>
  <c r="B3" i="3"/>
  <c r="B2" i="3"/>
  <c r="B1" i="3"/>
  <c r="N705" i="1"/>
  <c r="N671" i="1"/>
  <c r="N610" i="1"/>
  <c r="N503" i="1"/>
  <c r="K246" i="1"/>
  <c r="K503" i="1"/>
  <c r="K610" i="1"/>
  <c r="K671" i="1"/>
  <c r="AI13" i="1" l="1"/>
  <c r="K845" i="1"/>
  <c r="K739" i="1"/>
  <c r="AI12" i="1"/>
  <c r="AE10" i="1"/>
  <c r="AD10" i="1" s="1"/>
  <c r="AH10" i="1" s="1"/>
  <c r="AF11" i="1"/>
  <c r="AI11" i="1" l="1"/>
  <c r="AJ11" i="1" s="1"/>
  <c r="AJ13" i="1"/>
  <c r="AJ12" i="1"/>
  <c r="AE9" i="1"/>
  <c r="AD9" i="1" s="1"/>
  <c r="AH9" i="1" s="1"/>
  <c r="AF10" i="1"/>
  <c r="R733" i="1"/>
  <c r="R499" i="1"/>
  <c r="A499" i="1" s="1"/>
  <c r="R606" i="1"/>
  <c r="A606" i="1" s="1"/>
  <c r="B735" i="1"/>
  <c r="R735" i="1" s="1"/>
  <c r="R841" i="1"/>
  <c r="R1043" i="1"/>
  <c r="R1102" i="1"/>
  <c r="A1102" i="1" s="1"/>
  <c r="R1132" i="1"/>
  <c r="A1132" i="1" s="1"/>
  <c r="R1157" i="1"/>
  <c r="A1157" i="1" s="1"/>
  <c r="R1168" i="1"/>
  <c r="R734" i="1"/>
  <c r="R978" i="1"/>
  <c r="R695" i="1"/>
  <c r="R1145" i="1"/>
  <c r="R1139" i="1"/>
  <c r="R1140" i="1"/>
  <c r="R1141" i="1"/>
  <c r="R1142" i="1"/>
  <c r="R1148" i="1"/>
  <c r="R1149" i="1"/>
  <c r="R1150" i="1"/>
  <c r="R1151" i="1"/>
  <c r="R1152" i="1"/>
  <c r="R1161" i="1"/>
  <c r="R1162" i="1"/>
  <c r="R1163" i="1"/>
  <c r="R1167" i="1"/>
  <c r="R1172" i="1"/>
  <c r="R1173" i="1"/>
  <c r="R1174" i="1"/>
  <c r="R1180" i="1"/>
  <c r="R581" i="1"/>
  <c r="R729" i="1"/>
  <c r="R728" i="1"/>
  <c r="R1106" i="1"/>
  <c r="A1106" i="1" s="1"/>
  <c r="R1047" i="1"/>
  <c r="R845" i="1"/>
  <c r="R739" i="1"/>
  <c r="R610" i="1"/>
  <c r="R1176" i="1" l="1"/>
  <c r="AI10" i="1"/>
  <c r="AJ10" i="1" s="1"/>
  <c r="AE8" i="1"/>
  <c r="AD8" i="1" s="1"/>
  <c r="AH8" i="1" s="1"/>
  <c r="AF9" i="1"/>
  <c r="S739" i="1"/>
  <c r="S1150" i="1"/>
  <c r="S1141" i="1"/>
  <c r="S695" i="1"/>
  <c r="S1047" i="1"/>
  <c r="S728" i="1"/>
  <c r="S581" i="1"/>
  <c r="S724" i="1"/>
  <c r="S1180" i="1"/>
  <c r="S1167" i="1"/>
  <c r="S1161" i="1"/>
  <c r="S1148" i="1"/>
  <c r="S610" i="1"/>
  <c r="S1106" i="1"/>
  <c r="S1174" i="1"/>
  <c r="S1149" i="1"/>
  <c r="S1140" i="1"/>
  <c r="S1145" i="1"/>
  <c r="S734" i="1"/>
  <c r="S729" i="1"/>
  <c r="S1173" i="1"/>
  <c r="S1163" i="1"/>
  <c r="S1152" i="1"/>
  <c r="S1139" i="1"/>
  <c r="S845" i="1"/>
  <c r="S1172" i="1"/>
  <c r="S1162" i="1"/>
  <c r="S1151" i="1"/>
  <c r="S1142" i="1"/>
  <c r="S978" i="1"/>
  <c r="S733" i="1"/>
  <c r="S246" i="1"/>
  <c r="R2" i="1" l="1"/>
  <c r="S2" i="1"/>
  <c r="K71" i="3"/>
  <c r="K63" i="3"/>
  <c r="I17" i="3"/>
  <c r="K36" i="3"/>
  <c r="K32" i="3"/>
  <c r="K67" i="3"/>
  <c r="I96" i="3"/>
  <c r="H5" i="3"/>
  <c r="J71" i="3"/>
  <c r="J57" i="3"/>
  <c r="J48" i="3"/>
  <c r="H76" i="3"/>
  <c r="H45" i="3"/>
  <c r="J23" i="3"/>
  <c r="J103" i="3"/>
  <c r="J11" i="3"/>
  <c r="J41" i="3"/>
  <c r="J14" i="3"/>
  <c r="J73" i="3"/>
  <c r="H81" i="3"/>
  <c r="H26" i="3"/>
  <c r="H83" i="3"/>
  <c r="H24" i="3"/>
  <c r="J29" i="3"/>
  <c r="H14" i="3"/>
  <c r="J33" i="3"/>
  <c r="H71" i="3"/>
  <c r="J59" i="3"/>
  <c r="H94" i="3"/>
  <c r="H91" i="3"/>
  <c r="J74" i="3"/>
  <c r="J96" i="3"/>
  <c r="J87" i="3"/>
  <c r="H60" i="3"/>
  <c r="J58" i="3"/>
  <c r="J37" i="3"/>
  <c r="AI9" i="1"/>
  <c r="AJ9" i="1" s="1"/>
  <c r="AE7" i="1"/>
  <c r="AD7" i="1" s="1"/>
  <c r="AH7" i="1" s="1"/>
  <c r="AF8" i="1"/>
  <c r="B9" i="1" l="1"/>
  <c r="H57" i="3"/>
  <c r="H85" i="3"/>
  <c r="H41" i="3"/>
  <c r="J99" i="3"/>
  <c r="J45" i="3"/>
  <c r="H80" i="3"/>
  <c r="H53" i="3"/>
  <c r="J39" i="3"/>
  <c r="J77" i="3"/>
  <c r="H36" i="3"/>
  <c r="J75" i="3"/>
  <c r="H93" i="3"/>
  <c r="H64" i="3"/>
  <c r="J10" i="3"/>
  <c r="H96" i="3"/>
  <c r="J89" i="3"/>
  <c r="J78" i="3"/>
  <c r="H35" i="3"/>
  <c r="H22" i="3"/>
  <c r="H87" i="3"/>
  <c r="J86" i="3"/>
  <c r="H103" i="3"/>
  <c r="J36" i="3"/>
  <c r="J50" i="3"/>
  <c r="H49" i="3"/>
  <c r="J84" i="3"/>
  <c r="H58" i="3"/>
  <c r="J8" i="3"/>
  <c r="K69" i="3"/>
  <c r="I82" i="3"/>
  <c r="K52" i="3"/>
  <c r="I78" i="3"/>
  <c r="K98" i="3"/>
  <c r="K33" i="3"/>
  <c r="K19" i="3"/>
  <c r="J70" i="3"/>
  <c r="H74" i="3"/>
  <c r="J9" i="3"/>
  <c r="J82" i="3"/>
  <c r="H28" i="3"/>
  <c r="J42" i="3"/>
  <c r="H27" i="3"/>
  <c r="J21" i="3"/>
  <c r="H52" i="3"/>
  <c r="J104" i="3"/>
  <c r="J93" i="3"/>
  <c r="J60" i="3"/>
  <c r="J55" i="3"/>
  <c r="H32" i="3"/>
  <c r="H10" i="3"/>
  <c r="H66" i="3"/>
  <c r="J95" i="3"/>
  <c r="J47" i="3"/>
  <c r="H50" i="3"/>
  <c r="H69" i="3"/>
  <c r="J76" i="3"/>
  <c r="J27" i="3"/>
  <c r="H15" i="3"/>
  <c r="J20" i="3"/>
  <c r="H62" i="3"/>
  <c r="J94" i="3"/>
  <c r="J65" i="3"/>
  <c r="H65" i="3"/>
  <c r="J38" i="3"/>
  <c r="H84" i="3"/>
  <c r="J16" i="3"/>
  <c r="J46" i="3"/>
  <c r="H37" i="3"/>
  <c r="H86" i="3"/>
  <c r="J66" i="3"/>
  <c r="J68" i="3"/>
  <c r="H44" i="3"/>
  <c r="J102" i="3"/>
  <c r="H20" i="3"/>
  <c r="H70" i="3"/>
  <c r="J80" i="3"/>
  <c r="J26" i="3"/>
  <c r="H23" i="3"/>
  <c r="H55" i="3"/>
  <c r="J52" i="3"/>
  <c r="H34" i="3"/>
  <c r="H100" i="3"/>
  <c r="H30" i="3"/>
  <c r="J97" i="3"/>
  <c r="H92" i="3"/>
  <c r="H78" i="3"/>
  <c r="J90" i="3"/>
  <c r="H25" i="3"/>
  <c r="J54" i="3"/>
  <c r="H89" i="3"/>
  <c r="J31" i="3"/>
  <c r="H8" i="3"/>
  <c r="I41" i="3"/>
  <c r="K17" i="3"/>
  <c r="K7" i="3"/>
  <c r="K100" i="3"/>
  <c r="K76" i="3"/>
  <c r="I57" i="3"/>
  <c r="I91" i="3"/>
  <c r="K89" i="3"/>
  <c r="K44" i="3"/>
  <c r="I28" i="3"/>
  <c r="I36" i="3"/>
  <c r="I69" i="3"/>
  <c r="I95" i="3"/>
  <c r="K6" i="3"/>
  <c r="I87" i="3"/>
  <c r="K27" i="3"/>
  <c r="K64" i="3"/>
  <c r="K72" i="3"/>
  <c r="K34" i="3"/>
  <c r="K68" i="3"/>
  <c r="I88" i="3"/>
  <c r="I50" i="3"/>
  <c r="K53" i="3"/>
  <c r="K103" i="3"/>
  <c r="I56" i="3"/>
  <c r="I42" i="3"/>
  <c r="I40" i="3"/>
  <c r="K81" i="3"/>
  <c r="K42" i="3"/>
  <c r="K14" i="3"/>
  <c r="K96" i="3"/>
  <c r="I34" i="3"/>
  <c r="K85" i="3"/>
  <c r="I98" i="3"/>
  <c r="I18" i="3"/>
  <c r="I27" i="3"/>
  <c r="I23" i="3"/>
  <c r="K25" i="3"/>
  <c r="I67" i="3"/>
  <c r="I49" i="3"/>
  <c r="I59" i="3"/>
  <c r="I68" i="3"/>
  <c r="K31" i="3"/>
  <c r="K88" i="3"/>
  <c r="I7" i="3"/>
  <c r="I104" i="3"/>
  <c r="K102" i="3"/>
  <c r="K79" i="3"/>
  <c r="I22" i="3"/>
  <c r="I75" i="3"/>
  <c r="I14" i="3"/>
  <c r="I85" i="3"/>
  <c r="I52" i="3"/>
  <c r="K70" i="3"/>
  <c r="I35" i="3"/>
  <c r="K93" i="3"/>
  <c r="I19" i="3"/>
  <c r="I65" i="3"/>
  <c r="K80" i="3"/>
  <c r="I79" i="3"/>
  <c r="K87" i="3"/>
  <c r="K104" i="3"/>
  <c r="I71" i="3"/>
  <c r="I72" i="3"/>
  <c r="K101" i="3"/>
  <c r="I77" i="3"/>
  <c r="I94" i="3"/>
  <c r="K20" i="3"/>
  <c r="I100" i="3"/>
  <c r="H7" i="3"/>
  <c r="J30" i="3"/>
  <c r="H48" i="3"/>
  <c r="J7" i="3"/>
  <c r="H6" i="3"/>
  <c r="J62" i="3"/>
  <c r="J61" i="3"/>
  <c r="J51" i="3"/>
  <c r="H75" i="3"/>
  <c r="J91" i="3"/>
  <c r="H54" i="3"/>
  <c r="J69" i="3"/>
  <c r="J18" i="3"/>
  <c r="H73" i="3"/>
  <c r="H19" i="3"/>
  <c r="J34" i="3"/>
  <c r="H102" i="3"/>
  <c r="J32" i="3"/>
  <c r="H38" i="3"/>
  <c r="H46" i="3"/>
  <c r="J79" i="3"/>
  <c r="H90" i="3"/>
  <c r="H104" i="3"/>
  <c r="J56" i="3"/>
  <c r="J92" i="3"/>
  <c r="H77" i="3"/>
  <c r="H63" i="3"/>
  <c r="H61" i="3"/>
  <c r="H68" i="3"/>
  <c r="I90" i="3"/>
  <c r="I92" i="3"/>
  <c r="K86" i="3"/>
  <c r="I12" i="3"/>
  <c r="I60" i="3"/>
  <c r="K48" i="3"/>
  <c r="I31" i="3"/>
  <c r="I20" i="3"/>
  <c r="K65" i="3"/>
  <c r="I45" i="3"/>
  <c r="K23" i="3"/>
  <c r="K49" i="3"/>
  <c r="I64" i="3"/>
  <c r="K75" i="3"/>
  <c r="I86" i="3"/>
  <c r="K22" i="3"/>
  <c r="I53" i="3"/>
  <c r="K43" i="3"/>
  <c r="K84" i="3"/>
  <c r="K26" i="3"/>
  <c r="I93" i="3"/>
  <c r="K92" i="3"/>
  <c r="I101" i="3"/>
  <c r="K95" i="3"/>
  <c r="K55" i="3"/>
  <c r="I25" i="3"/>
  <c r="I89" i="3"/>
  <c r="K8" i="3"/>
  <c r="J6" i="3"/>
  <c r="J5" i="3"/>
  <c r="H98" i="3"/>
  <c r="J43" i="3"/>
  <c r="J44" i="3"/>
  <c r="H47" i="3"/>
  <c r="J81" i="3"/>
  <c r="H67" i="3"/>
  <c r="J49" i="3"/>
  <c r="J28" i="3"/>
  <c r="H95" i="3"/>
  <c r="H33" i="3"/>
  <c r="J22" i="3"/>
  <c r="J13" i="3"/>
  <c r="H59" i="3"/>
  <c r="J98" i="3"/>
  <c r="J19" i="3"/>
  <c r="H12" i="3"/>
  <c r="J63" i="3"/>
  <c r="J25" i="3"/>
  <c r="H18" i="3"/>
  <c r="J83" i="3"/>
  <c r="H9" i="3"/>
  <c r="H88" i="3"/>
  <c r="J35" i="3"/>
  <c r="H97" i="3"/>
  <c r="J64" i="3"/>
  <c r="H29" i="3"/>
  <c r="H79" i="3"/>
  <c r="J53" i="3"/>
  <c r="H101" i="3"/>
  <c r="J67" i="3"/>
  <c r="H99" i="3"/>
  <c r="H16" i="3"/>
  <c r="J40" i="3"/>
  <c r="J17" i="3"/>
  <c r="H51" i="3"/>
  <c r="H42" i="3"/>
  <c r="J88" i="3"/>
  <c r="J72" i="3"/>
  <c r="H11" i="3"/>
  <c r="J100" i="3"/>
  <c r="H39" i="3"/>
  <c r="H17" i="3"/>
  <c r="J15" i="3"/>
  <c r="J101" i="3"/>
  <c r="H21" i="3"/>
  <c r="J85" i="3"/>
  <c r="J12" i="3"/>
  <c r="J24" i="3"/>
  <c r="H72" i="3"/>
  <c r="H82" i="3"/>
  <c r="H31" i="3"/>
  <c r="H56" i="3"/>
  <c r="H13" i="3"/>
  <c r="H43" i="3"/>
  <c r="H40" i="3"/>
  <c r="I44" i="3"/>
  <c r="K5" i="3"/>
  <c r="I5" i="3"/>
  <c r="I63" i="3"/>
  <c r="K12" i="3"/>
  <c r="I39" i="3"/>
  <c r="I32" i="3"/>
  <c r="I47" i="3"/>
  <c r="K66" i="3"/>
  <c r="K37" i="3"/>
  <c r="I62" i="3"/>
  <c r="K41" i="3"/>
  <c r="K45" i="3"/>
  <c r="I48" i="3"/>
  <c r="K90" i="3"/>
  <c r="I26" i="3"/>
  <c r="I80" i="3"/>
  <c r="K54" i="3"/>
  <c r="K11" i="3"/>
  <c r="K97" i="3"/>
  <c r="I70" i="3"/>
  <c r="K83" i="3"/>
  <c r="K10" i="3"/>
  <c r="I30" i="3"/>
  <c r="I66" i="3"/>
  <c r="K13" i="3"/>
  <c r="I9" i="3"/>
  <c r="I21" i="3"/>
  <c r="K30" i="3"/>
  <c r="K59" i="3"/>
  <c r="K57" i="3"/>
  <c r="K74" i="3"/>
  <c r="K40" i="3"/>
  <c r="I33" i="3"/>
  <c r="I99" i="3"/>
  <c r="K46" i="3"/>
  <c r="I37" i="3"/>
  <c r="K47" i="3"/>
  <c r="I73" i="3"/>
  <c r="I15" i="3"/>
  <c r="K61" i="3"/>
  <c r="I16" i="3"/>
  <c r="K91" i="3"/>
  <c r="K35" i="3"/>
  <c r="K15" i="3"/>
  <c r="K94" i="3"/>
  <c r="K58" i="3"/>
  <c r="I51" i="3"/>
  <c r="I55" i="3"/>
  <c r="I103" i="3"/>
  <c r="K29" i="3"/>
  <c r="I10" i="3"/>
  <c r="K82" i="3"/>
  <c r="I102" i="3"/>
  <c r="I83" i="3"/>
  <c r="K99" i="3"/>
  <c r="I6" i="3"/>
  <c r="K24" i="3"/>
  <c r="I74" i="3"/>
  <c r="K62" i="3"/>
  <c r="K38" i="3"/>
  <c r="I8" i="3"/>
  <c r="K39" i="3"/>
  <c r="I58" i="3"/>
  <c r="I84" i="3"/>
  <c r="I11" i="3"/>
  <c r="K56" i="3"/>
  <c r="I24" i="3"/>
  <c r="K78" i="3"/>
  <c r="I38" i="3"/>
  <c r="K73" i="3"/>
  <c r="K51" i="3"/>
  <c r="K77" i="3"/>
  <c r="I43" i="3"/>
  <c r="K9" i="3"/>
  <c r="K28" i="3"/>
  <c r="K21" i="3"/>
  <c r="I54" i="3"/>
  <c r="I61" i="3"/>
  <c r="I97" i="3"/>
  <c r="K50" i="3"/>
  <c r="I29" i="3"/>
  <c r="K60" i="3"/>
  <c r="I13" i="3"/>
  <c r="K18" i="3"/>
  <c r="I81" i="3"/>
  <c r="K16" i="3"/>
  <c r="I46" i="3"/>
  <c r="I76" i="3"/>
  <c r="AI8" i="1"/>
  <c r="AJ8" i="1" s="1"/>
  <c r="AE6" i="1"/>
  <c r="AD6" i="1" s="1"/>
  <c r="AH6" i="1" s="1"/>
  <c r="AF7" i="1"/>
  <c r="AI7" i="1" l="1"/>
  <c r="AJ7" i="1" s="1"/>
  <c r="AE5" i="1"/>
  <c r="AD5" i="1" s="1"/>
  <c r="AH5" i="1" s="1"/>
  <c r="AF6" i="1"/>
  <c r="AI6" i="1" l="1"/>
  <c r="AJ6" i="1" s="1"/>
  <c r="AE4" i="1"/>
  <c r="AD4" i="1" s="1"/>
  <c r="AH4" i="1" s="1"/>
  <c r="AF5" i="1"/>
  <c r="AI5" i="1" l="1"/>
  <c r="AJ5" i="1" s="1"/>
  <c r="AE3" i="1"/>
  <c r="AD3" i="1" s="1"/>
  <c r="AF4" i="1"/>
  <c r="AI4" i="1" l="1"/>
  <c r="AJ4" i="1" s="1"/>
  <c r="AH3" i="1"/>
  <c r="AE2" i="1"/>
  <c r="AF3" i="1"/>
  <c r="AI3" i="1" l="1"/>
  <c r="AJ3" i="1" s="1"/>
  <c r="AK3" i="1" l="1"/>
  <c r="AJ15" i="1"/>
  <c r="AL3" i="1" l="1"/>
  <c r="AM3" i="1" s="1"/>
  <c r="AK4" i="1"/>
  <c r="AL4" i="1" s="1"/>
  <c r="AM4" i="1" s="1"/>
  <c r="AN4" i="1" l="1"/>
  <c r="AN5" i="1" s="1"/>
  <c r="AK5" i="1"/>
  <c r="AO4" i="1"/>
  <c r="AL5" i="1" l="1"/>
  <c r="AM5" i="1" s="1"/>
  <c r="AO5" i="1" s="1"/>
  <c r="AK6" i="1"/>
  <c r="AK7" i="1" s="1"/>
  <c r="AL7" i="1" s="1"/>
  <c r="AM7" i="1" s="1"/>
  <c r="D5" i="3"/>
  <c r="C5" i="3"/>
  <c r="A60" i="3"/>
  <c r="C89" i="3"/>
  <c r="A22" i="3"/>
  <c r="A16" i="3"/>
  <c r="A42" i="3"/>
  <c r="A32" i="3"/>
  <c r="A53" i="3"/>
  <c r="A47" i="3"/>
  <c r="A10" i="3"/>
  <c r="B20" i="3"/>
  <c r="A65" i="3"/>
  <c r="A27" i="3"/>
  <c r="B78" i="3"/>
  <c r="A39" i="3"/>
  <c r="A5" i="3"/>
  <c r="D81" i="3"/>
  <c r="A40" i="3"/>
  <c r="A86" i="3"/>
  <c r="A29" i="3"/>
  <c r="B5" i="3"/>
  <c r="A79" i="3"/>
  <c r="A33" i="3"/>
  <c r="A43" i="3" l="1"/>
  <c r="A45" i="3"/>
  <c r="AN6" i="1"/>
  <c r="AK8" i="1"/>
  <c r="AL8" i="1" s="1"/>
  <c r="AM8" i="1" s="1"/>
  <c r="AL6" i="1"/>
  <c r="AM6" i="1" s="1"/>
  <c r="A14" i="3"/>
  <c r="B62" i="3"/>
  <c r="A61" i="3"/>
  <c r="A36" i="3"/>
  <c r="A50" i="3"/>
  <c r="C6" i="3"/>
  <c r="A12" i="3"/>
  <c r="A37" i="3"/>
  <c r="A31" i="3"/>
  <c r="A34" i="3"/>
  <c r="A48" i="3"/>
  <c r="A38" i="3"/>
  <c r="A28" i="3"/>
  <c r="A35" i="3"/>
  <c r="A44" i="3"/>
  <c r="A51" i="3"/>
  <c r="A49" i="3"/>
  <c r="A46" i="3"/>
  <c r="A52" i="3"/>
  <c r="A30" i="3"/>
  <c r="A54" i="3"/>
  <c r="A41" i="3"/>
  <c r="C60" i="3"/>
  <c r="A25" i="3"/>
  <c r="C22" i="3"/>
  <c r="C94" i="3"/>
  <c r="B95" i="3"/>
  <c r="C74" i="3"/>
  <c r="A101" i="3"/>
  <c r="D102" i="3"/>
  <c r="C64" i="3"/>
  <c r="A98" i="3"/>
  <c r="B14" i="3"/>
  <c r="D61" i="3"/>
  <c r="A87" i="3"/>
  <c r="C61" i="3"/>
  <c r="A77" i="3"/>
  <c r="D89" i="3"/>
  <c r="C81" i="3"/>
  <c r="B13" i="3"/>
  <c r="A97" i="3"/>
  <c r="B79" i="3"/>
  <c r="C59" i="3"/>
  <c r="A9" i="3"/>
  <c r="D82" i="3"/>
  <c r="A96" i="3"/>
  <c r="D79" i="3"/>
  <c r="D59" i="3"/>
  <c r="B59" i="3"/>
  <c r="B94" i="3"/>
  <c r="D94" i="3"/>
  <c r="A57" i="3"/>
  <c r="D17" i="3"/>
  <c r="A82" i="3"/>
  <c r="C17" i="3"/>
  <c r="A81" i="3"/>
  <c r="A56" i="3"/>
  <c r="A26" i="3"/>
  <c r="B93" i="3"/>
  <c r="A63" i="3"/>
  <c r="A73" i="3"/>
  <c r="B90" i="3"/>
  <c r="D80" i="3"/>
  <c r="A13" i="3"/>
  <c r="D78" i="3"/>
  <c r="B17" i="3"/>
  <c r="B44" i="3"/>
  <c r="D13" i="3"/>
  <c r="A78" i="3"/>
  <c r="B89" i="3"/>
  <c r="A76" i="3"/>
  <c r="C79" i="3"/>
  <c r="B60" i="3"/>
  <c r="C77" i="3"/>
  <c r="D14" i="3"/>
  <c r="A99" i="3"/>
  <c r="B82" i="3"/>
  <c r="A75" i="3"/>
  <c r="A20" i="3"/>
  <c r="B23" i="3"/>
  <c r="C78" i="3"/>
  <c r="C102" i="3"/>
  <c r="D7" i="3"/>
  <c r="B12" i="3"/>
  <c r="B37" i="3"/>
  <c r="B30" i="3"/>
  <c r="B102" i="3"/>
  <c r="A85" i="3"/>
  <c r="D60" i="3"/>
  <c r="A62" i="3"/>
  <c r="C80" i="3"/>
  <c r="A59" i="3"/>
  <c r="A72" i="3"/>
  <c r="B70" i="3"/>
  <c r="A69" i="3"/>
  <c r="A104" i="3"/>
  <c r="A100" i="3"/>
  <c r="C90" i="3"/>
  <c r="C65" i="3"/>
  <c r="A55" i="3"/>
  <c r="C54" i="3"/>
  <c r="B24" i="3"/>
  <c r="B32" i="3"/>
  <c r="A103" i="3"/>
  <c r="D22" i="3"/>
  <c r="B53" i="3"/>
  <c r="C70" i="3"/>
  <c r="D90" i="3"/>
  <c r="D91" i="3"/>
  <c r="D71" i="3"/>
  <c r="D70" i="3"/>
  <c r="B22" i="3"/>
  <c r="D86" i="3"/>
  <c r="A8" i="3"/>
  <c r="A64" i="3"/>
  <c r="C10" i="3"/>
  <c r="C13" i="3"/>
  <c r="D62" i="3"/>
  <c r="C71" i="3"/>
  <c r="C42" i="3"/>
  <c r="A92" i="3"/>
  <c r="A6" i="3"/>
  <c r="C88" i="3"/>
  <c r="D56" i="3"/>
  <c r="A68" i="3"/>
  <c r="A23" i="3"/>
  <c r="C82" i="3"/>
  <c r="B80" i="3"/>
  <c r="B7" i="3"/>
  <c r="B71" i="3"/>
  <c r="B81" i="3"/>
  <c r="C20" i="3"/>
  <c r="A80" i="3"/>
  <c r="C23" i="3"/>
  <c r="D74" i="3"/>
  <c r="D8" i="3"/>
  <c r="C32" i="3"/>
  <c r="C37" i="3"/>
  <c r="B74" i="3"/>
  <c r="A89" i="3"/>
  <c r="B77" i="3"/>
  <c r="B11" i="3"/>
  <c r="B76" i="3"/>
  <c r="A93" i="3"/>
  <c r="B16" i="3"/>
  <c r="D21" i="3"/>
  <c r="D23" i="3"/>
  <c r="A17" i="3"/>
  <c r="C84" i="3"/>
  <c r="B57" i="3"/>
  <c r="D50" i="3"/>
  <c r="C7" i="3"/>
  <c r="A83" i="3"/>
  <c r="D20" i="3"/>
  <c r="A88" i="3"/>
  <c r="B42" i="3"/>
  <c r="D53" i="3"/>
  <c r="B51" i="3"/>
  <c r="A24" i="3"/>
  <c r="C93" i="3"/>
  <c r="B86" i="3"/>
  <c r="D42" i="3"/>
  <c r="A67" i="3"/>
  <c r="A7" i="3"/>
  <c r="D16" i="3"/>
  <c r="B64" i="3"/>
  <c r="C26" i="3"/>
  <c r="D31" i="3"/>
  <c r="C9" i="3"/>
  <c r="D10" i="3"/>
  <c r="A102" i="3"/>
  <c r="B103" i="3"/>
  <c r="C101" i="3"/>
  <c r="D68" i="3"/>
  <c r="A15" i="3"/>
  <c r="B18" i="3"/>
  <c r="D44" i="3"/>
  <c r="B56" i="3"/>
  <c r="B87" i="3"/>
  <c r="D64" i="3"/>
  <c r="B27" i="3"/>
  <c r="C87" i="3"/>
  <c r="D85" i="3"/>
  <c r="B88" i="3"/>
  <c r="D87" i="3"/>
  <c r="C86" i="3"/>
  <c r="C56" i="3"/>
  <c r="B85" i="3"/>
  <c r="C85" i="3"/>
  <c r="D88" i="3"/>
  <c r="A94" i="3"/>
  <c r="B15" i="3"/>
  <c r="C62" i="3"/>
  <c r="D54" i="3"/>
  <c r="B54" i="3"/>
  <c r="C50" i="3"/>
  <c r="C103" i="3"/>
  <c r="B6" i="3"/>
  <c r="D15" i="3"/>
  <c r="B50" i="3"/>
  <c r="D37" i="3"/>
  <c r="D19" i="3"/>
  <c r="D77" i="3"/>
  <c r="A84" i="3"/>
  <c r="B61" i="3"/>
  <c r="A21" i="3"/>
  <c r="B101" i="3"/>
  <c r="C83" i="3"/>
  <c r="B19" i="3"/>
  <c r="D84" i="3"/>
  <c r="A74" i="3"/>
  <c r="B8" i="3"/>
  <c r="A19" i="3"/>
  <c r="B10" i="3"/>
  <c r="B63" i="3"/>
  <c r="A58" i="3"/>
  <c r="C11" i="3"/>
  <c r="A18" i="3"/>
  <c r="D93" i="3"/>
  <c r="C66" i="3"/>
  <c r="D66" i="3"/>
  <c r="D65" i="3"/>
  <c r="B83" i="3"/>
  <c r="C12" i="3"/>
  <c r="C104" i="3"/>
  <c r="B45" i="3"/>
  <c r="A95" i="3"/>
  <c r="B84" i="3"/>
  <c r="C63" i="3"/>
  <c r="D67" i="3"/>
  <c r="C67" i="3"/>
  <c r="B67" i="3"/>
  <c r="B31" i="3"/>
  <c r="D9" i="3"/>
  <c r="B66" i="3"/>
  <c r="B65" i="3"/>
  <c r="D101" i="3"/>
  <c r="D103" i="3"/>
  <c r="C15" i="3"/>
  <c r="B9" i="3"/>
  <c r="B68" i="3"/>
  <c r="C14" i="3"/>
  <c r="C39" i="3"/>
  <c r="B39" i="3"/>
  <c r="D39" i="3"/>
  <c r="B21" i="3"/>
  <c r="C21" i="3"/>
  <c r="C43" i="3"/>
  <c r="B43" i="3"/>
  <c r="D43" i="3"/>
  <c r="C16" i="3"/>
  <c r="D24" i="3"/>
  <c r="D12" i="3"/>
  <c r="A66" i="3"/>
  <c r="D83" i="3"/>
  <c r="C68" i="3"/>
  <c r="C44" i="3"/>
  <c r="D6" i="3"/>
  <c r="D32" i="3"/>
  <c r="C24" i="3"/>
  <c r="C18" i="3"/>
  <c r="A91" i="3"/>
  <c r="A90" i="3"/>
  <c r="A71" i="3"/>
  <c r="A70" i="3"/>
  <c r="D11" i="3"/>
  <c r="D63" i="3"/>
  <c r="C8" i="3"/>
  <c r="C31" i="3"/>
  <c r="C100" i="3"/>
  <c r="C98" i="3"/>
  <c r="C19" i="3"/>
  <c r="D18" i="3"/>
  <c r="A11" i="3"/>
  <c r="C69" i="3"/>
  <c r="D69" i="3"/>
  <c r="B69" i="3"/>
  <c r="C38" i="3"/>
  <c r="D38" i="3"/>
  <c r="B38" i="3"/>
  <c r="C95" i="3"/>
  <c r="D98" i="3"/>
  <c r="B29" i="3"/>
  <c r="B98" i="3"/>
  <c r="C99" i="3"/>
  <c r="D100" i="3"/>
  <c r="B100" i="3"/>
  <c r="D99" i="3"/>
  <c r="B99" i="3"/>
  <c r="C29" i="3"/>
  <c r="D35" i="3"/>
  <c r="D46" i="3"/>
  <c r="D26" i="3"/>
  <c r="B104" i="3"/>
  <c r="D45" i="3"/>
  <c r="D72" i="3"/>
  <c r="D29" i="3"/>
  <c r="C45" i="3"/>
  <c r="B35" i="3"/>
  <c r="C30" i="3"/>
  <c r="D30" i="3"/>
  <c r="D104" i="3"/>
  <c r="C75" i="3"/>
  <c r="B91" i="3"/>
  <c r="D92" i="3"/>
  <c r="B36" i="3"/>
  <c r="C35" i="3"/>
  <c r="C76" i="3"/>
  <c r="D27" i="3"/>
  <c r="B92" i="3"/>
  <c r="C36" i="3"/>
  <c r="D95" i="3"/>
  <c r="D36" i="3"/>
  <c r="C27" i="3"/>
  <c r="B75" i="3"/>
  <c r="D76" i="3"/>
  <c r="B26" i="3"/>
  <c r="C91" i="3"/>
  <c r="D75" i="3"/>
  <c r="B41" i="3"/>
  <c r="B46" i="3"/>
  <c r="C46" i="3"/>
  <c r="C33" i="3"/>
  <c r="D33" i="3"/>
  <c r="B33" i="3"/>
  <c r="C47" i="3"/>
  <c r="B47" i="3"/>
  <c r="D47" i="3"/>
  <c r="B96" i="3"/>
  <c r="C96" i="3"/>
  <c r="D96" i="3"/>
  <c r="C97" i="3"/>
  <c r="B97" i="3"/>
  <c r="D97" i="3"/>
  <c r="D34" i="3"/>
  <c r="C34" i="3"/>
  <c r="B34" i="3"/>
  <c r="C72" i="3"/>
  <c r="B72" i="3"/>
  <c r="C73" i="3"/>
  <c r="D73" i="3"/>
  <c r="B73" i="3"/>
  <c r="D58" i="3"/>
  <c r="C41" i="3"/>
  <c r="C58" i="3"/>
  <c r="C57" i="3"/>
  <c r="C40" i="3"/>
  <c r="B40" i="3"/>
  <c r="D40" i="3"/>
  <c r="B49" i="3"/>
  <c r="C49" i="3"/>
  <c r="D48" i="3"/>
  <c r="B48" i="3"/>
  <c r="C48" i="3"/>
  <c r="D49" i="3"/>
  <c r="C28" i="3"/>
  <c r="B28" i="3"/>
  <c r="D28" i="3"/>
  <c r="B58" i="3"/>
  <c r="C55" i="3"/>
  <c r="B55" i="3"/>
  <c r="D55" i="3"/>
  <c r="D57" i="3"/>
  <c r="B25" i="3"/>
  <c r="D25" i="3"/>
  <c r="C51" i="3"/>
  <c r="D51" i="3"/>
  <c r="C25" i="3"/>
  <c r="D52" i="3"/>
  <c r="C52" i="3"/>
  <c r="B52" i="3"/>
  <c r="D41" i="3"/>
  <c r="C53" i="3"/>
  <c r="C92" i="3"/>
  <c r="AO7" i="1"/>
  <c r="AO6" i="1"/>
  <c r="AK9" i="1" l="1"/>
  <c r="AK10" i="1" s="1"/>
  <c r="AN7" i="1"/>
  <c r="AN8" i="1" s="1"/>
  <c r="AO8" i="1"/>
  <c r="AL9" i="1" l="1"/>
  <c r="AM9" i="1" s="1"/>
  <c r="AO9" i="1" s="1"/>
  <c r="AN9" i="1"/>
  <c r="AL10" i="1"/>
  <c r="AM10" i="1" s="1"/>
  <c r="AO10" i="1" s="1"/>
  <c r="AK11" i="1"/>
  <c r="AN10" i="1" l="1"/>
  <c r="AN11" i="1" s="1"/>
  <c r="AK12" i="1"/>
  <c r="AK13" i="1" s="1"/>
  <c r="AL13" i="1" s="1"/>
  <c r="AL11" i="1"/>
  <c r="AM11" i="1" s="1"/>
  <c r="AM13" i="1" l="1"/>
  <c r="AN12" i="1"/>
  <c r="AL12" i="1"/>
  <c r="AO11" i="1"/>
  <c r="AM12" i="1" l="1"/>
  <c r="AO12" i="1" s="1"/>
  <c r="AN13" i="1"/>
  <c r="AO13" i="1"/>
  <c r="AQ13" i="1" s="1"/>
  <c r="AK15" i="1"/>
  <c r="AL15" i="1" l="1"/>
  <c r="AQ12" i="1"/>
  <c r="AQ11" i="1" s="1"/>
  <c r="AQ10" i="1" s="1"/>
  <c r="AQ9" i="1" s="1"/>
  <c r="AQ8" i="1" s="1"/>
  <c r="AQ7" i="1" s="1"/>
  <c r="AQ6" i="1" s="1"/>
  <c r="AO15" i="1"/>
  <c r="AP3" i="1" s="1"/>
  <c r="AK29" i="1"/>
  <c r="AQ5" i="1" l="1"/>
  <c r="AQ4" i="1" s="1"/>
  <c r="AQ3" i="1" s="1"/>
  <c r="AP4" i="1"/>
  <c r="AS4" i="1" l="1"/>
  <c r="AR3" i="1"/>
  <c r="AS3" i="1"/>
  <c r="AR4" i="1"/>
  <c r="AP5" i="1"/>
  <c r="AR5" i="1" s="1"/>
  <c r="AP6" i="1" l="1"/>
  <c r="AR6" i="1" s="1"/>
  <c r="AS5" i="1"/>
  <c r="AS6" i="1" l="1"/>
  <c r="AP7" i="1"/>
  <c r="AR7" i="1" s="1"/>
  <c r="AP8" i="1" l="1"/>
  <c r="AR8" i="1" s="1"/>
  <c r="AS7" i="1"/>
  <c r="AP9" i="1" l="1"/>
  <c r="AR9" i="1" s="1"/>
  <c r="AS8" i="1"/>
  <c r="AS9" i="1" l="1"/>
  <c r="AP10" i="1"/>
  <c r="AR10" i="1" s="1"/>
  <c r="AP11" i="1" l="1"/>
  <c r="AR11" i="1" s="1"/>
  <c r="AS10" i="1"/>
  <c r="AP12" i="1" l="1"/>
  <c r="AS11" i="1"/>
  <c r="AR12" i="1" l="1"/>
  <c r="AP13" i="1"/>
  <c r="AS12" i="1"/>
  <c r="AR15" i="1"/>
  <c r="AR29" i="1" s="1"/>
  <c r="AR13" i="1" l="1"/>
  <c r="AS13" i="1"/>
  <c r="AT12" i="1"/>
  <c r="AT13" i="1" l="1"/>
  <c r="AU13" i="1" s="1"/>
  <c r="AU12" i="1"/>
  <c r="AT11" i="1" l="1"/>
  <c r="AT10" i="1" s="1"/>
  <c r="AU11" i="1" l="1"/>
  <c r="AU10" i="1"/>
  <c r="AT9" i="1"/>
  <c r="AU9" i="1" l="1"/>
  <c r="AT8" i="1"/>
  <c r="AU8" i="1" l="1"/>
  <c r="AT7" i="1"/>
  <c r="AU7" i="1" l="1"/>
  <c r="AT6" i="1"/>
  <c r="AU6" i="1" l="1"/>
  <c r="AT5" i="1"/>
  <c r="AU5" i="1" l="1"/>
  <c r="AT4" i="1"/>
  <c r="AU4" i="1" l="1"/>
  <c r="AT3" i="1"/>
  <c r="AU3" i="1" l="1"/>
  <c r="AU15" i="1" s="1"/>
  <c r="AV3" i="1" l="1"/>
  <c r="AW3" i="1" l="1"/>
  <c r="AX3" i="1" s="1"/>
  <c r="AV4" i="1"/>
  <c r="AV5" i="1" s="1"/>
  <c r="AY4" i="1" l="1"/>
  <c r="AW4" i="1"/>
  <c r="AV6" i="1"/>
  <c r="AW5" i="1"/>
  <c r="AX5" i="1" s="1"/>
  <c r="AZ5" i="1" l="1"/>
  <c r="AX4" i="1"/>
  <c r="AY5" i="1"/>
  <c r="AW6" i="1"/>
  <c r="AV7" i="1"/>
  <c r="AX6" i="1" l="1"/>
  <c r="AZ4" i="1"/>
  <c r="AY6" i="1"/>
  <c r="AY7" i="1" s="1"/>
  <c r="AV8" i="1"/>
  <c r="AW8" i="1" s="1"/>
  <c r="AW7" i="1"/>
  <c r="AX7" i="1" s="1"/>
  <c r="AX8" i="1" l="1"/>
  <c r="AZ6" i="1"/>
  <c r="AZ7" i="1"/>
  <c r="AY8" i="1"/>
  <c r="AV9" i="1"/>
  <c r="AZ8" i="1" l="1"/>
  <c r="AY9" i="1"/>
  <c r="AV10" i="1"/>
  <c r="AW9" i="1"/>
  <c r="AX9" i="1" l="1"/>
  <c r="AY10" i="1"/>
  <c r="AV11" i="1"/>
  <c r="AW10" i="1"/>
  <c r="AX10" i="1" l="1"/>
  <c r="AZ9" i="1"/>
  <c r="AY11" i="1"/>
  <c r="AV12" i="1"/>
  <c r="AV13" i="1" s="1"/>
  <c r="AW13" i="1" s="1"/>
  <c r="AW11" i="1"/>
  <c r="AX13" i="1" l="1"/>
  <c r="AX11" i="1"/>
  <c r="AZ10" i="1"/>
  <c r="AY12" i="1"/>
  <c r="AW12" i="1"/>
  <c r="AX12" i="1" l="1"/>
  <c r="AZ12" i="1" s="1"/>
  <c r="AY13" i="1"/>
  <c r="AZ13" i="1"/>
  <c r="BB13" i="1" s="1"/>
  <c r="AV15" i="1"/>
  <c r="AZ11" i="1"/>
  <c r="AV29" i="1" l="1"/>
  <c r="AW15" i="1"/>
  <c r="AZ15" i="1" l="1"/>
  <c r="BB12" i="1" l="1"/>
  <c r="BB11" i="1" s="1"/>
  <c r="BB10" i="1" s="1"/>
  <c r="BB9" i="1" s="1"/>
  <c r="BB8" i="1" s="1"/>
  <c r="BB7" i="1" s="1"/>
  <c r="BB6" i="1" s="1"/>
  <c r="BB5" i="1" s="1"/>
  <c r="BB4" i="1" s="1"/>
  <c r="BB3" i="1" s="1"/>
  <c r="BA3" i="1"/>
  <c r="BA4" i="1" l="1"/>
  <c r="BA5" i="1" s="1"/>
  <c r="BC3" i="1"/>
  <c r="BD3" i="1"/>
  <c r="BD4" i="1" l="1"/>
  <c r="BC4" i="1"/>
  <c r="BC5" i="1"/>
  <c r="BD5" i="1"/>
  <c r="BA6" i="1"/>
  <c r="BA7" i="1" l="1"/>
  <c r="BC6" i="1"/>
  <c r="BD6" i="1"/>
  <c r="BC7" i="1" l="1"/>
  <c r="BD7" i="1"/>
  <c r="BA8" i="1"/>
  <c r="BC8" i="1" l="1"/>
  <c r="BD8" i="1"/>
  <c r="BA9" i="1"/>
  <c r="BC9" i="1" l="1"/>
  <c r="BD9" i="1"/>
  <c r="BA10" i="1"/>
  <c r="BC10" i="1" l="1"/>
  <c r="BD10" i="1"/>
  <c r="BA11" i="1"/>
  <c r="BA12" i="1" l="1"/>
  <c r="BA13" i="1" s="1"/>
  <c r="BC11" i="1"/>
  <c r="BD11" i="1"/>
  <c r="BC13" i="1" l="1"/>
  <c r="BD13" i="1"/>
  <c r="BC12" i="1"/>
  <c r="BD12" i="1"/>
  <c r="BE13" i="1" l="1"/>
  <c r="BC15" i="1"/>
  <c r="BC29" i="1" s="1"/>
  <c r="BF13" i="1" l="1"/>
  <c r="BE12" i="1"/>
  <c r="BE11" i="1" s="1"/>
  <c r="BE10" i="1" s="1"/>
  <c r="BF11" i="1" l="1"/>
  <c r="BF12" i="1"/>
  <c r="BE9" i="1"/>
  <c r="BF10" i="1"/>
  <c r="BE8" i="1" l="1"/>
  <c r="BF9" i="1"/>
  <c r="BE7" i="1" l="1"/>
  <c r="BF8" i="1"/>
  <c r="BE6" i="1" l="1"/>
  <c r="BF7" i="1"/>
  <c r="BE5" i="1" l="1"/>
  <c r="BF6" i="1"/>
  <c r="BE4" i="1" l="1"/>
  <c r="BF5" i="1"/>
  <c r="BF4" i="1" l="1"/>
  <c r="BE3" i="1"/>
  <c r="BF3" i="1" l="1"/>
  <c r="BF15" i="1" l="1"/>
  <c r="BG3" i="1"/>
  <c r="BH3" i="1" l="1"/>
  <c r="BG4" i="1"/>
  <c r="BH4" i="1" s="1"/>
  <c r="BI4" i="1" s="1"/>
  <c r="BK4" i="1" l="1"/>
  <c r="BG5" i="1"/>
  <c r="BG6" i="1" s="1"/>
  <c r="BH6" i="1" s="1"/>
  <c r="BI6" i="1" s="1"/>
  <c r="BJ4" i="1"/>
  <c r="BI3" i="1"/>
  <c r="BK6" i="1" l="1"/>
  <c r="BG7" i="1"/>
  <c r="BH7" i="1" s="1"/>
  <c r="BH5" i="1"/>
  <c r="BJ5" i="1"/>
  <c r="BJ6" i="1" l="1"/>
  <c r="BJ7" i="1" s="1"/>
  <c r="BG8" i="1"/>
  <c r="BH8" i="1" s="1"/>
  <c r="BI8" i="1" s="1"/>
  <c r="BK8" i="1" s="1"/>
  <c r="BI5" i="1"/>
  <c r="BI7" i="1"/>
  <c r="BG9" i="1" l="1"/>
  <c r="BH9" i="1" s="1"/>
  <c r="BI9" i="1" s="1"/>
  <c r="BK7" i="1"/>
  <c r="BK5" i="1"/>
  <c r="BJ8" i="1"/>
  <c r="BJ9" i="1" s="1"/>
  <c r="BJ10" i="1" l="1"/>
  <c r="BG10" i="1"/>
  <c r="BH10" i="1" s="1"/>
  <c r="BI10" i="1" s="1"/>
  <c r="BK9" i="1"/>
  <c r="BG11" i="1" l="1"/>
  <c r="BH11" i="1" s="1"/>
  <c r="BI11" i="1" s="1"/>
  <c r="BK10" i="1"/>
  <c r="BJ11" i="1"/>
  <c r="BG12" i="1" l="1"/>
  <c r="BG13" i="1" s="1"/>
  <c r="BH13" i="1" s="1"/>
  <c r="BJ12" i="1"/>
  <c r="BK11" i="1"/>
  <c r="BI13" i="1" l="1"/>
  <c r="BH12" i="1"/>
  <c r="BG15" i="1"/>
  <c r="BK13" i="1" l="1"/>
  <c r="BM13" i="1" s="1"/>
  <c r="BI12" i="1"/>
  <c r="BK12" i="1" s="1"/>
  <c r="BJ13" i="1"/>
  <c r="BH15" i="1"/>
  <c r="BG29" i="1"/>
  <c r="BM12" i="1" l="1"/>
  <c r="BM11" i="1" s="1"/>
  <c r="BM10" i="1" s="1"/>
  <c r="BM9" i="1" s="1"/>
  <c r="BM8" i="1" s="1"/>
  <c r="BM7" i="1" s="1"/>
  <c r="BM6" i="1" s="1"/>
  <c r="BM5" i="1" s="1"/>
  <c r="BM4" i="1" s="1"/>
  <c r="BM3" i="1" s="1"/>
  <c r="BK15" i="1"/>
  <c r="BL3" i="1" l="1"/>
  <c r="BL4" i="1" l="1"/>
  <c r="BN3" i="1"/>
  <c r="BO3" i="1"/>
  <c r="BN4" i="1" l="1"/>
  <c r="BO4" i="1"/>
  <c r="BL5" i="1"/>
  <c r="BL6" i="1" l="1"/>
  <c r="BN5" i="1"/>
  <c r="BO5" i="1"/>
  <c r="BN6" i="1" l="1"/>
  <c r="BO6" i="1"/>
  <c r="BL7" i="1"/>
  <c r="BL8" i="1" l="1"/>
  <c r="BN7" i="1"/>
  <c r="BO7" i="1"/>
  <c r="BN8" i="1" l="1"/>
  <c r="BO8" i="1"/>
  <c r="BL9" i="1"/>
  <c r="BL10" i="1" l="1"/>
  <c r="BN9" i="1"/>
  <c r="BO9" i="1"/>
  <c r="BL11" i="1" l="1"/>
  <c r="BN10" i="1"/>
  <c r="BO10" i="1"/>
  <c r="BL12" i="1" l="1"/>
  <c r="BL13" i="1" s="1"/>
  <c r="BN11" i="1"/>
  <c r="BO11" i="1"/>
  <c r="BN13" i="1" l="1"/>
  <c r="BO13" i="1"/>
  <c r="BN12" i="1"/>
  <c r="BO12" i="1"/>
  <c r="BN15" i="1" l="1"/>
  <c r="BN29" i="1" s="1"/>
</calcChain>
</file>

<file path=xl/sharedStrings.xml><?xml version="1.0" encoding="utf-8"?>
<sst xmlns="http://schemas.openxmlformats.org/spreadsheetml/2006/main" count="7284" uniqueCount="1833">
  <si>
    <t>Outer</t>
  </si>
  <si>
    <t>Price each</t>
  </si>
  <si>
    <t>order no.</t>
  </si>
  <si>
    <t>order £</t>
  </si>
  <si>
    <t xml:space="preserve"> </t>
  </si>
  <si>
    <t>Choose Option</t>
  </si>
  <si>
    <t>Substitute</t>
  </si>
  <si>
    <t>Substitute [X]     Contact Me [   ]    Neither [   ]</t>
  </si>
  <si>
    <t>Don't Substitute</t>
  </si>
  <si>
    <t>Substitute [   ]     Contact Me [   ]    Neither [X]</t>
  </si>
  <si>
    <t>Contact Me</t>
  </si>
  <si>
    <t>Substitute [   ]     Contact Me [X]    Neither [   ]</t>
  </si>
  <si>
    <t>Contact Name:</t>
  </si>
  <si>
    <t>Contact No:</t>
  </si>
  <si>
    <t>If any of the plants you order are not available what should we do?</t>
  </si>
  <si>
    <t>Yes</t>
  </si>
  <si>
    <t>No</t>
  </si>
  <si>
    <t>Barcode</t>
  </si>
  <si>
    <t>Order</t>
  </si>
  <si>
    <t>Latin Name</t>
  </si>
  <si>
    <t>Common Name</t>
  </si>
  <si>
    <t>Description</t>
  </si>
  <si>
    <t>x10</t>
  </si>
  <si>
    <t>Salvia nemerosa 'Caradonna'</t>
  </si>
  <si>
    <t>Balkan Clary</t>
  </si>
  <si>
    <t>rich violet-blue flowers over aromatic foliage</t>
  </si>
  <si>
    <t>Verbena</t>
  </si>
  <si>
    <t>striking purple flowerheads attractive to butterflies</t>
  </si>
  <si>
    <t>10.5cm Perennials/ Kind to Nature</t>
  </si>
  <si>
    <t>x15</t>
  </si>
  <si>
    <t>Coneflower</t>
  </si>
  <si>
    <t>Achillea 'Cloth of Gold'</t>
  </si>
  <si>
    <t>Yarrow</t>
  </si>
  <si>
    <t>Achillea 'Cerise Queen'</t>
  </si>
  <si>
    <t>Primula Japonica 'Millers Crimson'</t>
  </si>
  <si>
    <t>Japanese Primrose</t>
  </si>
  <si>
    <t>Total</t>
  </si>
  <si>
    <t>2L Perennials/ Kind to Nature</t>
  </si>
  <si>
    <t>10.5cm Grasses</t>
  </si>
  <si>
    <t>Phalaris Picta</t>
  </si>
  <si>
    <t>Ribbon Grass</t>
  </si>
  <si>
    <t>green and cream variegated foliage</t>
  </si>
  <si>
    <t>2L Grasses</t>
  </si>
  <si>
    <t>5L Grasses</t>
  </si>
  <si>
    <t>x6</t>
  </si>
  <si>
    <t>Equisetum Japonicum</t>
  </si>
  <si>
    <t>Barred Horsetail</t>
  </si>
  <si>
    <t>striking, architectural plant from japan</t>
  </si>
  <si>
    <t>2L Hosta</t>
  </si>
  <si>
    <t>Plantain Lily</t>
  </si>
  <si>
    <t>Hosta Velvet Moon</t>
  </si>
  <si>
    <t>2L Ferns</t>
  </si>
  <si>
    <t>flat, magenta flowers on tall stems</t>
  </si>
  <si>
    <t>traditional variety with gorgeous yellow flower heads</t>
  </si>
  <si>
    <t>Company Name:</t>
  </si>
  <si>
    <t>Perennials/ Kind to Nature Assorted</t>
  </si>
  <si>
    <t>Grasses Assorted</t>
  </si>
  <si>
    <t>Lifestyle Assorted</t>
  </si>
  <si>
    <t>Hosta Assorted</t>
  </si>
  <si>
    <t>Mixed Hosta</t>
  </si>
  <si>
    <t>Our choice, best selection</t>
  </si>
  <si>
    <t>Mixed Lifestyle</t>
  </si>
  <si>
    <t>Mixed Grasses</t>
  </si>
  <si>
    <t>Mixed</t>
  </si>
  <si>
    <t>beautiful whorls of flowers over green foliage</t>
  </si>
  <si>
    <t>Cape Lily</t>
  </si>
  <si>
    <t>Carex Comans Bronze</t>
  </si>
  <si>
    <t>Chocolate Sedge</t>
  </si>
  <si>
    <t>interesting dense tussocks of narrow bronze foliage</t>
  </si>
  <si>
    <t>Pennisetum Alopecuroides</t>
  </si>
  <si>
    <t>Fountain Grass</t>
  </si>
  <si>
    <t>bottlebrush spikes of silvery white flowers</t>
  </si>
  <si>
    <t>60 Per Shelf</t>
  </si>
  <si>
    <t>30 Per Shelf</t>
  </si>
  <si>
    <t>17 Per Shelf</t>
  </si>
  <si>
    <t>x1</t>
  </si>
  <si>
    <t>2L Hostas</t>
  </si>
  <si>
    <t>Price</t>
  </si>
  <si>
    <t>150x 2L Hosta (10 Named Varieties)</t>
  </si>
  <si>
    <r>
      <t>Trolley Deal-</t>
    </r>
    <r>
      <rPr>
        <b/>
        <sz val="15"/>
        <color indexed="10"/>
        <rFont val="Calibri"/>
        <family val="2"/>
      </rPr>
      <t xml:space="preserve"> 10% discount!</t>
    </r>
  </si>
  <si>
    <t>10.5cm Hosta</t>
  </si>
  <si>
    <t>Panicum virgatum 'Shenandoah'</t>
  </si>
  <si>
    <t>Switch Grass</t>
  </si>
  <si>
    <t>Indian Shot Plant</t>
  </si>
  <si>
    <t>Hyssop</t>
  </si>
  <si>
    <t>dark purple bracts with lavender blooms</t>
  </si>
  <si>
    <t>Agastache Little Adder</t>
  </si>
  <si>
    <t>Scabious</t>
  </si>
  <si>
    <t>beautiful, lavender blue pincushion flowers</t>
  </si>
  <si>
    <t>Day Lily</t>
  </si>
  <si>
    <t>Spiderwort</t>
  </si>
  <si>
    <t>large yellow flowers over green succulent foliage</t>
  </si>
  <si>
    <t>Deschampsia Cespitosa 'Goldtau'</t>
  </si>
  <si>
    <t>Tufted Hair Grass</t>
  </si>
  <si>
    <t>10.5cm Grass, Hosta, Kind to Nature &amp; Perennial</t>
  </si>
  <si>
    <t>60x Grasses, 60x Hosta, 120x Kind to Nature &amp; 120x Perennials</t>
  </si>
  <si>
    <t>tufted grasses with linear or thread-like leaves</t>
  </si>
  <si>
    <t>5L Lifestyle</t>
  </si>
  <si>
    <t>Dicksonia Antarctica</t>
  </si>
  <si>
    <t>Soft Tree Fern</t>
  </si>
  <si>
    <t>the hardiest of the tree ferns</t>
  </si>
  <si>
    <t>Sage</t>
  </si>
  <si>
    <t>Aloe Black Gem</t>
  </si>
  <si>
    <t>Black Aloe</t>
  </si>
  <si>
    <t>compact, architectural and black</t>
  </si>
  <si>
    <t>10.5cm Lifestyle</t>
  </si>
  <si>
    <t>Tradescantia Blue and Gold</t>
  </si>
  <si>
    <t>pretty blue flowers over striking golden foliage</t>
  </si>
  <si>
    <t>Primula bulleyana</t>
  </si>
  <si>
    <t>Bulley's primrose</t>
  </si>
  <si>
    <t>whorls of orange-yellow flowers opening from red buds</t>
  </si>
  <si>
    <t>Primula pulverulenta</t>
  </si>
  <si>
    <t>primrose</t>
  </si>
  <si>
    <t xml:space="preserve"> a deep reddish purple, with a dark-red or purple eye.</t>
  </si>
  <si>
    <t>blue-green colour, turning violet &amp; burgundy in summer</t>
  </si>
  <si>
    <t>Do you require pre-pricing on you order: Yes [   ]   No [   ]</t>
  </si>
  <si>
    <t>Do you require pre-pricing on your order: Yes [   ]   No [ x ]</t>
  </si>
  <si>
    <t>Do you require pre-pricing on your order: Yes [ x ]   No [   ]</t>
  </si>
  <si>
    <t>Do you require barcodes on your order: Yes [   ]  No [   ]</t>
  </si>
  <si>
    <t>Do you require barcodes on your order: Yes [   ]   No [X]</t>
  </si>
  <si>
    <t>Do you require barcodes on your order: Yes [X]   No [   ]</t>
  </si>
  <si>
    <t>Fountain Bamboo</t>
  </si>
  <si>
    <t>small clumping bamboo, ideal for containers</t>
  </si>
  <si>
    <t>2 YR GROWN</t>
  </si>
  <si>
    <t>3YR GROWN</t>
  </si>
  <si>
    <t>Hardy Ice Plant</t>
  </si>
  <si>
    <t>Coreopsis verticillata</t>
  </si>
  <si>
    <t>Purple Loosestrife</t>
  </si>
  <si>
    <t>Ferns Assorted</t>
  </si>
  <si>
    <t>Mixed Ferns</t>
  </si>
  <si>
    <t>Dryopteris Atrata</t>
  </si>
  <si>
    <t>Black Wood Fern</t>
  </si>
  <si>
    <t>dark green fronds with contrasting black scaly stems</t>
  </si>
  <si>
    <t>Polystichum Setiferum</t>
  </si>
  <si>
    <t>Soft Shield Fern</t>
  </si>
  <si>
    <t>Hardy Arum Lily</t>
  </si>
  <si>
    <t>Whorled Tickseed</t>
  </si>
  <si>
    <t>dissected leaves and bright golden-yellow daisies</t>
  </si>
  <si>
    <t>wonderful compact variety with cream speckled foliage</t>
  </si>
  <si>
    <t>Pure white blooms, Extremely high flower count</t>
  </si>
  <si>
    <t>beautiful golden foliage with green centres.</t>
  </si>
  <si>
    <t>x3</t>
  </si>
  <si>
    <t>Tulbaghia Violacea</t>
  </si>
  <si>
    <t>Society Garlic</t>
  </si>
  <si>
    <t>grey-green basal leaves and fragrant pale purple flowers</t>
  </si>
  <si>
    <t>vibrant orange petals over green foliage</t>
  </si>
  <si>
    <t>deep green/purple foliage over red petals</t>
  </si>
  <si>
    <t>large, blousy, lilylike blooms in a salmon shade</t>
  </si>
  <si>
    <t>Pennisetum Villosum</t>
  </si>
  <si>
    <t>Feathertop Grass</t>
  </si>
  <si>
    <t>soft feathery flower spikes sit proud of linear green foliage</t>
  </si>
  <si>
    <t>Salvia Hot Lips</t>
  </si>
  <si>
    <t>unusual bi-coloured red and white flowers</t>
  </si>
  <si>
    <t>Hosta Gold Standard</t>
  </si>
  <si>
    <t>beautiful golden heart shaped leaves</t>
  </si>
  <si>
    <t>large glaucous leaves, with wide golden variegation</t>
  </si>
  <si>
    <t>Hosta Guacamole</t>
  </si>
  <si>
    <t>Hosta Wide Brim</t>
  </si>
  <si>
    <t>puckered heart shaped leaves with wide margin</t>
  </si>
  <si>
    <t>Scabiosa columbia mariposa</t>
  </si>
  <si>
    <t>Hosta Morning Star</t>
  </si>
  <si>
    <t>wide creamy-white margin and darker green streaking</t>
  </si>
  <si>
    <t>2L Lifestyle</t>
  </si>
  <si>
    <t>beautiful flowers dark red and very compact</t>
  </si>
  <si>
    <t> shines like the sun with its beautiful yellow colour</t>
  </si>
  <si>
    <t>eye catching pink flower and green foliage</t>
  </si>
  <si>
    <t>Pennisetum Purple Majesty</t>
  </si>
  <si>
    <t>Ornamental Millet</t>
  </si>
  <si>
    <t>deep purple foliage/flowers up to 2m.</t>
  </si>
  <si>
    <t>Substitute [   ]  Contact Me [   ]  Neither [   ]</t>
  </si>
  <si>
    <t>Quantity</t>
  </si>
  <si>
    <t>2L Canna Mix</t>
  </si>
  <si>
    <t>2L Perennials/Kind to Nature Mix</t>
  </si>
  <si>
    <t>2L Lifestyle Mix</t>
  </si>
  <si>
    <t>2L Hosta Mix</t>
  </si>
  <si>
    <t xml:space="preserve"> (Prices shown include discount)                                     1x Full Trolley</t>
  </si>
  <si>
    <t>Trade Price without Discount</t>
  </si>
  <si>
    <t>NEW FLOWER, BUD &amp; COLOUR</t>
  </si>
  <si>
    <t>5L Hosta</t>
  </si>
  <si>
    <t>Price with 12% Discount</t>
  </si>
  <si>
    <r>
      <t>5L Ferns-</t>
    </r>
    <r>
      <rPr>
        <b/>
        <sz val="12"/>
        <color indexed="25"/>
        <rFont val="Calibri"/>
        <family val="2"/>
      </rPr>
      <t xml:space="preserve">     </t>
    </r>
    <r>
      <rPr>
        <b/>
        <sz val="12"/>
        <color indexed="10"/>
        <rFont val="Calibri"/>
        <family val="2"/>
      </rPr>
      <t>THE BEST FERNS IN THE UK</t>
    </r>
  </si>
  <si>
    <t>Dryopteris Erythrosora</t>
  </si>
  <si>
    <t>Autumn Fern</t>
  </si>
  <si>
    <t>evergreen Asian fern with bipinnate red/green fronds</t>
  </si>
  <si>
    <t>architectural foliage and large exotic foliage</t>
  </si>
  <si>
    <t>Canna Assorted</t>
  </si>
  <si>
    <t>Hosta Moonsplit</t>
  </si>
  <si>
    <t>wonderful broad yellow margins surrounding green</t>
  </si>
  <si>
    <t>Lythrum Salicaria Blush</t>
  </si>
  <si>
    <t>Spikes of pale 'blush pink' flowers on woody stems</t>
  </si>
  <si>
    <t>Echinacea Purpurea 'Magnus'</t>
  </si>
  <si>
    <t>wonderful rosey-pink flowers</t>
  </si>
  <si>
    <t>Salvia Amistad</t>
  </si>
  <si>
    <t>larger than average flowers are a sublime shade of purple</t>
  </si>
  <si>
    <t>Cyperus Papyrus</t>
  </si>
  <si>
    <t>Egyptian Paper Grass</t>
  </si>
  <si>
    <t>spectacular sedge, with graceful mop heads</t>
  </si>
  <si>
    <t>Schyzostylis Pink</t>
  </si>
  <si>
    <t>iris like foliage with pink flowers</t>
  </si>
  <si>
    <t>larger than average purple flowers</t>
  </si>
  <si>
    <t>Larkspur</t>
  </si>
  <si>
    <t>Musa 'Dwarf Cavendish'</t>
  </si>
  <si>
    <t>Dwarf Banana</t>
  </si>
  <si>
    <t>possibly the only banana to bare fruit in the UK</t>
  </si>
  <si>
    <t>Acorus 'Ogon'</t>
  </si>
  <si>
    <t>Golden Striped Rush</t>
  </si>
  <si>
    <t>striking golden yellow and green foliage</t>
  </si>
  <si>
    <t>Hosta Fragrant Bouquet</t>
  </si>
  <si>
    <t>light green leaves  with a creamy white edge</t>
  </si>
  <si>
    <r>
      <t xml:space="preserve">Canna Happy Carmen   </t>
    </r>
    <r>
      <rPr>
        <b/>
        <sz val="10"/>
        <rFont val="Calibri"/>
        <family val="2"/>
      </rPr>
      <t>RED</t>
    </r>
  </si>
  <si>
    <r>
      <t xml:space="preserve">Canna Happy Cleo       </t>
    </r>
    <r>
      <rPr>
        <b/>
        <sz val="10"/>
        <rFont val="Calibri"/>
        <family val="2"/>
      </rPr>
      <t xml:space="preserve"> ORANGE</t>
    </r>
  </si>
  <si>
    <r>
      <t xml:space="preserve">Canna Happy Emily      </t>
    </r>
    <r>
      <rPr>
        <b/>
        <sz val="10"/>
        <rFont val="Calibri"/>
        <family val="2"/>
      </rPr>
      <t>YELLOW</t>
    </r>
  </si>
  <si>
    <r>
      <t xml:space="preserve">Canna Happy Isabel      </t>
    </r>
    <r>
      <rPr>
        <b/>
        <sz val="10"/>
        <rFont val="Calibri"/>
        <family val="2"/>
      </rPr>
      <t>PINK</t>
    </r>
  </si>
  <si>
    <r>
      <t xml:space="preserve">Canna Happy Julia        </t>
    </r>
    <r>
      <rPr>
        <b/>
        <sz val="10"/>
        <rFont val="Calibri"/>
        <family val="2"/>
      </rPr>
      <t>RED</t>
    </r>
  </si>
  <si>
    <r>
      <t xml:space="preserve">Canna Happy Wilma  </t>
    </r>
    <r>
      <rPr>
        <sz val="12"/>
        <rFont val="Calibri"/>
        <family val="2"/>
      </rPr>
      <t xml:space="preserve">  </t>
    </r>
    <r>
      <rPr>
        <b/>
        <sz val="10"/>
        <rFont val="Calibri"/>
        <family val="2"/>
      </rPr>
      <t>RED</t>
    </r>
  </si>
  <si>
    <t>Foliage- Red &amp; Green</t>
  </si>
  <si>
    <t>Foliage/ Buds</t>
  </si>
  <si>
    <t>Buds/ Flowers</t>
  </si>
  <si>
    <t>These have been growing in our shade houses for over 2 years</t>
  </si>
  <si>
    <t>Ensete 'Ventricosa' Maurellii</t>
  </si>
  <si>
    <t>Red Abyssinian Banana</t>
  </si>
  <si>
    <t>beautiful banana plant with stunning leaves</t>
  </si>
  <si>
    <t>Cyperus Alternifolius</t>
  </si>
  <si>
    <t>Umbrella Flat Sedge</t>
  </si>
  <si>
    <t>exotic looking grass with umbrella like flowerheads</t>
  </si>
  <si>
    <t>Lobelia 'Queen Victoria'</t>
  </si>
  <si>
    <t>Red Cardinal</t>
  </si>
  <si>
    <t>crimson red foliage topped by red flowers</t>
  </si>
  <si>
    <t>Echinacea Purpurea 'White Swan'</t>
  </si>
  <si>
    <t>white drooping ray florets, attractive to butterflies</t>
  </si>
  <si>
    <t>Canna Tropicana Black</t>
  </si>
  <si>
    <t>beautiful dark red foliage with red flowers</t>
  </si>
  <si>
    <r>
      <t xml:space="preserve">Our choice, best selection of </t>
    </r>
    <r>
      <rPr>
        <b/>
        <sz val="9"/>
        <rFont val="Calibri"/>
        <family val="2"/>
      </rPr>
      <t>flowers, buds &amp; colour</t>
    </r>
  </si>
  <si>
    <t>Anemone 'Honorine Jobert'</t>
  </si>
  <si>
    <t>Japanese Anemone</t>
  </si>
  <si>
    <t>lovely, compact hybrid with slightly cupped white flowers</t>
  </si>
  <si>
    <t>Festuca Glauca 'Elijah Blue'</t>
  </si>
  <si>
    <t>Needle Grass</t>
  </si>
  <si>
    <t>wonderful, vivid blue grass</t>
  </si>
  <si>
    <t>Phalaris Arctic Sun</t>
  </si>
  <si>
    <t>Golden Ribbon Grass</t>
  </si>
  <si>
    <t>striking golden foliage on this new hybrid</t>
  </si>
  <si>
    <t>Stipa Tenuissima</t>
  </si>
  <si>
    <t>Feather Grass</t>
  </si>
  <si>
    <t>lovely green, gentle arching, fine foliage</t>
  </si>
  <si>
    <t>Erigeron Karvinskianus</t>
  </si>
  <si>
    <t>Mexican Fleabane</t>
  </si>
  <si>
    <t>gorgeous white and pink daisy-like flowers</t>
  </si>
  <si>
    <t>Delosperma yellow</t>
  </si>
  <si>
    <t>Bee Balm</t>
  </si>
  <si>
    <t>compact fragrant foliage accompanied by pink flowers</t>
  </si>
  <si>
    <t>Monarda didyma 'Balmy Pink'</t>
  </si>
  <si>
    <t>Salvia 'Wendy's Wish'</t>
  </si>
  <si>
    <t>red stems, aromatic, green leaves  rich pink flowers</t>
  </si>
  <si>
    <t>Tradescantia Purple Sabre</t>
  </si>
  <si>
    <t>beautiful purple foliage on this new hybrid</t>
  </si>
  <si>
    <t>Gunnera Manicata</t>
  </si>
  <si>
    <t>Giant Rhubarb</t>
  </si>
  <si>
    <t>one of the biggest and most spectacular plants</t>
  </si>
  <si>
    <t>Hosta Captains Adventure</t>
  </si>
  <si>
    <t>Shiny yellow leaves with a wide and dark green margin.</t>
  </si>
  <si>
    <t>Hosta Francee</t>
  </si>
  <si>
    <r>
      <t>'</t>
    </r>
    <r>
      <rPr>
        <i/>
        <sz val="9"/>
        <rFont val="Calibri"/>
        <family val="2"/>
      </rPr>
      <t>Francee</t>
    </r>
    <r>
      <rPr>
        <sz val="9"/>
        <rFont val="Calibri"/>
        <family val="2"/>
      </rPr>
      <t xml:space="preserve">' is one of the best white-margined </t>
    </r>
    <r>
      <rPr>
        <i/>
        <sz val="9"/>
        <rFont val="Calibri"/>
        <family val="2"/>
      </rPr>
      <t>hostas</t>
    </r>
  </si>
  <si>
    <t>rosette of exquisite lacy fronds</t>
  </si>
  <si>
    <t>Miscanthus Silver Spinner</t>
  </si>
  <si>
    <t>Silver Grass</t>
  </si>
  <si>
    <t>elegant, narrow silver and green foliage</t>
  </si>
  <si>
    <t>5L Perennials</t>
  </si>
  <si>
    <t>Papyrus</t>
  </si>
  <si>
    <t>Hemerocallis Assorted</t>
  </si>
  <si>
    <t>very compact variety with small flowers</t>
  </si>
  <si>
    <t>Delosperma Copper Pink</t>
  </si>
  <si>
    <t xml:space="preserve"> brilliant blanket of copper pink flowers</t>
  </si>
  <si>
    <t>Hosta Golden Tiara</t>
  </si>
  <si>
    <t>Houttuynia Cordata Variegata</t>
  </si>
  <si>
    <t>Harlequin Plant</t>
  </si>
  <si>
    <t>colourful foliage, citrus scented</t>
  </si>
  <si>
    <t>Lythrum Robin</t>
  </si>
  <si>
    <t>Loosestrife</t>
  </si>
  <si>
    <t>pretty intensely-hued pink blooms top bushy plants</t>
  </si>
  <si>
    <t>Rudbeckia Goldsturm</t>
  </si>
  <si>
    <t>among the best border perennials available</t>
  </si>
  <si>
    <t>Verbena Bonariensis</t>
  </si>
  <si>
    <t>Veronica Royal Candles</t>
  </si>
  <si>
    <t>Speedwell</t>
  </si>
  <si>
    <t>dense candle-like spikes of deep purple flowers</t>
  </si>
  <si>
    <t>Rodgersia Pinnata</t>
  </si>
  <si>
    <t>Pinnata</t>
  </si>
  <si>
    <t>attractive bronze/green foliage</t>
  </si>
  <si>
    <t>Coral Bells</t>
  </si>
  <si>
    <t>bronze- red foliage</t>
  </si>
  <si>
    <t>Heuchera 'Autumn Leaves'</t>
  </si>
  <si>
    <t>Hosta Pauls Glory</t>
  </si>
  <si>
    <t>heart shaped golden leaves with blue-green margins</t>
  </si>
  <si>
    <t>Lobelia Speciosa Fan Pink</t>
  </si>
  <si>
    <t xml:space="preserve"> Cardinal Flower</t>
  </si>
  <si>
    <t>upright spikes of large pink flowers</t>
  </si>
  <si>
    <t>Type</t>
  </si>
  <si>
    <t>Perennial</t>
  </si>
  <si>
    <t>Lifestyle</t>
  </si>
  <si>
    <t>Grass</t>
  </si>
  <si>
    <t>Hosta</t>
  </si>
  <si>
    <t>Fern</t>
  </si>
  <si>
    <t>2L Star</t>
  </si>
  <si>
    <t>5L Star</t>
  </si>
  <si>
    <t>2L Flower</t>
  </si>
  <si>
    <t>5L New</t>
  </si>
  <si>
    <t>5L Flower</t>
  </si>
  <si>
    <t>2L New</t>
  </si>
  <si>
    <t>Bamboo</t>
  </si>
  <si>
    <t>y</t>
  </si>
  <si>
    <t>Avail 2L</t>
  </si>
  <si>
    <t>Avail 5L</t>
  </si>
  <si>
    <t>Zantedeschia Alpina</t>
  </si>
  <si>
    <t>Zantedeschia Himalaya</t>
  </si>
  <si>
    <t>£8.40 Giant Rhubarb</t>
  </si>
  <si>
    <t>@ £4.95  - Egyptian Paper Grass</t>
  </si>
  <si>
    <t>Beaver Plants Order</t>
  </si>
  <si>
    <t>Subs:</t>
  </si>
  <si>
    <t>Barcodes</t>
  </si>
  <si>
    <t>Priced:</t>
  </si>
  <si>
    <t>2L Perennial</t>
  </si>
  <si>
    <t>2L Grass</t>
  </si>
  <si>
    <t>2L Fern</t>
  </si>
  <si>
    <t>2L Bamboo</t>
  </si>
  <si>
    <t>Trolley Deal</t>
  </si>
  <si>
    <t>5L Perennial</t>
  </si>
  <si>
    <t>5L Grass</t>
  </si>
  <si>
    <t>5L Fern</t>
  </si>
  <si>
    <t>10.5 Perennial</t>
  </si>
  <si>
    <t>10.5 Grass</t>
  </si>
  <si>
    <t>10.5 Lifestyle</t>
  </si>
  <si>
    <t>10.5 Hosta</t>
  </si>
  <si>
    <t>Category</t>
  </si>
  <si>
    <t>Product</t>
  </si>
  <si>
    <t>5021353013566 / 5021353014235</t>
  </si>
  <si>
    <t>Space</t>
  </si>
  <si>
    <t>Height</t>
  </si>
  <si>
    <t>Avail 10.5</t>
  </si>
  <si>
    <t>10.5 Star</t>
  </si>
  <si>
    <t>10.5 Flower</t>
  </si>
  <si>
    <t>10.5 New</t>
  </si>
  <si>
    <t>2L Height</t>
  </si>
  <si>
    <t>5L Height</t>
  </si>
  <si>
    <t>10.5 Height</t>
  </si>
  <si>
    <t>Shelves</t>
  </si>
  <si>
    <t>Trolley 1</t>
  </si>
  <si>
    <t>Start Balance</t>
  </si>
  <si>
    <t>Top Shelf</t>
  </si>
  <si>
    <t>Balance</t>
  </si>
  <si>
    <t>Correction</t>
  </si>
  <si>
    <t>Trolley 2</t>
  </si>
  <si>
    <t>Trolley 3</t>
  </si>
  <si>
    <t>Mixed Trolley Deal</t>
  </si>
  <si>
    <t>Golden Bistort</t>
  </si>
  <si>
    <t>bright green foliage and tufts of pink flowers</t>
  </si>
  <si>
    <t>Av</t>
  </si>
  <si>
    <t>Fl</t>
  </si>
  <si>
    <t>Asplenium Scolopendrium</t>
  </si>
  <si>
    <t>Harts Tongue Fern</t>
  </si>
  <si>
    <t>eyecatching , un-fernlike,versatile and native</t>
  </si>
  <si>
    <t>Asplenium Scolopendrium Crispum</t>
  </si>
  <si>
    <t>similar to Harts Tongue but with a serrated edge to the leaf</t>
  </si>
  <si>
    <t>Athyrium Filix-Femina</t>
  </si>
  <si>
    <t>Lady Fern</t>
  </si>
  <si>
    <t>graceful, bright green, filigree-like foliage</t>
  </si>
  <si>
    <t>Athyrium Lady in Red</t>
  </si>
  <si>
    <t>erect, bright red stems bearing light green fronds</t>
  </si>
  <si>
    <t>Athyrium Nipponicum Pictum</t>
  </si>
  <si>
    <t>Painted Fern</t>
  </si>
  <si>
    <t>one of the most colourful ferns</t>
  </si>
  <si>
    <t>Blechnum Spicant</t>
  </si>
  <si>
    <t>Hard Fern</t>
  </si>
  <si>
    <t>curious sword fern-like foliage, hardy and native</t>
  </si>
  <si>
    <t>Cyrtomium Fortunei</t>
  </si>
  <si>
    <t>Fortune's Holly Fern</t>
  </si>
  <si>
    <t>distinctive evergreen fern</t>
  </si>
  <si>
    <t>Dryopteris Linearis Polydactyl</t>
  </si>
  <si>
    <t>Linear Male Fern</t>
  </si>
  <si>
    <t>tall, lacy fronds with a frizzled texture</t>
  </si>
  <si>
    <t>Dryopteris Affinis</t>
  </si>
  <si>
    <t>Scaly Male Fern</t>
  </si>
  <si>
    <t>handsome shuttlecock-type fern</t>
  </si>
  <si>
    <t>Dryopteris Affinis Crispa</t>
  </si>
  <si>
    <t>Dwarf Scaly Fern</t>
  </si>
  <si>
    <t>dwarf, offering twisted congested fronds</t>
  </si>
  <si>
    <t>Dryopteris Affinis 'Cristata the King'</t>
  </si>
  <si>
    <t>King Of The Ferns</t>
  </si>
  <si>
    <t>tall elegant cresting fronds</t>
  </si>
  <si>
    <t>Dryopteris Felix Mas</t>
  </si>
  <si>
    <t>Male Fern</t>
  </si>
  <si>
    <t>deciduous with shuttlecock-like fronds</t>
  </si>
  <si>
    <t>Dryopteris Wallichiana</t>
  </si>
  <si>
    <t>Alpine Wood Fern</t>
  </si>
  <si>
    <t>a magnificent fern from the Himalayas</t>
  </si>
  <si>
    <t>Matteuccia Struthiopteris</t>
  </si>
  <si>
    <t xml:space="preserve">    Ostrich fern</t>
  </si>
  <si>
    <t>large specimen, pale green, lacy fronds</t>
  </si>
  <si>
    <t>Onoclea senesibilis</t>
  </si>
  <si>
    <t>Sensitive Fern</t>
  </si>
  <si>
    <t>broad, light green, pinnate fronds to 60cm in length</t>
  </si>
  <si>
    <t>Osmunda Regalis</t>
  </si>
  <si>
    <t>Royal Fern</t>
  </si>
  <si>
    <t>regal, stunning fern with bright green fronds</t>
  </si>
  <si>
    <t>Polypodium Vulgare</t>
  </si>
  <si>
    <t>Common Polypody</t>
  </si>
  <si>
    <t>hardy evergreen European fern</t>
  </si>
  <si>
    <t>Polystichum Aculeatum</t>
  </si>
  <si>
    <t>Hardy Shield Fern</t>
  </si>
  <si>
    <t>evergreen, tapering, ladder-like leaves</t>
  </si>
  <si>
    <t>Polystichum Polyblepharum</t>
  </si>
  <si>
    <t>Tassel Fern</t>
  </si>
  <si>
    <t>hardy evergreen Asian fern</t>
  </si>
  <si>
    <t>large evergreen fronds, native to the UK</t>
  </si>
  <si>
    <t>Polystichum Setiferum Herrenhausen</t>
  </si>
  <si>
    <t>Polystichum Tsus-Simense</t>
  </si>
  <si>
    <t>Korean Rock Fern</t>
  </si>
  <si>
    <t>neat rosettes of dark green fronds</t>
  </si>
  <si>
    <t>Fargesia Blue Dragon</t>
  </si>
  <si>
    <t>Deco Pot</t>
  </si>
  <si>
    <t>blue stemmed clumping bamboo</t>
  </si>
  <si>
    <t>Fargesia Gansu</t>
  </si>
  <si>
    <t>stunning stem structure &amp; delightful evergreen foliage. </t>
  </si>
  <si>
    <t>Fargesia Pingwu</t>
  </si>
  <si>
    <t>upright erect clump forming bamboo</t>
  </si>
  <si>
    <t>Phyllostachys Aurea</t>
  </si>
  <si>
    <t>green stems maturing to yellow</t>
  </si>
  <si>
    <t>Phyllostachys Bisettii</t>
  </si>
  <si>
    <t>handsome green caned bamboo</t>
  </si>
  <si>
    <t>Phyllostachys Glauca</t>
  </si>
  <si>
    <t>Glauca</t>
  </si>
  <si>
    <t>rare clump-forming phyllostachys</t>
  </si>
  <si>
    <t>Phyllostachys Nigra</t>
  </si>
  <si>
    <t>Nigra</t>
  </si>
  <si>
    <t>the most poular of all bamboos</t>
  </si>
  <si>
    <t>Phyllostachys Vivax Aureocaulis</t>
  </si>
  <si>
    <t>Vivax Aureocaulis</t>
  </si>
  <si>
    <t>the largest of the golden bamboos</t>
  </si>
  <si>
    <t>Pleioblastus Pygmaeus  Dwarf Bamboo</t>
  </si>
  <si>
    <t>Dwarf Bamboo</t>
  </si>
  <si>
    <t>evergreen and dwarf, quick to establish</t>
  </si>
  <si>
    <t>Pleioblastus Variegatus</t>
  </si>
  <si>
    <t>Dwarf White Stripe Bamboo</t>
  </si>
  <si>
    <t>green leaves with stark white variegation</t>
  </si>
  <si>
    <t>Sasa Tsuboiana</t>
  </si>
  <si>
    <t>Japanese Bamboo</t>
  </si>
  <si>
    <t>more compact than Phyllostachys</t>
  </si>
  <si>
    <t>Sasaella Albostriata</t>
  </si>
  <si>
    <t>Striped Dwarf</t>
  </si>
  <si>
    <t>striking, variegated, large leaved bamboo</t>
  </si>
  <si>
    <t>Acorus Gramineus 'Golden Delight'</t>
  </si>
  <si>
    <t>Golden Rush</t>
  </si>
  <si>
    <t>wonderful fans of golden evergeen foliage</t>
  </si>
  <si>
    <t>Acorus Gramineus Variegatus</t>
  </si>
  <si>
    <t>Variegated Rush</t>
  </si>
  <si>
    <t>pretty, evergreen foliage plant</t>
  </si>
  <si>
    <t>Arundo Donax</t>
  </si>
  <si>
    <t>Giant Reed</t>
  </si>
  <si>
    <t>large evergreen, bamboo-like grass, green foliage</t>
  </si>
  <si>
    <t>Arundo Donax Variegata</t>
  </si>
  <si>
    <t>Giant Variegated Reed</t>
  </si>
  <si>
    <t>striking variegated grass, from South Europe</t>
  </si>
  <si>
    <t>Arundo Donax Versicolor</t>
  </si>
  <si>
    <t>Golden Provencal Reed</t>
  </si>
  <si>
    <t>striking golden yellow foliage</t>
  </si>
  <si>
    <t>Calamagrostis Karl Foerster</t>
  </si>
  <si>
    <t>Feather Reed-Grass</t>
  </si>
  <si>
    <t>bronze feathery panicles over erect green foliage</t>
  </si>
  <si>
    <t>Carex Amazon Mist</t>
  </si>
  <si>
    <t>Sedge</t>
  </si>
  <si>
    <t>unusual and eye-catching light green arching foliage</t>
  </si>
  <si>
    <t>Carex Buchananii</t>
  </si>
  <si>
    <t>Leatherleaf Sedge</t>
  </si>
  <si>
    <t>narrow reddish-brown leaves, curled tips</t>
  </si>
  <si>
    <t>Carex comans Bronco</t>
  </si>
  <si>
    <t>Bronze Sedge</t>
  </si>
  <si>
    <t>bronze leaved sedge heralding from New Zealand</t>
  </si>
  <si>
    <t>Carex Comans Milk Chocolate</t>
  </si>
  <si>
    <t>slender chocolate brown foliage with a delicate pink tinge</t>
  </si>
  <si>
    <t>Carex Elata Aurea</t>
  </si>
  <si>
    <t>Golden Sedge</t>
  </si>
  <si>
    <t>butter, yellow and green foliage one of the best sedges</t>
  </si>
  <si>
    <t>Carex Everest</t>
  </si>
  <si>
    <t>Japanese Sedge</t>
  </si>
  <si>
    <t>narrow green leaves with crisp white margins</t>
  </si>
  <si>
    <t>Carex Evergold</t>
  </si>
  <si>
    <t>Evergold Sedge</t>
  </si>
  <si>
    <t>evergreen, green and yellow variegated foliage</t>
  </si>
  <si>
    <t>Carex Everillo</t>
  </si>
  <si>
    <t>Everillo Sedge</t>
  </si>
  <si>
    <t>bright, lime-green cascading foliage</t>
  </si>
  <si>
    <t>Carex howardii Phoenix Green</t>
  </si>
  <si>
    <t>Green Sedge</t>
  </si>
  <si>
    <t>sturdy, upright narrow leaved sedge</t>
  </si>
  <si>
    <t>Carex Ice Dance</t>
  </si>
  <si>
    <t>shiny green leaves with prominent white edges</t>
  </si>
  <si>
    <t>Carex Muskingumensis Variegata</t>
  </si>
  <si>
    <t>Variegated Palm Sedge</t>
  </si>
  <si>
    <t>striped fan-like foliage</t>
  </si>
  <si>
    <t>Carex Panicea</t>
  </si>
  <si>
    <t xml:space="preserve"> Carnation Sedge</t>
  </si>
  <si>
    <t>compact glaucous foliage</t>
  </si>
  <si>
    <t>Carex Pendula</t>
  </si>
  <si>
    <t>Pendulous Sedge</t>
  </si>
  <si>
    <t>native sedge with wonderful green pendulous foliage</t>
  </si>
  <si>
    <t>Carex Red Rooster</t>
  </si>
  <si>
    <t xml:space="preserve">    Leather leaf sedge</t>
  </si>
  <si>
    <t>stunning copper-bronze foliage</t>
  </si>
  <si>
    <t>Carex Rekohu Sunrise</t>
  </si>
  <si>
    <t>Stripes Tataki Grass</t>
  </si>
  <si>
    <t>wonderful new striped grass from N.Z.</t>
  </si>
  <si>
    <t>Carex Riparia Variegata</t>
  </si>
  <si>
    <t>Variegated Sedge</t>
  </si>
  <si>
    <t>unusual white/cream variegation</t>
  </si>
  <si>
    <t>Carex Silver Sceptre</t>
  </si>
  <si>
    <t>Silver Sedge</t>
  </si>
  <si>
    <t>low growing green and cream variegated foliage</t>
  </si>
  <si>
    <t>Carex Testacea</t>
  </si>
  <si>
    <t>NZ Sedge</t>
  </si>
  <si>
    <t>olive green foliage turning coppery orange in autumn</t>
  </si>
  <si>
    <t>Carex 'Whirling Sparkler'</t>
  </si>
  <si>
    <t>Whirling Sparkler Sedge</t>
  </si>
  <si>
    <t>beautiful feature grass from japan</t>
  </si>
  <si>
    <t>Cortaderia Silver Star</t>
  </si>
  <si>
    <t>Dwarf Silver Pampus</t>
  </si>
  <si>
    <t>compact, free-flowering new hybrid</t>
  </si>
  <si>
    <t>Cortaderia Pink Feather</t>
  </si>
  <si>
    <t>Pampas</t>
  </si>
  <si>
    <t>30 cm. plus plumes of rose-pink flowers</t>
  </si>
  <si>
    <t>Cortaderia Pumilla</t>
  </si>
  <si>
    <t xml:space="preserve"> Dwarf Pampas Grass</t>
  </si>
  <si>
    <t>very popular native of Latin America</t>
  </si>
  <si>
    <t>Cortaderia selloana White Plume</t>
  </si>
  <si>
    <t>stunning white flower plumes over slender green foliage</t>
  </si>
  <si>
    <t>Deschampsia Tatra Gold</t>
  </si>
  <si>
    <t>Wavy Hair Grass</t>
  </si>
  <si>
    <t>stunning bright chartreuse, golden green foliage</t>
  </si>
  <si>
    <t>Elymus Magellancus</t>
  </si>
  <si>
    <t>Blue Wheatgrass</t>
  </si>
  <si>
    <t>superb silver-blue, broad foliage</t>
  </si>
  <si>
    <t>Festuca Amethystina</t>
  </si>
  <si>
    <t>Tufted Fescue</t>
  </si>
  <si>
    <t>evergreen tufts of blue/green needle-like foliage</t>
  </si>
  <si>
    <t xml:space="preserve">Festuca Glauca </t>
  </si>
  <si>
    <t>tight mound of steely blue, needle-like foliage</t>
  </si>
  <si>
    <t>Festuca Glaucantha</t>
  </si>
  <si>
    <t>Festuca Pic Carlit</t>
  </si>
  <si>
    <t>Bearskin Fescue</t>
  </si>
  <si>
    <t>vivid green, needle-like foliage, semi evergreen and compact</t>
  </si>
  <si>
    <t>Imperata Red Barron</t>
  </si>
  <si>
    <t>Japanese Blood Grass</t>
  </si>
  <si>
    <t>green and deep red topped foliage</t>
  </si>
  <si>
    <t>Juncus Effusus</t>
  </si>
  <si>
    <t>Twisted Arrows</t>
  </si>
  <si>
    <t>offering both straight and twisted foliage</t>
  </si>
  <si>
    <t>Koeleria Glauca</t>
  </si>
  <si>
    <t>Blue  Hair Grass</t>
  </si>
  <si>
    <t>low dense tussocks of very blue-grey leaves</t>
  </si>
  <si>
    <t>Leymus Arenarius</t>
  </si>
  <si>
    <t>Lyme Grass</t>
  </si>
  <si>
    <t>native grass with grey/blue foliage</t>
  </si>
  <si>
    <t>Luzula Nivea</t>
  </si>
  <si>
    <t>Snowy Woodrush</t>
  </si>
  <si>
    <t>snowy white flowers add light  to the shady garden</t>
  </si>
  <si>
    <t>Luzula Pilosa Igel</t>
  </si>
  <si>
    <t>Hairy Woodrush</t>
  </si>
  <si>
    <t>Short and compact form of luzula</t>
  </si>
  <si>
    <t>Luzula Sylvatica</t>
  </si>
  <si>
    <t>Great Woodrush</t>
  </si>
  <si>
    <t>tiny brown flowers over flat, linear leaves</t>
  </si>
  <si>
    <t>Miscanthus 'Adagio'</t>
  </si>
  <si>
    <t>Dwarf Eulalia</t>
  </si>
  <si>
    <t>compact and early flowering</t>
  </si>
  <si>
    <t>Miscanthus Caberet</t>
  </si>
  <si>
    <t>fantastic cream and white foliage</t>
  </si>
  <si>
    <t>Miscanthus Cosmopolitan</t>
  </si>
  <si>
    <t>Miscanthus Floridulus</t>
  </si>
  <si>
    <t>Giant Miscanthus</t>
  </si>
  <si>
    <t xml:space="preserve">monstrous grass growing to 3 metres </t>
  </si>
  <si>
    <t>Miscanthus 'Gold Bar'</t>
  </si>
  <si>
    <t>Gold Bar Grass</t>
  </si>
  <si>
    <t>far more striking than Zebrinus</t>
  </si>
  <si>
    <t>Miscanthus Gracillimus</t>
  </si>
  <si>
    <t>statuesque grass, with arching, slender foliage</t>
  </si>
  <si>
    <t>Miscanthus Herman Mussel</t>
  </si>
  <si>
    <t>upright stems, with arching dark foliage</t>
  </si>
  <si>
    <t>Miscanthus Hinjo</t>
  </si>
  <si>
    <t>Zebra Grass</t>
  </si>
  <si>
    <t>compact form of Zebra Grass</t>
  </si>
  <si>
    <t>Miscanthus Hybrid</t>
  </si>
  <si>
    <t>showy, architectural grass from Japan</t>
  </si>
  <si>
    <t>Miscanthus Kleine Silberspinne</t>
  </si>
  <si>
    <t>Chinese Silver Grass</t>
  </si>
  <si>
    <t>compact, narrow, silvery leaves, red plumes</t>
  </si>
  <si>
    <t>Miscanthus Little Zebra</t>
  </si>
  <si>
    <t>Dwarf Zebra Grass</t>
  </si>
  <si>
    <t>wonderful new dwarf hybrid</t>
  </si>
  <si>
    <t>Miscanthus Malepartus</t>
  </si>
  <si>
    <t>lovely, narrow arching foliage</t>
  </si>
  <si>
    <t>Miscanthus Morning Light</t>
  </si>
  <si>
    <t>Maiden Grass</t>
  </si>
  <si>
    <t>slender, green and cream variegated upright foliage</t>
  </si>
  <si>
    <t>Miscanthus Puenktchen</t>
  </si>
  <si>
    <t>Little Dot Grass</t>
  </si>
  <si>
    <t>similar to strictus but more compact</t>
  </si>
  <si>
    <t>Miscanthus Purpurescans</t>
  </si>
  <si>
    <t>Purple Flame Grass</t>
  </si>
  <si>
    <t xml:space="preserve">compact, foliage changes from green to purple </t>
  </si>
  <si>
    <t>Miscanthus Silver Feather</t>
  </si>
  <si>
    <t>structural form with silver-pink plumes</t>
  </si>
  <si>
    <t>Miscanthus Sinensis</t>
  </si>
  <si>
    <t>strong variety, 1.5m</t>
  </si>
  <si>
    <t>Miscanthus Strictus</t>
  </si>
  <si>
    <t>Porcupine Grass</t>
  </si>
  <si>
    <t>often mistaken for zebra grass, more erect</t>
  </si>
  <si>
    <t>Miscanthus Undine</t>
  </si>
  <si>
    <t>Undine Grass</t>
  </si>
  <si>
    <t>exquisite white veined leaves</t>
  </si>
  <si>
    <t>Miscanthus Zebrinus</t>
  </si>
  <si>
    <t>the most popular of the miscanthus family</t>
  </si>
  <si>
    <t>Miscanthus'Variegatus</t>
  </si>
  <si>
    <t>Japanese Silver Grass</t>
  </si>
  <si>
    <t>strong variegated white and green foliage</t>
  </si>
  <si>
    <t>Ophiopogon Minor</t>
  </si>
  <si>
    <t>Dwarf Mondo Grass</t>
  </si>
  <si>
    <t>diminutive tough evergreen perennial</t>
  </si>
  <si>
    <t>Ophiopogon Nigrescans</t>
  </si>
  <si>
    <t>Black Mondo Grass</t>
  </si>
  <si>
    <t>probably the darkest foliage of all plants</t>
  </si>
  <si>
    <t>Ophiopogon Silver Mist</t>
  </si>
  <si>
    <t>Silver Mondo Grass</t>
  </si>
  <si>
    <t>narrow dark green foliage with silver variegation</t>
  </si>
  <si>
    <t>Panicum Heavy Metal</t>
  </si>
  <si>
    <t>very upright grey green foliage</t>
  </si>
  <si>
    <t>Panicum Squaw</t>
  </si>
  <si>
    <t>bright green leaves, turning blood red in autumn</t>
  </si>
  <si>
    <t>Panicum virgatum 'Prairie Sky'</t>
  </si>
  <si>
    <t>beautiful blue upright foliage</t>
  </si>
  <si>
    <t>Panicum virgatum 'Rehbraun'</t>
  </si>
  <si>
    <t>mid-green leaves turning rich reddish-purple in autumn</t>
  </si>
  <si>
    <t>blue-green colour, turning violet &amp; burgundy in summer.</t>
  </si>
  <si>
    <t>beautiful linear leaves foliage with purple panicles</t>
  </si>
  <si>
    <t>Pennisetum Alopecuroides Moudry</t>
  </si>
  <si>
    <t>bottlebrush spikes of dark purple-black</t>
  </si>
  <si>
    <t>Pennisetum Alopecuroides Viridescens</t>
  </si>
  <si>
    <t>commonly called black fointain grass</t>
  </si>
  <si>
    <t>Pennisetum Hameln</t>
  </si>
  <si>
    <t>older hybrid, still the best compact form</t>
  </si>
  <si>
    <t>Pennisetum Hameln Gold</t>
  </si>
  <si>
    <t>beautiful golden fountain grass</t>
  </si>
  <si>
    <t>Pennisetum Little Bunny</t>
  </si>
  <si>
    <t>Dwarf Fountain Grass</t>
  </si>
  <si>
    <t>very compact form</t>
  </si>
  <si>
    <t>Pennisetum Purple Barron</t>
  </si>
  <si>
    <t>Purple Fountain Grass</t>
  </si>
  <si>
    <t>large, red/purple foliage, popular grass</t>
  </si>
  <si>
    <t>Pennisetum Red Bunny Tails</t>
  </si>
  <si>
    <t>red blooms over green foliage</t>
  </si>
  <si>
    <t>Pennisetum Red Riding Hood</t>
  </si>
  <si>
    <t>dwarf form, beautiful red foliage</t>
  </si>
  <si>
    <t>Pennisetum Rubrum</t>
  </si>
  <si>
    <t>Red Fountain Grass</t>
  </si>
  <si>
    <t>stunning grass with rich burgundy foliage</t>
  </si>
  <si>
    <t>Pennisetum Rubrum Dwarf</t>
  </si>
  <si>
    <t>Dwarf Red Fountain Grass</t>
  </si>
  <si>
    <t>stunning dwarf grass with strong burgandy foliage</t>
  </si>
  <si>
    <t>Phalaris Feesey</t>
  </si>
  <si>
    <t>Phragmites Variegata</t>
  </si>
  <si>
    <t>Candy Stripe Reed</t>
  </si>
  <si>
    <t>golden striped leaves, moisture loving</t>
  </si>
  <si>
    <t>Scirpus Cernuus</t>
  </si>
  <si>
    <t>Fibre Optic Grass</t>
  </si>
  <si>
    <t>highly attractive, light green foliage, tiny flowerheads</t>
  </si>
  <si>
    <t>Spartina Pectinata Aureomarginata</t>
  </si>
  <si>
    <t>Cord Grass</t>
  </si>
  <si>
    <t>beautiful golden grass, ideal for specimen planting</t>
  </si>
  <si>
    <t>Spodiopogon</t>
  </si>
  <si>
    <t>Siberian Greybeard</t>
  </si>
  <si>
    <t>bamboo like ornamental grass</t>
  </si>
  <si>
    <t>Stipa Arundinacea</t>
  </si>
  <si>
    <t>Pheasants Tail Grass</t>
  </si>
  <si>
    <t>wonderful evergreen grass, with tints of orange</t>
  </si>
  <si>
    <t>Stipa Gigantica</t>
  </si>
  <si>
    <t>Golden Oats</t>
  </si>
  <si>
    <t>robust, tufted evergreen folige, growing to 2m.</t>
  </si>
  <si>
    <t>Uncinia Rubra</t>
  </si>
  <si>
    <t>Red Hook Sedge</t>
  </si>
  <si>
    <t>tussocks of red foliage all year round</t>
  </si>
  <si>
    <t>Hosta Abiqua Drinking Gourd</t>
  </si>
  <si>
    <t>very large cupped leaf foliage, blue green.</t>
  </si>
  <si>
    <t>Hosta Albomarginata</t>
  </si>
  <si>
    <t>dark green foliage with undulating cream margins</t>
  </si>
  <si>
    <t>Hosta Albopicta</t>
  </si>
  <si>
    <t>amazing gold and green variegated foliage</t>
  </si>
  <si>
    <t>Hosta Anne</t>
  </si>
  <si>
    <t>dark green thick leaves with wide creamy margin.</t>
  </si>
  <si>
    <t>Hosta Aureomarginata</t>
  </si>
  <si>
    <t>bright green foliage with creamy yellow edges</t>
  </si>
  <si>
    <t>Hosta Avocado</t>
  </si>
  <si>
    <t>large, dense clumps and thrives in partial shade</t>
  </si>
  <si>
    <t>Hosta Banana Kid</t>
  </si>
  <si>
    <t>lime green foliage with pale lavender flowers</t>
  </si>
  <si>
    <t>Hosta Brim Cup</t>
  </si>
  <si>
    <t>cupped leaves of green with a creamy margin</t>
  </si>
  <si>
    <t>Hosta Chain Lightning</t>
  </si>
  <si>
    <t>Grey-green leaves with an irregular yellowish-white center.</t>
  </si>
  <si>
    <t>Hosta Climax</t>
  </si>
  <si>
    <t>large corrugated vase-shaped showy leaves</t>
  </si>
  <si>
    <t>Hosta Dinner Jacket</t>
  </si>
  <si>
    <t>golden leaves with glaucous blue margins</t>
  </si>
  <si>
    <t>Hosta Don Stevens</t>
  </si>
  <si>
    <t>yellow-white margin &amp; red dotted scapes.</t>
  </si>
  <si>
    <t>Hosta Dream Queen</t>
  </si>
  <si>
    <t>thick blue leaves with a narrow yellow centre</t>
  </si>
  <si>
    <t>Hosta Elegans</t>
  </si>
  <si>
    <t>large heart-shaped blue grey leaves</t>
  </si>
  <si>
    <t>Hosta Emerald Charger</t>
  </si>
  <si>
    <t>Hosta Firn Line</t>
  </si>
  <si>
    <t>grey-green leaves with creamy-white margins.</t>
  </si>
  <si>
    <t>Hosta First Frost</t>
  </si>
  <si>
    <t>blue-green leaves with creamy -yellow margins</t>
  </si>
  <si>
    <r>
      <t>'</t>
    </r>
    <r>
      <rPr>
        <i/>
        <sz val="9"/>
        <rFont val="Calibri"/>
        <family val="2"/>
        <scheme val="minor"/>
      </rPr>
      <t>Francee</t>
    </r>
    <r>
      <rPr>
        <sz val="9"/>
        <rFont val="Calibri"/>
        <family val="2"/>
        <scheme val="minor"/>
      </rPr>
      <t xml:space="preserve">' is one of the best white-margined </t>
    </r>
    <r>
      <rPr>
        <i/>
        <sz val="9"/>
        <rFont val="Calibri"/>
        <family val="2"/>
        <scheme val="minor"/>
      </rPr>
      <t>hostas</t>
    </r>
  </si>
  <si>
    <t>Hosta Frances Williams</t>
  </si>
  <si>
    <t>Hosta Ginko Craig</t>
  </si>
  <si>
    <t>attractive white margined variety</t>
  </si>
  <si>
    <t>rounded green leaves with golden margins</t>
  </si>
  <si>
    <t>Hosta Ground Master</t>
  </si>
  <si>
    <t>oval green leaves with creamy yellow margin</t>
  </si>
  <si>
    <t>apple green foliage bordered by dark green margins</t>
  </si>
  <si>
    <t>Hosta Guinevere</t>
  </si>
  <si>
    <t>yellow-variegated leaves, with deep green margins</t>
  </si>
  <si>
    <t>Hosta Hadspen blue</t>
  </si>
  <si>
    <t>vivid glaucous blue foliage</t>
  </si>
  <si>
    <t>Hosta Halcyon</t>
  </si>
  <si>
    <t>blue-grey leaves and short spikes of lilac flowers</t>
  </si>
  <si>
    <t>Hosta Hyacintha</t>
  </si>
  <si>
    <t>dwarf hybrid with blue/green foliage</t>
  </si>
  <si>
    <t>Hosta Lady Guinevere</t>
  </si>
  <si>
    <t>lavender-purple flowers and grows in sun/shade</t>
  </si>
  <si>
    <t>Hosta mama mia</t>
  </si>
  <si>
    <t>wide yellow margins over green</t>
  </si>
  <si>
    <t>Hosta Orange Marmalade</t>
  </si>
  <si>
    <t xml:space="preserve"> blue-green margin, opening with a yellow centre</t>
  </si>
  <si>
    <t>Hosta Paradigm</t>
  </si>
  <si>
    <t>gold leaves have wide, dark blue-green margins.</t>
  </si>
  <si>
    <t>Hosta Patriot</t>
  </si>
  <si>
    <t xml:space="preserve">arguably the best white edged hosta </t>
  </si>
  <si>
    <t>Hosta Pizzazz</t>
  </si>
  <si>
    <t>Blue with creamy later and a white edge.</t>
  </si>
  <si>
    <t>Hosta Royal Standard</t>
  </si>
  <si>
    <t>attractive green foliage with scented white flowers</t>
  </si>
  <si>
    <t>Hosta Sandhill Crane</t>
  </si>
  <si>
    <t>slender green leaves with small purple flowers</t>
  </si>
  <si>
    <t>Hosta Sei. Elegans</t>
  </si>
  <si>
    <t>glaucous, blue-grey foliage</t>
  </si>
  <si>
    <t>Hosta Sei. Frances Williams</t>
  </si>
  <si>
    <t>glaucous, blue-grey foliage, with a wide yellow border</t>
  </si>
  <si>
    <t>Hosta Seiboldiana</t>
  </si>
  <si>
    <t>large blue/grey, heart shaped foliage</t>
  </si>
  <si>
    <t>Hosta Sting</t>
  </si>
  <si>
    <t>thick dark green leaves with a white flamed center</t>
  </si>
  <si>
    <t>Hosta Stirfry</t>
  </si>
  <si>
    <t>dark green shiny leaves with a wavy margin</t>
  </si>
  <si>
    <t>Hosta Sugar Daddy</t>
  </si>
  <si>
    <t>Round puckered blue leaves with a yellow margin.</t>
  </si>
  <si>
    <t>Hosta Sum and Substance</t>
  </si>
  <si>
    <t>large golden foliage on probably the biggest hosta</t>
  </si>
  <si>
    <t>Hosta Tokudama Flavocircinalis</t>
  </si>
  <si>
    <t>Blue with yellow a margin and heavily rugose.</t>
  </si>
  <si>
    <t>Hosta True Blue</t>
  </si>
  <si>
    <t>heart- shaped, puckered blue leaves</t>
  </si>
  <si>
    <t>Hosta Whirly Pop</t>
  </si>
  <si>
    <t>dark blue leaves with a narrow white center</t>
  </si>
  <si>
    <t>Hosta Wolverine</t>
  </si>
  <si>
    <t>Acanthus Mollis</t>
  </si>
  <si>
    <t>Bear's Breeches</t>
  </si>
  <si>
    <t>enormous, deeply lobed leaves</t>
  </si>
  <si>
    <t>Actaea Black Negligee</t>
  </si>
  <si>
    <t>Bugbane</t>
  </si>
  <si>
    <t>lacy black foliage, fragrant white flowers</t>
  </si>
  <si>
    <t>Aeonium Schwarzkopf</t>
  </si>
  <si>
    <t>Black Tree Aeonium</t>
  </si>
  <si>
    <t>large, black rosettes, succulent and unusual</t>
  </si>
  <si>
    <t>Agapanthus  Hybrid</t>
  </si>
  <si>
    <t>African Lily</t>
  </si>
  <si>
    <t>varying shades of blue and white flowers</t>
  </si>
  <si>
    <t>Agapanthus Africanus</t>
  </si>
  <si>
    <t>large blue flowers over green foliage</t>
  </si>
  <si>
    <t>Agapanthus Africanus 'Alba'</t>
  </si>
  <si>
    <t>large white flowers over green foliage</t>
  </si>
  <si>
    <t>Agapanthus Arctic Star</t>
  </si>
  <si>
    <t>large pure white flowers over strappy foliage</t>
  </si>
  <si>
    <t>Agapanthus Back in Black</t>
  </si>
  <si>
    <t>stunning new variety, blue flowers on black stems</t>
  </si>
  <si>
    <t>Agapanthus Blue</t>
  </si>
  <si>
    <t>Agapanthus Blue Giant</t>
  </si>
  <si>
    <t>Very tall growing form with enormous blue flower heads</t>
  </si>
  <si>
    <t>Agapanthus Blue Storm</t>
  </si>
  <si>
    <t>minimum 3-5 buds with more coming</t>
  </si>
  <si>
    <t>Agapanthus Brilliant Blue</t>
  </si>
  <si>
    <t>intense deep blue flowers</t>
  </si>
  <si>
    <t>Agapanthus Columba</t>
  </si>
  <si>
    <t>large umbels of blue flowers</t>
  </si>
  <si>
    <t>Agapanthus Headbourne Hybrid</t>
  </si>
  <si>
    <t>blue flowers over handsome, grey-green, strappy foliage</t>
  </si>
  <si>
    <t>Agapanthus Hybrid Blue</t>
  </si>
  <si>
    <t>Agapanthus Hybrid White</t>
  </si>
  <si>
    <t>white lily of the Nile</t>
  </si>
  <si>
    <t>Agapanthus Intermedia</t>
  </si>
  <si>
    <t>stunning pale blue flowers</t>
  </si>
  <si>
    <t>Agapanthus Lapis Lazuli</t>
  </si>
  <si>
    <t>small heads of light blue flowers</t>
  </si>
  <si>
    <t>Agapanthus Lavender Haze</t>
  </si>
  <si>
    <t>large umbels of lavender blue</t>
  </si>
  <si>
    <t>Agapanthus Nana Blue</t>
  </si>
  <si>
    <t>extremeley compact with abundance of blue flowers</t>
  </si>
  <si>
    <t>Agapanthus Northern Star</t>
  </si>
  <si>
    <t>wonderful violet-blue flowers</t>
  </si>
  <si>
    <t>Agapanthus Polar Ice</t>
  </si>
  <si>
    <t>large heads of starry white flowers</t>
  </si>
  <si>
    <t>Agapanthus Rotterdam</t>
  </si>
  <si>
    <t>beautiful pale blue flowers over green foliage</t>
  </si>
  <si>
    <t>Agapanthus Sea Coral</t>
  </si>
  <si>
    <t>semi dwarf with pink tinged white flowers</t>
  </si>
  <si>
    <t>Agapanthus Snow Cloud</t>
  </si>
  <si>
    <t>floriferous, large pure white flowers</t>
  </si>
  <si>
    <t>Agapanthus Stockholm</t>
  </si>
  <si>
    <t>large umbels of white flowers</t>
  </si>
  <si>
    <t>Agapanthus Streamline</t>
  </si>
  <si>
    <t>two tone blue flowers</t>
  </si>
  <si>
    <t>Agapanthus Sunfield</t>
  </si>
  <si>
    <t>gigantic sized pale blue flowerheads</t>
  </si>
  <si>
    <t>Agapanthus Variegata</t>
  </si>
  <si>
    <t>handsome cream variegated foliage and pale blue flowers</t>
  </si>
  <si>
    <t>Agapanthus Windsor Grey</t>
  </si>
  <si>
    <t>very pale lilac-blue flowers</t>
  </si>
  <si>
    <t>Aloe Vera</t>
  </si>
  <si>
    <t>Medicinal Aloe</t>
  </si>
  <si>
    <t>medicinal succulent from Africa</t>
  </si>
  <si>
    <t>Aralia Cordata Sun King</t>
  </si>
  <si>
    <t>Japanese Spikenard</t>
  </si>
  <si>
    <t>golden foliage over dark stems, white flowers</t>
  </si>
  <si>
    <t>Astelia Banksii</t>
  </si>
  <si>
    <t>Bush Flax</t>
  </si>
  <si>
    <t>narrow, evergreen, shiny silver foliage</t>
  </si>
  <si>
    <t>Astelia Westland</t>
  </si>
  <si>
    <t>silvery-bronze foliage turning red in Winter</t>
  </si>
  <si>
    <t>Astellia Silver Spear</t>
  </si>
  <si>
    <t>eyecatching silver strap-like leaves</t>
  </si>
  <si>
    <t>Beschorneria 'Quicksilver'</t>
  </si>
  <si>
    <t>Silver Leaved Beschorneria</t>
  </si>
  <si>
    <t>hardy yucca like plant from mexico</t>
  </si>
  <si>
    <t>Beschorneria Septentrioncelis</t>
  </si>
  <si>
    <t>False Red Agave</t>
  </si>
  <si>
    <t>soft grey yucca-like blue foliage</t>
  </si>
  <si>
    <t>Calla Allure</t>
  </si>
  <si>
    <t>Arum Lily</t>
  </si>
  <si>
    <t>many stunning wine-red blooms</t>
  </si>
  <si>
    <t>Calla Black</t>
  </si>
  <si>
    <t>Black Arum Lily</t>
  </si>
  <si>
    <t>almost black flower, new hybrid, young plants</t>
  </si>
  <si>
    <t>Calla Black Star</t>
  </si>
  <si>
    <t>mysterious dark purple almost black flowers</t>
  </si>
  <si>
    <t>Calla Crystal Blush</t>
  </si>
  <si>
    <t>white flowers with subtle pink colouring</t>
  </si>
  <si>
    <t>Calla Dwarf White</t>
  </si>
  <si>
    <t>compact foliage with lots of white flowers</t>
  </si>
  <si>
    <t>Calla 'Galaxy'</t>
  </si>
  <si>
    <t>Purple Arum Lily</t>
  </si>
  <si>
    <t>compact foliage with beautiful purple flowers</t>
  </si>
  <si>
    <t xml:space="preserve">Calla Passion Fruit  </t>
  </si>
  <si>
    <t>rich golden flowers with orange streaks</t>
  </si>
  <si>
    <t>Calla Picasso</t>
  </si>
  <si>
    <t>Auve Arum Lily</t>
  </si>
  <si>
    <t>mauve/purple and contrasting white highlighted flower</t>
  </si>
  <si>
    <t>Calla Pink</t>
  </si>
  <si>
    <t>Pink Arum Lily</t>
  </si>
  <si>
    <t>very subtle pink flower over green foliage</t>
  </si>
  <si>
    <t>Calla Red</t>
  </si>
  <si>
    <t>Red Arum Lily</t>
  </si>
  <si>
    <t>pretty pinkish/red flowers</t>
  </si>
  <si>
    <t>Calla Serrada</t>
  </si>
  <si>
    <t>Yellow Arum Lily</t>
  </si>
  <si>
    <t>strong yellow flowers, contrasting green foliage</t>
  </si>
  <si>
    <t>Canna Ambassador</t>
  </si>
  <si>
    <t>large white flowers over mid-green foliage</t>
  </si>
  <si>
    <t>Canna Australia</t>
  </si>
  <si>
    <t>almost black foliage on this rare canna</t>
  </si>
  <si>
    <t>Canna Black Knight</t>
  </si>
  <si>
    <t>wonderful dark foliage</t>
  </si>
  <si>
    <t>Canna Bonfire</t>
  </si>
  <si>
    <t>architectural and a beautiful red flower</t>
  </si>
  <si>
    <t>Canna Durban</t>
  </si>
  <si>
    <t>stunning canna with unusual coloured foliage</t>
  </si>
  <si>
    <t>Canna Eric Neubert</t>
  </si>
  <si>
    <t>bright red flowers over purple-green foliage</t>
  </si>
  <si>
    <t>Canna Hybrid</t>
  </si>
  <si>
    <t>Canna Mini Cherry Red</t>
  </si>
  <si>
    <t>dwarf canna with exquisite cherry red blooms</t>
  </si>
  <si>
    <t>Canna Mini Lucifer</t>
  </si>
  <si>
    <t>compact canna with large golden-yellow flowers</t>
  </si>
  <si>
    <t>Canna Orange</t>
  </si>
  <si>
    <t>compact canna with large apricot orange flowers</t>
  </si>
  <si>
    <t>Canna Orchid Beauty</t>
  </si>
  <si>
    <t>pinkish-red blooms over compact green foliage</t>
  </si>
  <si>
    <t>Canna Perkeo</t>
  </si>
  <si>
    <t>coral pink flowers over green foliage, compact</t>
  </si>
  <si>
    <t>Canna Pink</t>
  </si>
  <si>
    <t>pink flowers over green foliage</t>
  </si>
  <si>
    <t>Canna President</t>
  </si>
  <si>
    <t>large red blooms over bold green foliage</t>
  </si>
  <si>
    <t>Canna Pretoria</t>
  </si>
  <si>
    <t>beautiful green and yellow variegated foliage</t>
  </si>
  <si>
    <t>Canna Queen Charlotte</t>
  </si>
  <si>
    <t>striking orange and yellow flowers, over green foliage</t>
  </si>
  <si>
    <t>Canna Red Shades</t>
  </si>
  <si>
    <t>large striking deep red flowers compliment bold foliage</t>
  </si>
  <si>
    <t>Canna Rose</t>
  </si>
  <si>
    <t>rose-red flag-like blooms held above large green leaves</t>
  </si>
  <si>
    <t>Canna Scarlet Bronze</t>
  </si>
  <si>
    <t>scarlet red flowers over large bronze leaves</t>
  </si>
  <si>
    <t>Canna Stuttgart</t>
  </si>
  <si>
    <t>orange flowers over striking green and cream foliage</t>
  </si>
  <si>
    <t>Canna Tropicana red</t>
  </si>
  <si>
    <t>beautiful large green foliage with red flowers</t>
  </si>
  <si>
    <t>Canna Tropicana rose</t>
  </si>
  <si>
    <t>beautiful large green foliage with rose coloured flowers</t>
  </si>
  <si>
    <t>Canna Tropicana white</t>
  </si>
  <si>
    <t>beautiful large green foliage with white flowers</t>
  </si>
  <si>
    <t>Canna Tropicana yellow</t>
  </si>
  <si>
    <t>beautiful large green foliage with yellow flowers</t>
  </si>
  <si>
    <t>Canna Wyoming</t>
  </si>
  <si>
    <t>huge purple veined leaves, apricot flowers</t>
  </si>
  <si>
    <t>Canna Yara</t>
  </si>
  <si>
    <t>large yellow blooms over tropical green folaige</t>
  </si>
  <si>
    <t>Centaurea Nigra</t>
  </si>
  <si>
    <t>Black Knapweed</t>
  </si>
  <si>
    <t>thistle-like dark purple flowerheads</t>
  </si>
  <si>
    <t>Chondropetalum Tectorum</t>
  </si>
  <si>
    <t>Thatching Reed</t>
  </si>
  <si>
    <t>spectacular restio, unusual barred tussocks</t>
  </si>
  <si>
    <t>Coleus Hybrid</t>
  </si>
  <si>
    <t>Coleus</t>
  </si>
  <si>
    <t>great foliage plant with sharp contrasting colours</t>
  </si>
  <si>
    <t>Coleus Midnight</t>
  </si>
  <si>
    <t>dark purple foliage with lime green edges</t>
  </si>
  <si>
    <t>Coleus Purple Oak</t>
  </si>
  <si>
    <t xml:space="preserve"> dark oak shaped foliage, subtle shades of purple</t>
  </si>
  <si>
    <t>Colocasia Esculenta Black Stem</t>
  </si>
  <si>
    <t xml:space="preserve"> Taro Plant</t>
  </si>
  <si>
    <t>green foliage with contrasting black stems</t>
  </si>
  <si>
    <t>Colocasia Hybrid</t>
  </si>
  <si>
    <t>Taro Plant</t>
  </si>
  <si>
    <t>lusciuos, exotic foliage plant</t>
  </si>
  <si>
    <t>Cordyline 'Red Star'</t>
  </si>
  <si>
    <t>Purple Torbay Plant</t>
  </si>
  <si>
    <t>striking, architectual red foliage</t>
  </si>
  <si>
    <t>Cordyline Sundance</t>
  </si>
  <si>
    <t>Grass Palm</t>
  </si>
  <si>
    <t>exotic green foliage with a pink midrib</t>
  </si>
  <si>
    <t>Cordyline Torbay Dazzler</t>
  </si>
  <si>
    <t>Cabbage Tree</t>
  </si>
  <si>
    <t>impressive green and cream foliage</t>
  </si>
  <si>
    <t>Cyperus Haspan</t>
  </si>
  <si>
    <t>Dwarf Papyrus</t>
  </si>
  <si>
    <t>compact papyrus native to Mexico</t>
  </si>
  <si>
    <t>Dianella Caerulea</t>
  </si>
  <si>
    <t>Paroo Lily</t>
  </si>
  <si>
    <t>versatile plant from Australia</t>
  </si>
  <si>
    <t>Dianella Cassa Blue</t>
  </si>
  <si>
    <t>Blue Flax Lily</t>
  </si>
  <si>
    <t>Dianella Silver Streak</t>
  </si>
  <si>
    <t>Silver Flax Lily</t>
  </si>
  <si>
    <t>beautiful green and cream foliage plant</t>
  </si>
  <si>
    <t>Dianella Tasmanica</t>
  </si>
  <si>
    <t>Flax Lily</t>
  </si>
  <si>
    <t>versatile, evergreen, strappy foliage</t>
  </si>
  <si>
    <t>Dianella Tasmanica Red</t>
  </si>
  <si>
    <t>Red Flax Lily</t>
  </si>
  <si>
    <t>versatile, evergreen, green foliage with red base</t>
  </si>
  <si>
    <t>Dianella Tasmanica Variegata</t>
  </si>
  <si>
    <t>Variegated Flax Lily</t>
  </si>
  <si>
    <t>versatile, evergreen and variegated</t>
  </si>
  <si>
    <t>Elegia Capensis</t>
  </si>
  <si>
    <t>Broom Reed</t>
  </si>
  <si>
    <t>elegant feature plant from south africa</t>
  </si>
  <si>
    <t>Equisetum Camtschatcense</t>
  </si>
  <si>
    <t>Clumping Horsetail</t>
  </si>
  <si>
    <t>Architectural green and black banded foliage</t>
  </si>
  <si>
    <t xml:space="preserve">Equisetum Hyemale Robustum  </t>
  </si>
  <si>
    <t>Robustum</t>
  </si>
  <si>
    <t>substantial and striking, green and black banded foliage</t>
  </si>
  <si>
    <t xml:space="preserve">Eryngium Blue Hobbit  </t>
  </si>
  <si>
    <t>Blue Hobbit</t>
  </si>
  <si>
    <t>unique dwarf strain, with prickly steel-blue flowers</t>
  </si>
  <si>
    <r>
      <rPr>
        <sz val="10"/>
        <rFont val="Calibri"/>
        <family val="2"/>
        <scheme val="minor"/>
      </rPr>
      <t>Eryngium Planum</t>
    </r>
    <r>
      <rPr>
        <b/>
        <sz val="9"/>
        <rFont val="Microsoft PhagsPa"/>
        <family val="2"/>
      </rPr>
      <t/>
    </r>
  </si>
  <si>
    <t>Blue sea Holley</t>
  </si>
  <si>
    <t>thimble-sized light blue, thistle type flowers</t>
  </si>
  <si>
    <t>Eryngium Planum</t>
  </si>
  <si>
    <t>electric blue bracts, often used in cut flowers</t>
  </si>
  <si>
    <t>Eucomis 'Autumnalis</t>
  </si>
  <si>
    <t>Pineapple Lily</t>
  </si>
  <si>
    <t>green and white blooms, over green strap-like foliage</t>
  </si>
  <si>
    <t>Eucomis 'Bicolor'</t>
  </si>
  <si>
    <t>coconut scented exotic</t>
  </si>
  <si>
    <t>Eucomis Comosa</t>
  </si>
  <si>
    <t>Green Leaved  Pineapple Lily</t>
  </si>
  <si>
    <t>beautiful architectural flower spike</t>
  </si>
  <si>
    <t>Eucomis Hybrid</t>
  </si>
  <si>
    <t>bulbous plant with elongate foliage and large flowers</t>
  </si>
  <si>
    <t>Eucomis Oakhurst</t>
  </si>
  <si>
    <t>beautiful purple foliage</t>
  </si>
  <si>
    <t>Eucomis Octopus</t>
  </si>
  <si>
    <t>Octopus Lily</t>
  </si>
  <si>
    <t>wine red blooms over red spotted foliage</t>
  </si>
  <si>
    <t>Euphorbia Ascot Rainbow</t>
  </si>
  <si>
    <t>Variegated Spurge</t>
  </si>
  <si>
    <t>unique variegated foliage</t>
  </si>
  <si>
    <t>Euphorbia Martini Tiny Tim</t>
  </si>
  <si>
    <t>Cushion Spurge</t>
  </si>
  <si>
    <t>compact dark green foliage held on red stems</t>
  </si>
  <si>
    <t>Euphorbia Palustris</t>
  </si>
  <si>
    <t>Marsh Spurge</t>
  </si>
  <si>
    <t>fine, architectural bright green leaves,</t>
  </si>
  <si>
    <t>Euphorbia Purpurea</t>
  </si>
  <si>
    <t>Wood Spurge</t>
  </si>
  <si>
    <t>handsome burgundy-purple foliage</t>
  </si>
  <si>
    <t>Fatsia Japonica</t>
  </si>
  <si>
    <t>Japanese Aralia</t>
  </si>
  <si>
    <t xml:space="preserve">native of the coastal woodlands of Japan  </t>
  </si>
  <si>
    <t>Fatsia Spiders Web</t>
  </si>
  <si>
    <t>evergreen with large, variegated, deeply lobed leaves.</t>
  </si>
  <si>
    <t>Frittilaria Imperialis</t>
  </si>
  <si>
    <t>Crown Imperial</t>
  </si>
  <si>
    <t>imposing and stately, with large bell shaped flowers</t>
  </si>
  <si>
    <t>Geranium Pink Penny</t>
  </si>
  <si>
    <t>Cranesbill</t>
  </si>
  <si>
    <t>large deep pink flowers, long-flowering</t>
  </si>
  <si>
    <t>Geranium Rozanne</t>
  </si>
  <si>
    <t>repeat flowering from the plant of the century</t>
  </si>
  <si>
    <t>Geranium Sanguineum</t>
  </si>
  <si>
    <t>green foliage turning blood-red in the autumn</t>
  </si>
  <si>
    <t>Geranium 'Vision Pink'</t>
  </si>
  <si>
    <t>luminescant pink flowers over green scented foliage</t>
  </si>
  <si>
    <t>Geranium 'Vision Violet'</t>
  </si>
  <si>
    <t>bright violet flowers over green scented foliage</t>
  </si>
  <si>
    <t xml:space="preserve">Geum Banana Daiquiri </t>
  </si>
  <si>
    <t>Avens</t>
  </si>
  <si>
    <t>wonderful fresh lemony yellow flowers</t>
  </si>
  <si>
    <t>Geum Chiloense 'Mrs Bradshaw'</t>
  </si>
  <si>
    <t>beautiful, semi-double rich scarlet flowers</t>
  </si>
  <si>
    <t>Geum coccineum 'Orange Queen'</t>
  </si>
  <si>
    <t>Scarlet Avens</t>
  </si>
  <si>
    <t>rich orange or almost scarlet colour on the single flowers</t>
  </si>
  <si>
    <t>Geum Cocktail Tequila Sunrise</t>
  </si>
  <si>
    <t>semi double yellow flowers with apricot tints</t>
  </si>
  <si>
    <t>Hakonechloa All Gold</t>
  </si>
  <si>
    <t>Golden Hakon</t>
  </si>
  <si>
    <t>one of the most eyecatching of all the grasses</t>
  </si>
  <si>
    <t>Hedychium Consanguineum</t>
  </si>
  <si>
    <t>Fragrant Butterfly Ginger</t>
  </si>
  <si>
    <t>one of the most scented of the gingers</t>
  </si>
  <si>
    <t>Hedychium Ellipticum</t>
  </si>
  <si>
    <t>Himalayan Flowering Ginger</t>
  </si>
  <si>
    <t>stout growing ginger, with showy flowers</t>
  </si>
  <si>
    <t>Hedychium Greenii</t>
  </si>
  <si>
    <t>Ginger Lily</t>
  </si>
  <si>
    <t>glossy green leaves with red underside</t>
  </si>
  <si>
    <t>Hedychium Hybrid</t>
  </si>
  <si>
    <t>Hardy Ornamental Ginger</t>
  </si>
  <si>
    <t>great specimen, great foliage, great flower</t>
  </si>
  <si>
    <t>Heuchera Amethyst Mist</t>
  </si>
  <si>
    <t>silver dusted plum-purple coloured leaves</t>
  </si>
  <si>
    <t>Heuchera Berry Marmalade</t>
  </si>
  <si>
    <t>amazing foliage of grape-purple black</t>
  </si>
  <si>
    <t>Heuchera Berry Smoothie</t>
  </si>
  <si>
    <t>amazing foliage of raspberry red</t>
  </si>
  <si>
    <t>Heuchera Black Beauty</t>
  </si>
  <si>
    <t>one of the darkest leaved of the heucheras</t>
  </si>
  <si>
    <t>Heuchera Black Taffeta</t>
  </si>
  <si>
    <t>rich almost black, velvet ruffled foliage</t>
  </si>
  <si>
    <t>Heuchera Bronze Beauty</t>
  </si>
  <si>
    <t>creamy flowers over large caramel  foliage</t>
  </si>
  <si>
    <t>Heuchera Brownies</t>
  </si>
  <si>
    <t>very large leaves of chocolate brown with a plum underside</t>
  </si>
  <si>
    <t>Heuchera Café Americano</t>
  </si>
  <si>
    <t xml:space="preserve">ruffled orange/amber foliage </t>
  </si>
  <si>
    <t>Heuchera Café Romano</t>
  </si>
  <si>
    <t>palmate, lime green foliage</t>
  </si>
  <si>
    <t>Heuchera Can Can</t>
  </si>
  <si>
    <t>unusual maroon and pewter ruffled leaves</t>
  </si>
  <si>
    <t>Heuchera Cappuccino</t>
  </si>
  <si>
    <t>wonderful ruffled chocolate foliage</t>
  </si>
  <si>
    <t>Heuchera Carmencita</t>
  </si>
  <si>
    <t>pink-red foliage maturing todeep red</t>
  </si>
  <si>
    <t>Heuchera Cherries Jubilee</t>
  </si>
  <si>
    <t>pink flowers over large warm brown foliage</t>
  </si>
  <si>
    <t>Heuchera Cinnabar Silver</t>
  </si>
  <si>
    <t>amazing purple-metallic leaves</t>
  </si>
  <si>
    <t>Heuchera Crème Brulee</t>
  </si>
  <si>
    <t>wonderful, rich orange foliage</t>
  </si>
  <si>
    <t>Heuchera Dales Strain</t>
  </si>
  <si>
    <t>subtle green/cream marbeled foliage</t>
  </si>
  <si>
    <t>Heuchera Dark Secret</t>
  </si>
  <si>
    <t>curly, purple/black leaves, vibrant red on the underside</t>
  </si>
  <si>
    <t>Heuchera Electra</t>
  </si>
  <si>
    <t>electric golden leaves with red veins</t>
  </si>
  <si>
    <t>Heuchera Fire Chief</t>
  </si>
  <si>
    <t>glowing red leaves that turn darker with time</t>
  </si>
  <si>
    <t>Heuchera Fireworks</t>
  </si>
  <si>
    <t>Heuchera Forever Purple</t>
  </si>
  <si>
    <t>ultra-purple glossy leaves with fluted edges</t>
  </si>
  <si>
    <t>Heuchera Georgia Peach</t>
  </si>
  <si>
    <t>startling peachy-pink foliage</t>
  </si>
  <si>
    <t>Heuchera Green Spice</t>
  </si>
  <si>
    <t>deep burgundy venation on silver/ green</t>
  </si>
  <si>
    <t>Heuchera Guacomole</t>
  </si>
  <si>
    <t>wonderful lime green foliage topped by tiny white flowers</t>
  </si>
  <si>
    <t>Heuchera Hybrid</t>
  </si>
  <si>
    <t>Dark purple frilly foliage</t>
  </si>
  <si>
    <t>Heuchera Leuchtkafer</t>
  </si>
  <si>
    <t>clump of rounded, green leaves with small red flowers</t>
  </si>
  <si>
    <t>Heuchera Licorice</t>
  </si>
  <si>
    <t>rounded purple-black foliage</t>
  </si>
  <si>
    <t>Heuchera Lime Marmalade</t>
  </si>
  <si>
    <t>frilly dense lime-green leaves</t>
  </si>
  <si>
    <t>Heuchera Marmalade</t>
  </si>
  <si>
    <t>frilly amber foliage</t>
  </si>
  <si>
    <t>Heuchera Mars</t>
  </si>
  <si>
    <t>pretty ruffled silver foliage with dark purple veins</t>
  </si>
  <si>
    <t>Heuchera Marvellous Marble</t>
  </si>
  <si>
    <t>subtle green foliage with pale veins</t>
  </si>
  <si>
    <t>Heuchera Mega Caramel</t>
  </si>
  <si>
    <t>large cream flowers over wonderful large caramel leaves</t>
  </si>
  <si>
    <t>Heuchera Melting Fire</t>
  </si>
  <si>
    <t>heavily ruffles leaves which emerge right red</t>
  </si>
  <si>
    <t>Heuchera Midnight Rose</t>
  </si>
  <si>
    <t>probably the most striking of all heucheras</t>
  </si>
  <si>
    <t>Heuchera Midnight Ruffles</t>
  </si>
  <si>
    <t>deep glossy ruffled foliage with a purple tint</t>
  </si>
  <si>
    <t>Heuchera Mysteria</t>
  </si>
  <si>
    <t>lovely ruffled and silvered foliage</t>
  </si>
  <si>
    <t>Heuchera Obsidian</t>
  </si>
  <si>
    <t>striking, glossy jet black-maroon leaves, cream flowers</t>
  </si>
  <si>
    <t>Heuchera Palace Purple</t>
  </si>
  <si>
    <t>old favourite</t>
  </si>
  <si>
    <t>Heuchera Pinot Gris</t>
  </si>
  <si>
    <t>new leaves are pink to caramel with a silver overlay</t>
  </si>
  <si>
    <t>Heuchera Plum Pudding</t>
  </si>
  <si>
    <t>Heuchera Root Beer</t>
  </si>
  <si>
    <t>cream flowers contrast with orange-red foliage</t>
  </si>
  <si>
    <t>Heuchera Ruby Bells</t>
  </si>
  <si>
    <t>blood red flowers over evergreen foliage</t>
  </si>
  <si>
    <t>Heuchera Shanghai</t>
  </si>
  <si>
    <t>rich metallic silver/purple foliage</t>
  </si>
  <si>
    <t>Heucherella Alabama Sunrise</t>
  </si>
  <si>
    <t>Foamy Bells</t>
  </si>
  <si>
    <t>beautiful golden foliage with red veins</t>
  </si>
  <si>
    <t>Heucherella Brass Lantern</t>
  </si>
  <si>
    <t xml:space="preserve">bronzey-orange foliage turning chocolate brown </t>
  </si>
  <si>
    <t>Heucherella Burnished Bronze</t>
  </si>
  <si>
    <t>glossy purple-bronze, large lobed leaves</t>
  </si>
  <si>
    <t xml:space="preserve">Heucherella Dayglow Pink </t>
  </si>
  <si>
    <t>foamy pink flowers over green foliage</t>
  </si>
  <si>
    <t xml:space="preserve">Heucherella Solar Eclipse </t>
  </si>
  <si>
    <t>truely out of this world</t>
  </si>
  <si>
    <t>Heucherella Stoplight</t>
  </si>
  <si>
    <t>striking yellow and blood red foliage</t>
  </si>
  <si>
    <t>Heucherella Sweet Tea</t>
  </si>
  <si>
    <t>colour resembles an early morning cuppa</t>
  </si>
  <si>
    <t>Heucherella Tapestry</t>
  </si>
  <si>
    <t>five lobed marbled leaves with dark veins</t>
  </si>
  <si>
    <t>Juncus Effusus Spiralis</t>
  </si>
  <si>
    <t>Corkscrew Rush</t>
  </si>
  <si>
    <t>crazy spiral-like foliage</t>
  </si>
  <si>
    <t>Kaempferia Rotunda</t>
  </si>
  <si>
    <t>Tropical Crocus</t>
  </si>
  <si>
    <t>fragrant purple and white orchid-like flowers</t>
  </si>
  <si>
    <t>Liatris Spicata Kobold</t>
  </si>
  <si>
    <t>Blazing Star</t>
  </si>
  <si>
    <t>the most popular of all the liatris</t>
  </si>
  <si>
    <t>Libertia Formosa</t>
  </si>
  <si>
    <t>Snowy Mermaid</t>
  </si>
  <si>
    <t>sprays of white flowers over green foliage</t>
  </si>
  <si>
    <t>Libertia 'Goldfinger'</t>
  </si>
  <si>
    <t>New Zealand Satin Flower</t>
  </si>
  <si>
    <t>evergreen iris with vibrant golden foliage</t>
  </si>
  <si>
    <t>Libertia 'Goldleaf'</t>
  </si>
  <si>
    <t>showy, stiff, orange sword-like foliage</t>
  </si>
  <si>
    <t>Libertia Grandiflora</t>
  </si>
  <si>
    <t>iris like foliage with white flowers</t>
  </si>
  <si>
    <t>Libertia Ixioides</t>
  </si>
  <si>
    <t>low growing, evergreen nz iris</t>
  </si>
  <si>
    <t>Ligularia Desdemona</t>
  </si>
  <si>
    <t>Leopard Plant</t>
  </si>
  <si>
    <t>yellow flowers over impressive red foliage</t>
  </si>
  <si>
    <t>Ligularia othello</t>
  </si>
  <si>
    <t>deep purple foliage and yellow daisy-like flowers</t>
  </si>
  <si>
    <t>Ligularia Prezwalksii</t>
  </si>
  <si>
    <t>Golden Ray</t>
  </si>
  <si>
    <t>large palmate leaves, with yellow flower spikes</t>
  </si>
  <si>
    <t>Liriope Big Blue</t>
  </si>
  <si>
    <t>Lily Turf</t>
  </si>
  <si>
    <t>pretty, evergreen perennial with strap-like leaves</t>
  </si>
  <si>
    <t>Liriope Moneymaker</t>
  </si>
  <si>
    <t>neat grass-like foliage topped with blue flowers</t>
  </si>
  <si>
    <t>Liriope Monro White</t>
  </si>
  <si>
    <t>strap-like foliage topped with white flowers</t>
  </si>
  <si>
    <t>Liriope Purple Passion</t>
  </si>
  <si>
    <t>rare evergreen grass-like plant with purple flowers</t>
  </si>
  <si>
    <t>Liriope Variegata</t>
  </si>
  <si>
    <t>variegated green and yellow foliage</t>
  </si>
  <si>
    <t>Musa Basjoo Green</t>
  </si>
  <si>
    <t>Japanese Banana</t>
  </si>
  <si>
    <t>probably the hardiest of all the bananas</t>
  </si>
  <si>
    <t>Musa Basjoo Red</t>
  </si>
  <si>
    <t>Red Stem Banana</t>
  </si>
  <si>
    <t>Basjoo hybrid with a red stem</t>
  </si>
  <si>
    <t>Musa Sikkimensis Red Tiger</t>
  </si>
  <si>
    <t>Red Tiger</t>
  </si>
  <si>
    <t xml:space="preserve">colourful variegated purple foliage, </t>
  </si>
  <si>
    <t>Musella Lasiocarpa</t>
  </si>
  <si>
    <t>Chinese Dwarf Banana</t>
  </si>
  <si>
    <t>hardy banana, worshipped by Buddhist</t>
  </si>
  <si>
    <t>Persicaria Golden Arrow</t>
  </si>
  <si>
    <t>Bright green foliage and tufts of pink flowers</t>
  </si>
  <si>
    <t>Persicaria 'Red Dragon'</t>
  </si>
  <si>
    <t>Red Dragon</t>
  </si>
  <si>
    <t>dramatic dark red-purple and grey foliage</t>
  </si>
  <si>
    <t>Phormium 'Black Adder'</t>
  </si>
  <si>
    <t>Black Adder'</t>
  </si>
  <si>
    <t>compact, evergreen almost black foliage</t>
  </si>
  <si>
    <t>Phormium Cream Delight</t>
  </si>
  <si>
    <t>Mountain Flax</t>
  </si>
  <si>
    <t>Phormium 'Emerald Isle'</t>
  </si>
  <si>
    <t>New Zealand Flax</t>
  </si>
  <si>
    <t>spiky, sword-leaved, green foliage</t>
  </si>
  <si>
    <t>Phormium Hybrid</t>
  </si>
  <si>
    <t>spiky, sword-leaved, evergreen perennial</t>
  </si>
  <si>
    <t>Phormium Pink Stripe</t>
  </si>
  <si>
    <t>Pink Flax</t>
  </si>
  <si>
    <t>beautiful pink and cream striped foliage</t>
  </si>
  <si>
    <t>Phormium 'Purpurea'</t>
  </si>
  <si>
    <t>Purple Flax</t>
  </si>
  <si>
    <t>striking, purple sword-like foliage</t>
  </si>
  <si>
    <t>Phormium Wings of Gold</t>
  </si>
  <si>
    <t>Variegated Flax</t>
  </si>
  <si>
    <t>olive green folige with a creamy yellow margin</t>
  </si>
  <si>
    <t xml:space="preserve">Phormium Yellow Wave  </t>
  </si>
  <si>
    <t>Yellow Wave</t>
  </si>
  <si>
    <t>bright green foliage with random yellow stripes</t>
  </si>
  <si>
    <t>Phrynium Capitatum</t>
  </si>
  <si>
    <t>Star of The Orient</t>
  </si>
  <si>
    <t>unusual star shaped fruit growing halfway up the stem</t>
  </si>
  <si>
    <t>Rheum Ace of Hearts</t>
  </si>
  <si>
    <t>Ornamental Rhubarb</t>
  </si>
  <si>
    <t>dark heart shaped leaves with red veins</t>
  </si>
  <si>
    <t>Rheum Palmatum</t>
  </si>
  <si>
    <t>Chinese Rhubarb</t>
  </si>
  <si>
    <t>handsome and architectural foliage plant</t>
  </si>
  <si>
    <t>Rodgersia Aesculifolia</t>
  </si>
  <si>
    <t>Chestnut-Leaved</t>
  </si>
  <si>
    <t>also known as Chesnut-leaved Rodgersia</t>
  </si>
  <si>
    <t>Schyzostylis Alba</t>
  </si>
  <si>
    <t>light pink flowers over green foliage</t>
  </si>
  <si>
    <t>Schyzostylis Red</t>
  </si>
  <si>
    <t>red flowers over iris-like foliage</t>
  </si>
  <si>
    <t>Tiarella Cordifolia</t>
  </si>
  <si>
    <t>Foam Flower</t>
  </si>
  <si>
    <t>foaming creamy-white flowers spikes</t>
  </si>
  <si>
    <t>Tiarella Pink Sky Rocket</t>
  </si>
  <si>
    <t>charming compact woodlander, foamy pink plumes</t>
  </si>
  <si>
    <t>Tiarella Wherryi</t>
  </si>
  <si>
    <t>purple-tinted leaves with small, white or pinkish flowers</t>
  </si>
  <si>
    <t>Tigridia Pavonia</t>
  </si>
  <si>
    <t>Tiger Flower</t>
  </si>
  <si>
    <t>striking flowers over sword like foliage</t>
  </si>
  <si>
    <t>Tradescantia Hybrid</t>
  </si>
  <si>
    <t>huge range of varying colours</t>
  </si>
  <si>
    <t>Tradescantia Innocence</t>
  </si>
  <si>
    <t>Tradescantia Maidens Blush</t>
  </si>
  <si>
    <t>prolific showy bi-colored leaves</t>
  </si>
  <si>
    <t>Tradescantia Rubra</t>
  </si>
  <si>
    <t>deep carmine red flowers with blue-green foliage</t>
  </si>
  <si>
    <t>Tricyrtis Hybrid</t>
  </si>
  <si>
    <t>Toad Lily</t>
  </si>
  <si>
    <t>unusual orchid-like flowers</t>
  </si>
  <si>
    <t>Tulbaghia green</t>
  </si>
  <si>
    <t>flowers for 2-3 months-lilac flowers</t>
  </si>
  <si>
    <t>Tulbaghia Variegata</t>
  </si>
  <si>
    <t>excellent for container growing, wonderful scent</t>
  </si>
  <si>
    <t>Yucca Colour Guard</t>
  </si>
  <si>
    <t>Adams Needle</t>
  </si>
  <si>
    <t>great architectual specimen from Japan</t>
  </si>
  <si>
    <t>Yucca Gloriosa Variegata</t>
  </si>
  <si>
    <t>Spanish Dagger</t>
  </si>
  <si>
    <t>long green and yellow sword shaped leaves</t>
  </si>
  <si>
    <t>Zantedeschia Aethiopica</t>
  </si>
  <si>
    <t>dramatic white flowers</t>
  </si>
  <si>
    <t>Zantedeschia Aethiopica Green Goddess</t>
  </si>
  <si>
    <t>Dramatic white flowers with green edges</t>
  </si>
  <si>
    <t>Achillea Apple Blossom</t>
  </si>
  <si>
    <t>flat heads of lilac-pink flowers</t>
  </si>
  <si>
    <t>Achillea Fanal</t>
  </si>
  <si>
    <t>flat red flowerheads in summer over fernlike foliage</t>
  </si>
  <si>
    <t>Achillea Fletton</t>
  </si>
  <si>
    <t>brick red/orange flowers in summer</t>
  </si>
  <si>
    <t>Achillea Hybrid</t>
  </si>
  <si>
    <t>beautiful, flat clusters of small flowers</t>
  </si>
  <si>
    <t>Achillea Inca Gold</t>
  </si>
  <si>
    <t>wonderful orange/yellow flowers over glaucous foliage</t>
  </si>
  <si>
    <t>Achillea Moonwalker</t>
  </si>
  <si>
    <t>delightful aromatic foliage with yellow flowers</t>
  </si>
  <si>
    <t>Achillea noblesse</t>
  </si>
  <si>
    <t>clouds of tiny, double white flowers on this new variety</t>
  </si>
  <si>
    <t>Achillea Terracotta</t>
  </si>
  <si>
    <t>beautiful orange blooms fading to yellow with age</t>
  </si>
  <si>
    <t>Achillea 'The Beacon'</t>
  </si>
  <si>
    <t>lovely, bright red flowers, aging to burnt orange</t>
  </si>
  <si>
    <t>Achillea tomentosa 'Aurea'</t>
  </si>
  <si>
    <t>bright yellow flowerheads over wooly grey/green foliage</t>
  </si>
  <si>
    <t>Agastache Black Adder</t>
  </si>
  <si>
    <t>Agastache Blue Fortune</t>
  </si>
  <si>
    <t>Giant Hyssop</t>
  </si>
  <si>
    <t>soft lavender spikes over aromatic fresh green leaves</t>
  </si>
  <si>
    <t>Agastache Pink</t>
  </si>
  <si>
    <t>very bee/butterfly friendly</t>
  </si>
  <si>
    <t>Agave 'Americana'</t>
  </si>
  <si>
    <t>Century Plant</t>
  </si>
  <si>
    <t>attractive and exotic looking foliage plant</t>
  </si>
  <si>
    <t>Ajuga Black Scallop</t>
  </si>
  <si>
    <t>Black Bugle</t>
  </si>
  <si>
    <t>deep purple, scallop edged foliage</t>
  </si>
  <si>
    <t>Ajuga Catlins Giant</t>
  </si>
  <si>
    <t>Catlins Bugle</t>
  </si>
  <si>
    <t>large glossy bronze foliage, blue flowers</t>
  </si>
  <si>
    <t>Ajuga Reptans Braunherz</t>
  </si>
  <si>
    <t>Bronze Bugle</t>
  </si>
  <si>
    <t>oval shaped bronze leaves topped with blue flowers</t>
  </si>
  <si>
    <t>Bugle</t>
  </si>
  <si>
    <t>dark green foliage, upright spikes of dark blue flowers</t>
  </si>
  <si>
    <t>Ajuga Reptans burgundy glow</t>
  </si>
  <si>
    <t>striking cream, burgundy and rose variegated foliage</t>
  </si>
  <si>
    <t>Ajuga Reptans Valfredda</t>
  </si>
  <si>
    <t>Chocolate Chips</t>
  </si>
  <si>
    <r>
      <t xml:space="preserve">narrow foliage is dark green, overlaid with </t>
    </r>
    <r>
      <rPr>
        <i/>
        <sz val="9"/>
        <rFont val="Calibri"/>
        <family val="2"/>
        <scheme val="minor"/>
      </rPr>
      <t>chocolate</t>
    </r>
    <r>
      <rPr>
        <sz val="9"/>
        <rFont val="Calibri"/>
        <family val="2"/>
        <scheme val="minor"/>
      </rPr>
      <t>-brown</t>
    </r>
  </si>
  <si>
    <t>Ajuga Variegata</t>
  </si>
  <si>
    <t>Variegated Bugle</t>
  </si>
  <si>
    <t>unusual multi-coloured foliage with blue flowers</t>
  </si>
  <si>
    <t>Alchemilla Mollis</t>
  </si>
  <si>
    <t>Lady's Bugle</t>
  </si>
  <si>
    <t>name taken from Arabic meaning little magical one</t>
  </si>
  <si>
    <t>Allium Schoenoprasum</t>
  </si>
  <si>
    <t>Chives</t>
  </si>
  <si>
    <t>wonderful light purple flowers over onion scented foliage</t>
  </si>
  <si>
    <t>Allium Senescens</t>
  </si>
  <si>
    <t>Ornamental Garlic</t>
  </si>
  <si>
    <t>agapanthus-like, evergreen, beautiful flowers</t>
  </si>
  <si>
    <t>Alocasia Dwarf Calidora</t>
  </si>
  <si>
    <t>Dwarf Elephants Ear</t>
  </si>
  <si>
    <t>architectural aroid, slightly smaller in form</t>
  </si>
  <si>
    <t>Alocasia Hybrid</t>
  </si>
  <si>
    <t>Elephants Ear</t>
  </si>
  <si>
    <t>broadleaf aroid, originating from Asia</t>
  </si>
  <si>
    <t>Alocasia Odera</t>
  </si>
  <si>
    <t>Giant Elephants Ear</t>
  </si>
  <si>
    <t>the giant of the aroid world</t>
  </si>
  <si>
    <t>Alocasia Wentii</t>
  </si>
  <si>
    <t>Hardy Elephants Ear</t>
  </si>
  <si>
    <t>beautiful aroid with contrasting veins and dark underside</t>
  </si>
  <si>
    <t>Alpinia</t>
  </si>
  <si>
    <t>Variegated Shell Ginger</t>
  </si>
  <si>
    <t>strikingly variegated, green and yellow stripes</t>
  </si>
  <si>
    <t>Amorphophallus Bulbifer</t>
  </si>
  <si>
    <t>Devils Tongue</t>
  </si>
  <si>
    <t>green foliage over perculiar snakeskin stem</t>
  </si>
  <si>
    <t>Angelica archangelica</t>
  </si>
  <si>
    <t>Norwegian angelica</t>
  </si>
  <si>
    <t>beautiful, architectural flowers in summer</t>
  </si>
  <si>
    <t>Assorted Perennials</t>
  </si>
  <si>
    <t>Astilbe Deutchland</t>
  </si>
  <si>
    <t>False Goatsbeard</t>
  </si>
  <si>
    <t>upright, tall white flower plumes</t>
  </si>
  <si>
    <t>Astilbe Ellie</t>
  </si>
  <si>
    <t>probably the best white with dense large flowers</t>
  </si>
  <si>
    <t>Astilbe Fanal</t>
  </si>
  <si>
    <t>beautiful crimson red foliage</t>
  </si>
  <si>
    <t>Astilbe Hybrid Pink</t>
  </si>
  <si>
    <t>pink flower plumes over dense green foliage</t>
  </si>
  <si>
    <t>Astilbe Hybrid Red</t>
  </si>
  <si>
    <t>red flower plumes over dense green foliage</t>
  </si>
  <si>
    <t>Astilbe Hybrid Rose Pink</t>
  </si>
  <si>
    <t>wonderful rose pink flower plume</t>
  </si>
  <si>
    <t>Astilbe Hybrid White</t>
  </si>
  <si>
    <t>white flower plumes over dense green foliage</t>
  </si>
  <si>
    <t>Astilbe Mainz</t>
  </si>
  <si>
    <t>compact sturdy hybrid</t>
  </si>
  <si>
    <t>Astilbe Peach Blossom</t>
  </si>
  <si>
    <t>wonderful salmon pink plumes</t>
  </si>
  <si>
    <t>Astilbe Rose</t>
  </si>
  <si>
    <t>wonderful rose pink flowers</t>
  </si>
  <si>
    <t>Astilbe Vesuvious</t>
  </si>
  <si>
    <t>lovely pink flower plumes</t>
  </si>
  <si>
    <t>Astilbe Visions Hybrid</t>
  </si>
  <si>
    <t>longer flowering new hybrid</t>
  </si>
  <si>
    <t>Astilbe Visions Pink</t>
  </si>
  <si>
    <t>flowers pale pink, dense and pyramidal in form</t>
  </si>
  <si>
    <t>Astilbe Visions Red</t>
  </si>
  <si>
    <t>compact with pyramidal large flower plume</t>
  </si>
  <si>
    <t>Astilbe Washington</t>
  </si>
  <si>
    <t>creamy white flowers</t>
  </si>
  <si>
    <t>Astilbe Youniqhe Pink</t>
  </si>
  <si>
    <t>compact with beautiful flower plumes</t>
  </si>
  <si>
    <t>Astilbe Younique Carmine</t>
  </si>
  <si>
    <t>compact habit with beautiful large flower carmine plume</t>
  </si>
  <si>
    <t>Astilbe Younique Cerise</t>
  </si>
  <si>
    <t>short, compact and rich cherry red flowers</t>
  </si>
  <si>
    <t>Astilbe Younique Hybrid</t>
  </si>
  <si>
    <t>superb flowering asilbe hybrid</t>
  </si>
  <si>
    <t>Astilbe Younique Light Pink</t>
  </si>
  <si>
    <t>compact foliage with subtle light pink blooms</t>
  </si>
  <si>
    <t>Astilbe Younique Lilac</t>
  </si>
  <si>
    <t>compact habit with beautiful large flower plume</t>
  </si>
  <si>
    <t>Astilbe Younique Salmon</t>
  </si>
  <si>
    <t>wonderful new hybrid with large flower plume</t>
  </si>
  <si>
    <t>Astilbe Younique Silvery Pink</t>
  </si>
  <si>
    <t>compact hybrid, wonderful silvery pink flowers</t>
  </si>
  <si>
    <t>Astilbe Younique White</t>
  </si>
  <si>
    <t>Astrantia Hybrid</t>
  </si>
  <si>
    <t>Masterwort</t>
  </si>
  <si>
    <t>stunning hybrid with wonderful pincushion flowers</t>
  </si>
  <si>
    <t>Bergenia Cordifolia</t>
  </si>
  <si>
    <t>incredibly hardy, reliable and evergreen</t>
  </si>
  <si>
    <t>Campanula Blue Clips</t>
  </si>
  <si>
    <t>Bellflower</t>
  </si>
  <si>
    <t>exquisite blue bell-shaped flowers</t>
  </si>
  <si>
    <t>Campanula portenschlagiana</t>
  </si>
  <si>
    <t>evergreen and low growing with blue bell-like flowers</t>
  </si>
  <si>
    <t>Campanula White Clips</t>
  </si>
  <si>
    <t>exquisite white bell-shaped flowers</t>
  </si>
  <si>
    <t>Coreopsis Early Sunrise</t>
  </si>
  <si>
    <t>Tickseed</t>
  </si>
  <si>
    <t>wonderful semi-double yellow blooms</t>
  </si>
  <si>
    <t>Coreopsis Firefly</t>
  </si>
  <si>
    <t>startling , yellow and red bicolored flowers</t>
  </si>
  <si>
    <t>Coreopsis Moonbeam</t>
  </si>
  <si>
    <t>dainty light lemon-yellow, daisy-like flowers</t>
  </si>
  <si>
    <t>Coreopsis Presto</t>
  </si>
  <si>
    <t>large double golden blooms</t>
  </si>
  <si>
    <t>Coreopsis Sangria</t>
  </si>
  <si>
    <t>compact plant with dark maroon flowers</t>
  </si>
  <si>
    <t>Dahlia assd.</t>
  </si>
  <si>
    <t>Dahlia</t>
  </si>
  <si>
    <t>our best selection</t>
  </si>
  <si>
    <t>Darmera Peltata</t>
  </si>
  <si>
    <t>Indian Rhubarb</t>
  </si>
  <si>
    <t>unusual plant from India</t>
  </si>
  <si>
    <t>Delosperma 'Table Mountain'</t>
  </si>
  <si>
    <t xml:space="preserve"> brilliant blanket of magenta to fuchsia pink flowers</t>
  </si>
  <si>
    <t>Dianthus Carthosianorum</t>
  </si>
  <si>
    <t>Carthusian Pink</t>
  </si>
  <si>
    <t>small, single, magenta flowers above grass-like foliage</t>
  </si>
  <si>
    <t>Digitalis Dalmation Hybrids</t>
  </si>
  <si>
    <t>Foxglove</t>
  </si>
  <si>
    <t>tall flower spikes, loved by insects</t>
  </si>
  <si>
    <t>Digitalis Camelot assd.</t>
  </si>
  <si>
    <t>wonderful flower spikes over dark green foliage</t>
  </si>
  <si>
    <t>Digitalis Hybrid</t>
  </si>
  <si>
    <t>beautiful ivory-white flowers</t>
  </si>
  <si>
    <t>Digitalis Purpurea</t>
  </si>
  <si>
    <t>shade-loving plant loved by bees</t>
  </si>
  <si>
    <t>Digitalis Purpurea 'Albiflora'</t>
  </si>
  <si>
    <t>White Foxglove</t>
  </si>
  <si>
    <t xml:space="preserve">elegant, tubular white flowers, loved by insects </t>
  </si>
  <si>
    <t>Doronicum orientale compact</t>
  </si>
  <si>
    <t>Leopards bane</t>
  </si>
  <si>
    <t>early spring flowering, yellow daisy-like flowers</t>
  </si>
  <si>
    <t>Echinacea Hybrid</t>
  </si>
  <si>
    <t>wonderful flowers, modern day cold remedy</t>
  </si>
  <si>
    <t>Echinacea Pow Wow Wild Berry</t>
  </si>
  <si>
    <t>intense pink flowers with a darker centre</t>
  </si>
  <si>
    <t>Echinacea Purpurea</t>
  </si>
  <si>
    <t>large rich rosey-purple daisy-like flowers</t>
  </si>
  <si>
    <t>Echinacea Purpurea Alba</t>
  </si>
  <si>
    <t>large white daisy-like flowers over green foliage</t>
  </si>
  <si>
    <t>Echinops ritro</t>
  </si>
  <si>
    <t>Globe thistle</t>
  </si>
  <si>
    <t>spiny leaves and spherical blue or whitish flower-heads</t>
  </si>
  <si>
    <t>Erigeron Glaucus</t>
  </si>
  <si>
    <t>Seaside Fleabane</t>
  </si>
  <si>
    <t>originating from the coastline of Oregon</t>
  </si>
  <si>
    <t>Fascicularia 'Bicolor'</t>
  </si>
  <si>
    <t>Crimson Bromeliad</t>
  </si>
  <si>
    <t>hardy terrestrial bromeliad, originating chile</t>
  </si>
  <si>
    <t>Filependula Aurea</t>
  </si>
  <si>
    <t>Golden Meadowsweet</t>
  </si>
  <si>
    <t>striking golden foliage with small white flowers</t>
  </si>
  <si>
    <t>Filependula Rubra</t>
  </si>
  <si>
    <t>Meadowsweet</t>
  </si>
  <si>
    <t>Queen of the prairie is an attractive bog garden perennial</t>
  </si>
  <si>
    <t>Foeniculum Bronze</t>
  </si>
  <si>
    <t>Bronze Fennel</t>
  </si>
  <si>
    <t>yellow blooms over feathery bronze foliage</t>
  </si>
  <si>
    <t>Gaillardia aristata Burgunder</t>
  </si>
  <si>
    <t>Blanket Flower</t>
  </si>
  <si>
    <t>exquisite large wine red flowers</t>
  </si>
  <si>
    <t>Gaura compact compact pink</t>
  </si>
  <si>
    <t xml:space="preserve"> Beeblossom</t>
  </si>
  <si>
    <t>very compact foliage, wonderful pink flowers</t>
  </si>
  <si>
    <t>Gaura compact white</t>
  </si>
  <si>
    <t>Beeblossom</t>
  </si>
  <si>
    <t>very compact foliage, wonderful white flowers</t>
  </si>
  <si>
    <t>Helenium 'Moerheim Beauty'</t>
  </si>
  <si>
    <t>Sneezeweed</t>
  </si>
  <si>
    <t>rich red/orange daisy-like flowerheads</t>
  </si>
  <si>
    <t>Helenium 'Red Army'</t>
  </si>
  <si>
    <t>compact and stunning, floriferous new variety</t>
  </si>
  <si>
    <t>Hemerocallis Bonanza</t>
  </si>
  <si>
    <t>creamy orange flowers with a brown centre</t>
  </si>
  <si>
    <t>Hemerocallis 'Bronze'</t>
  </si>
  <si>
    <t>beautiful bronze blooms over green foliage</t>
  </si>
  <si>
    <t>Hemerocallis Buzz Bomb</t>
  </si>
  <si>
    <t>strap-like foliage and red flowers with yellow throat</t>
  </si>
  <si>
    <t>Hemerocallis Cathys Sunset</t>
  </si>
  <si>
    <t>yellow and terracotta bicolored recurved petals</t>
  </si>
  <si>
    <t>Hemerocallis 'Cavey'</t>
  </si>
  <si>
    <t>very floriferous variety, flowering throughout the season</t>
  </si>
  <si>
    <t>Hemerocallis 'Cream'</t>
  </si>
  <si>
    <t>small creamy yellow blooms over green foliage</t>
  </si>
  <si>
    <t>Hemerocallis 'Dark Rose'</t>
  </si>
  <si>
    <t>gorgeous dark rose coloured blooms</t>
  </si>
  <si>
    <t>Hemerocallis Happy Returns</t>
  </si>
  <si>
    <t>beautiful ruffled, lemon yellow flowers</t>
  </si>
  <si>
    <t>Hemerocallis Hybrid</t>
  </si>
  <si>
    <t>assorted flower colours over green foliage</t>
  </si>
  <si>
    <t>Hemerocallis Longfields Pearl</t>
  </si>
  <si>
    <t>stunning creamy flowers, white with a hint of apricot</t>
  </si>
  <si>
    <t>Hemerocallis 'On &amp; On'</t>
  </si>
  <si>
    <t>repeat flowering apricot blooms</t>
  </si>
  <si>
    <t>Hemerocallis 'Piglet'</t>
  </si>
  <si>
    <t>very compact variety with small pale pink flowers</t>
  </si>
  <si>
    <t>Hemerocallis 'Pink Wing'</t>
  </si>
  <si>
    <t>Pink and cream bicolour above yellow throat</t>
  </si>
  <si>
    <t>Hemerocallis 'Red Rib'</t>
  </si>
  <si>
    <t>considered the best repeat blooming day lily</t>
  </si>
  <si>
    <t>Iberis sempervirens Fischbeck</t>
  </si>
  <si>
    <t>Candytuft</t>
  </si>
  <si>
    <t>clusters of pure white flowers in late spring</t>
  </si>
  <si>
    <t>Iberis sempervirens Snowcone</t>
  </si>
  <si>
    <t>drought tolerant, evergreen, white candytuft flowers</t>
  </si>
  <si>
    <t>Iberis sempervirens Tahoe</t>
  </si>
  <si>
    <t>spring blooming favourite, gorgeous flowers</t>
  </si>
  <si>
    <t>Iris Ensata</t>
  </si>
  <si>
    <t>Japanese Iris</t>
  </si>
  <si>
    <t>fine green foliage with various coloured flowers*</t>
  </si>
  <si>
    <t>Iris Lazica</t>
  </si>
  <si>
    <t>Black Sea Iris</t>
  </si>
  <si>
    <t>evergreen and 1 of the earliest Irises to flower</t>
  </si>
  <si>
    <t>Iris Pseudacorus Variegata</t>
  </si>
  <si>
    <t>Variegated Yellow Flag Iris</t>
  </si>
  <si>
    <t>strongly variegated yellow and green foliage</t>
  </si>
  <si>
    <t>Iris sibirica 'Ceasars Brother'</t>
  </si>
  <si>
    <t>Siberian Iris</t>
  </si>
  <si>
    <t>intense, mid-purple flowers with speckled throats</t>
  </si>
  <si>
    <t>Iris sibirica 'Dawn Waltz'</t>
  </si>
  <si>
    <t xml:space="preserve">ruffled soft lavender blossoms, pale yellow throats </t>
  </si>
  <si>
    <t>Iris sibirica 'Gull's Wing'</t>
  </si>
  <si>
    <t>flowers are white, of course, leaning toward ivory</t>
  </si>
  <si>
    <t>Iris Sibirica 'Having Fun'</t>
  </si>
  <si>
    <t>layers of ruffled, petals in a soft violet shade</t>
  </si>
  <si>
    <t>Iris Sibirica 'Imperial Opal'</t>
  </si>
  <si>
    <t>translucent lavender-pink blooms with a light edging</t>
  </si>
  <si>
    <t>Iris Sibirica 'Kabluey'</t>
  </si>
  <si>
    <t>dark violet flowers with creamy-white flowers</t>
  </si>
  <si>
    <t>Iris Sibirica 'Miss Apple'</t>
  </si>
  <si>
    <t>Red falls with gold surround &amp; violet/pink ruffles</t>
  </si>
  <si>
    <t>Iris Sibirica 'Shakers Prayer'</t>
  </si>
  <si>
    <t>striking cobalt blue and white flowers/well defined veining</t>
  </si>
  <si>
    <t>Iris Sibirica 'Silver edge'</t>
  </si>
  <si>
    <t>various beautiful flower blooms</t>
  </si>
  <si>
    <t>Iris Sibirica Snow Queen</t>
  </si>
  <si>
    <t>Dainty white flowers with yellow centres</t>
  </si>
  <si>
    <t>Iris Sibirica Sparkling Rose</t>
  </si>
  <si>
    <t>unusual shade of soft reddish purple in early summer</t>
  </si>
  <si>
    <t>Iris Tectorum Variegatum</t>
  </si>
  <si>
    <t>Japanese Roof Iris</t>
  </si>
  <si>
    <t>beautiful variegated japanese iris</t>
  </si>
  <si>
    <t>Lavandula Hidcote</t>
  </si>
  <si>
    <t xml:space="preserve"> Lavender</t>
  </si>
  <si>
    <t>compact habit and dark purple flower spikes,</t>
  </si>
  <si>
    <t>Lavandula Munstead</t>
  </si>
  <si>
    <r>
      <t xml:space="preserve">named after Gertrude Jekyll's garden at </t>
    </r>
    <r>
      <rPr>
        <i/>
        <sz val="9"/>
        <rFont val="Calibri"/>
        <family val="2"/>
        <scheme val="minor"/>
      </rPr>
      <t>Munstead</t>
    </r>
    <r>
      <rPr>
        <sz val="9"/>
        <rFont val="Calibri"/>
        <family val="2"/>
        <scheme val="minor"/>
      </rPr>
      <t xml:space="preserve"> Wood</t>
    </r>
  </si>
  <si>
    <t>Leucanthemum 'Banana Cream'</t>
  </si>
  <si>
    <t>Shasta Daisy</t>
  </si>
  <si>
    <t>exquisite large, lemon yellow flowers</t>
  </si>
  <si>
    <t>Leucanthemum 'Silver Princess'</t>
  </si>
  <si>
    <t>compact and floriferous</t>
  </si>
  <si>
    <t>Leucanthemum 'Snow Lady'</t>
  </si>
  <si>
    <t>large daisy-like white blooms over serrated foliage</t>
  </si>
  <si>
    <t>Lobelia Black Truffle</t>
  </si>
  <si>
    <t>Black Cardinal</t>
  </si>
  <si>
    <t>knockout dark burgundy, almost black foliage</t>
  </si>
  <si>
    <t>Lobelia Cinnabar Red</t>
  </si>
  <si>
    <t>Cardinal Flower</t>
  </si>
  <si>
    <t>spikes of red flowers over green foliage</t>
  </si>
  <si>
    <t>Lobelia fan. Deep Red</t>
  </si>
  <si>
    <t>deep scarlet red flowers over green foliage</t>
  </si>
  <si>
    <t>Lobelia Salmon</t>
  </si>
  <si>
    <t>Salmon Cardinal</t>
  </si>
  <si>
    <t>warm salmon-pink flowers with contrasting foliage</t>
  </si>
  <si>
    <t>Lobelia Speciosa Fan Burgundy</t>
  </si>
  <si>
    <t>upright spikes of large red flowers</t>
  </si>
  <si>
    <t>Lobelia Speciosa Fan Scarlet</t>
  </si>
  <si>
    <t>beautiful scarlet flower spikes over bronze foliage</t>
  </si>
  <si>
    <t>Lobelia 'Starship Scarlet'</t>
  </si>
  <si>
    <t>Scarlet Cardinal</t>
  </si>
  <si>
    <t>ruby-red glossy foliage and punchy, scarlet flowers</t>
  </si>
  <si>
    <t>Lobelia Syphilitica 'Alba'</t>
  </si>
  <si>
    <t>Blue Cardinal</t>
  </si>
  <si>
    <t>bearing dense spikes of blue, tubular flowers</t>
  </si>
  <si>
    <t>Lobelia Vedrariensis</t>
  </si>
  <si>
    <t>Purple Cardinal</t>
  </si>
  <si>
    <t>dramatic spires of bright purple, hood-like flowers</t>
  </si>
  <si>
    <t>Lupinus polyphyllus Assd.</t>
  </si>
  <si>
    <t>Lupin</t>
  </si>
  <si>
    <t>old cottage garden favourite with large blooms</t>
  </si>
  <si>
    <t>Lupinus polyphyllus Blue</t>
  </si>
  <si>
    <t>erect clump forming perennial with large flower plumes</t>
  </si>
  <si>
    <t>Lupinus polyphyllus Rose</t>
  </si>
  <si>
    <t>ever popular, with rose coloured large flowers</t>
  </si>
  <si>
    <t>Lupinus polyphyllus White</t>
  </si>
  <si>
    <t>large pure white blooms over palmate green foliage</t>
  </si>
  <si>
    <t>Lysimachia Beaujolais</t>
  </si>
  <si>
    <t>Crimson Loosestrife</t>
  </si>
  <si>
    <t>crimson flower spikes above silvery-green foliage</t>
  </si>
  <si>
    <t>Lythrum Dropmore Purple</t>
  </si>
  <si>
    <r>
      <t xml:space="preserve">slender spikes of intense, </t>
    </r>
    <r>
      <rPr>
        <i/>
        <sz val="9"/>
        <rFont val="Calibri"/>
        <family val="2"/>
        <scheme val="minor"/>
      </rPr>
      <t>purple</t>
    </r>
    <r>
      <rPr>
        <sz val="9"/>
        <rFont val="Calibri"/>
        <family val="2"/>
        <scheme val="minor"/>
      </rPr>
      <t>-red flowers</t>
    </r>
  </si>
  <si>
    <t>Lythrum Morden Pink</t>
  </si>
  <si>
    <t>pretty intensely-hued magenta blooms top tall plants</t>
  </si>
  <si>
    <t>Lythrum Robert</t>
  </si>
  <si>
    <t>Lythrum Salicaria</t>
  </si>
  <si>
    <t>native plant with striking purple flowers</t>
  </si>
  <si>
    <t>Lythrum Salicaria Mordens Pink</t>
  </si>
  <si>
    <t>profusion of rose-pink flower spikes</t>
  </si>
  <si>
    <t>Lythrum Virgatum Dropmore Purple</t>
  </si>
  <si>
    <t>intense purple-red flowers appearing on</t>
  </si>
  <si>
    <t>Monarda 'Bee Happy'</t>
  </si>
  <si>
    <t>deep bright vermillon red flowers over compact foliage</t>
  </si>
  <si>
    <t>Monarda Pink</t>
  </si>
  <si>
    <t>Myosotis palustris 'Blue'</t>
  </si>
  <si>
    <t>Blue forget me not</t>
  </si>
  <si>
    <t>Blue flowers over green foliage</t>
  </si>
  <si>
    <t>Myosotis palustris 'Pink'</t>
  </si>
  <si>
    <t>Pink Forget-me-not</t>
  </si>
  <si>
    <t>pink shades over green elongate foliage</t>
  </si>
  <si>
    <t>Myosotis palustris White</t>
  </si>
  <si>
    <t>White Forget-me-not</t>
  </si>
  <si>
    <t>white blooms contrast with green flowers</t>
  </si>
  <si>
    <t>Nepeta 'Six Hills Giant'</t>
  </si>
  <si>
    <t>Catmint</t>
  </si>
  <si>
    <t>a hardy catmint with lavender-blue flowers</t>
  </si>
  <si>
    <t>Nepeta 'Walker's Low'</t>
  </si>
  <si>
    <t>blue flowers over aromatic green leaves</t>
  </si>
  <si>
    <t>Papaver Gartenzwerg</t>
  </si>
  <si>
    <t>Dwarf Iceland Poppy</t>
  </si>
  <si>
    <t xml:space="preserve">mixture of white, yellow, orange, scarlet and shades </t>
  </si>
  <si>
    <t>Penstemon Digitalis</t>
  </si>
  <si>
    <t>Beards Tongue</t>
  </si>
  <si>
    <t>unusual maroon foliage</t>
  </si>
  <si>
    <t xml:space="preserve">Phlox Blue </t>
  </si>
  <si>
    <t>Phlox</t>
  </si>
  <si>
    <t>fragrant, dark-eyed violet-blue flowers</t>
  </si>
  <si>
    <t>Phlox paniculata 'Younique Red'</t>
  </si>
  <si>
    <t>Woodland Phlox</t>
  </si>
  <si>
    <t>large flowers on a compact plant with bright red flower</t>
  </si>
  <si>
    <t>Phlox pink</t>
  </si>
  <si>
    <t>fragrant pink flowers over green foliage</t>
  </si>
  <si>
    <t>Phlox White</t>
  </si>
  <si>
    <t>pure white fragrant blooms over green lance-shaped foliage</t>
  </si>
  <si>
    <t>Phlox Younique Old Cerise</t>
  </si>
  <si>
    <t>Old Cerise</t>
  </si>
  <si>
    <t>large linear leaves, topped with intense compact flowers.</t>
  </si>
  <si>
    <t>Phlox Younique Red</t>
  </si>
  <si>
    <t>Younique Red</t>
  </si>
  <si>
    <t>compact flowers over large linear leaves.</t>
  </si>
  <si>
    <t>Primula Apple Blossom</t>
  </si>
  <si>
    <t>Apple Blossom</t>
  </si>
  <si>
    <t>beautiful, robust candelabra primula</t>
  </si>
  <si>
    <t>Primula Avoca</t>
  </si>
  <si>
    <t>Irish Primrose</t>
  </si>
  <si>
    <t>very dark leaves, with contrasting pink flowers</t>
  </si>
  <si>
    <t>Primula Beesiana</t>
  </si>
  <si>
    <t>Candelabra Primula</t>
  </si>
  <si>
    <t>lilac-magenta flowers over contrasting green</t>
  </si>
  <si>
    <t>Primula Claddagh</t>
  </si>
  <si>
    <t>dark bronzey foliage with lemony yellow flowers</t>
  </si>
  <si>
    <t>Primula denticulata 'Alba'</t>
  </si>
  <si>
    <t>Drumstick Primula</t>
  </si>
  <si>
    <t>dense rounded heads of pure white flowers</t>
  </si>
  <si>
    <t>Primula denticulata 'Deep Rose'</t>
  </si>
  <si>
    <t>Blood Red Primula</t>
  </si>
  <si>
    <t>dramatic blood red flowers</t>
  </si>
  <si>
    <t>Primula denticulata 'Lilac'</t>
  </si>
  <si>
    <t>lilac coloured flowers over fresh green foliage</t>
  </si>
  <si>
    <t>Primula denticulata 'Rubin'</t>
  </si>
  <si>
    <t>ball shaped heads of reddish-purple flowers</t>
  </si>
  <si>
    <t xml:space="preserve">Primula Hybrid    </t>
  </si>
  <si>
    <t>Primula Hybrid</t>
  </si>
  <si>
    <t>assorted coloured flowers over green foliage</t>
  </si>
  <si>
    <t>whorls of crimson flowers above a rosette of green</t>
  </si>
  <si>
    <t>Primula Japonica 'Postford White'</t>
  </si>
  <si>
    <t>beautiful white whorls of flowers over green foliage</t>
  </si>
  <si>
    <t>Primula Rosea</t>
  </si>
  <si>
    <t>Himalayan meadow</t>
  </si>
  <si>
    <t>rosettes of bright magenta pink flowers</t>
  </si>
  <si>
    <t>Primula veris</t>
  </si>
  <si>
    <t>Cowslip</t>
  </si>
  <si>
    <t>native primrose, offering clusters of yellow flowers</t>
  </si>
  <si>
    <t>Primula Vialii</t>
  </si>
  <si>
    <t>Orchid Primula</t>
  </si>
  <si>
    <t>the most exotic looking flower of all primulas</t>
  </si>
  <si>
    <t>Primula Vulgaris</t>
  </si>
  <si>
    <t>Primrose</t>
  </si>
  <si>
    <t>seen in woodlands and along streams</t>
  </si>
  <si>
    <t>Salvia Love and Wishes</t>
  </si>
  <si>
    <t>magenta flowers held on almost black stems</t>
  </si>
  <si>
    <t>Salvia 'Mainacht'</t>
  </si>
  <si>
    <t>delightful indigo-blue flower spikes</t>
  </si>
  <si>
    <t>Salvia nemerosa 'Blue Marvel'</t>
  </si>
  <si>
    <t>Meadow Sage</t>
  </si>
  <si>
    <t>blue flowers are exceptionally large for a nemorosa-type</t>
  </si>
  <si>
    <t>Salvia nemerosa 'Ostfriesland'</t>
  </si>
  <si>
    <t>intense violet-blue flowers over compact foliage</t>
  </si>
  <si>
    <t>Salvia Nemerosa Sensation Compact Blue</t>
  </si>
  <si>
    <t>Compact Blue</t>
  </si>
  <si>
    <t>many blue flowers on this compact variety</t>
  </si>
  <si>
    <t>Salvia Nemerosa Sensation Compact White</t>
  </si>
  <si>
    <t>Compact White</t>
  </si>
  <si>
    <t>a profusion of white flowers on this compact variety</t>
  </si>
  <si>
    <t xml:space="preserve">Salvia nemorosa 'Sensation Rose' </t>
  </si>
  <si>
    <t>rose flowers, sitting within a deeper purplish-pink calyx</t>
  </si>
  <si>
    <t>Scabiosa Butterfly blue</t>
  </si>
  <si>
    <t>Scabiosa Columbaria</t>
  </si>
  <si>
    <t>one of the darkest pincushions</t>
  </si>
  <si>
    <t>Scabiosa Japonica Blue Diamonds</t>
  </si>
  <si>
    <t>Scabiosa Japonica Pink Diamonds</t>
  </si>
  <si>
    <t>wonderful blue pincushion flowers on this compact variety</t>
  </si>
  <si>
    <t>Scabiosa pink mist</t>
  </si>
  <si>
    <t>beautiful, pale pink pincushion flowers</t>
  </si>
  <si>
    <t>Sisyrinchium Angustifolium</t>
  </si>
  <si>
    <t>Satin Flower</t>
  </si>
  <si>
    <t>bearing bright blue star-shaped flowers</t>
  </si>
  <si>
    <t>Sisyrinchium Californicum</t>
  </si>
  <si>
    <t>hardy evergreen, iris-like foliage, pale yellow flowers</t>
  </si>
  <si>
    <t>Sisyrinchium californicum Yellow Stone</t>
  </si>
  <si>
    <t>Yellow Stone</t>
  </si>
  <si>
    <t>exquisite yellow flowers over tiny iris-like foliage</t>
  </si>
  <si>
    <t>Sisyrinchium 'Saphire Skies</t>
  </si>
  <si>
    <t>violet-blue flowers with yellw eyes</t>
  </si>
  <si>
    <t>Stachys byzantina</t>
  </si>
  <si>
    <t>Lamb's Ear</t>
  </si>
  <si>
    <t>purple flowers over grey/white wooly leaves</t>
  </si>
  <si>
    <t>Verbena Lollipop</t>
  </si>
  <si>
    <t>floriferous compact dwarf variety</t>
  </si>
  <si>
    <t>Verbena Rigida</t>
  </si>
  <si>
    <t xml:space="preserve">compact, with deep purple/violet flowers </t>
  </si>
  <si>
    <t>Veronica First Glory</t>
  </si>
  <si>
    <t>very dark purple flowers  over green foliage</t>
  </si>
  <si>
    <t>Veronica Spicata Blue</t>
  </si>
  <si>
    <t>compact perennial with blue spires</t>
  </si>
  <si>
    <t>Y</t>
  </si>
  <si>
    <r>
      <t xml:space="preserve">Canna Happy Carmen   </t>
    </r>
    <r>
      <rPr>
        <b/>
        <sz val="10"/>
        <rFont val="Calibri"/>
        <family val="2"/>
        <scheme val="minor"/>
      </rPr>
      <t>RED</t>
    </r>
  </si>
  <si>
    <r>
      <t xml:space="preserve">Canna Happy Cleo       </t>
    </r>
    <r>
      <rPr>
        <b/>
        <sz val="10"/>
        <rFont val="Calibri"/>
        <family val="2"/>
        <scheme val="minor"/>
      </rPr>
      <t xml:space="preserve"> ORANGE</t>
    </r>
  </si>
  <si>
    <r>
      <t xml:space="preserve">Canna Happy Emily      </t>
    </r>
    <r>
      <rPr>
        <b/>
        <sz val="10"/>
        <rFont val="Calibri"/>
        <family val="2"/>
        <scheme val="minor"/>
      </rPr>
      <t>YELLOW</t>
    </r>
  </si>
  <si>
    <r>
      <t xml:space="preserve">Canna Happy Isabel      </t>
    </r>
    <r>
      <rPr>
        <b/>
        <sz val="10"/>
        <rFont val="Calibri"/>
        <family val="2"/>
        <scheme val="minor"/>
      </rPr>
      <t>PINK</t>
    </r>
  </si>
  <si>
    <r>
      <t xml:space="preserve">Canna Happy Julia        </t>
    </r>
    <r>
      <rPr>
        <b/>
        <sz val="10"/>
        <rFont val="Calibri"/>
        <family val="2"/>
        <scheme val="minor"/>
      </rPr>
      <t>RED</t>
    </r>
  </si>
  <si>
    <r>
      <t xml:space="preserve">Canna Happy Wilma  </t>
    </r>
    <r>
      <rPr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>RED</t>
    </r>
  </si>
  <si>
    <t>Schyzostylis Oregon Sunset</t>
  </si>
  <si>
    <t>Geum Mrs Bradshaw</t>
  </si>
  <si>
    <t>iris like foliage with red flowers</t>
  </si>
  <si>
    <t>iris like foliage with orange flowers</t>
  </si>
  <si>
    <t>Hosta Bobcat</t>
  </si>
  <si>
    <t>Hosta Yellow River</t>
  </si>
  <si>
    <t>Pennisetum Alopecuroides Black Beauty</t>
  </si>
  <si>
    <t>Hosta Coloured Hulk</t>
  </si>
  <si>
    <t>Heuchera Venus</t>
  </si>
  <si>
    <t>Plant Name</t>
  </si>
  <si>
    <t>New</t>
  </si>
  <si>
    <t>Geum Borisii</t>
  </si>
  <si>
    <t xml:space="preserve"> terracotta-orange, single flowers with yellow stamens</t>
  </si>
  <si>
    <t>beautiful spikes of white flowers above aromatic foliage</t>
  </si>
  <si>
    <t>silvery-grey, green leaves with dark veining</t>
  </si>
  <si>
    <t>tall stems bear dark purple to black flowers</t>
  </si>
  <si>
    <t>thick, slightly cupped, heart-shaped, lime green leaves</t>
  </si>
  <si>
    <t>dark green margin surrounds the yellow leaf centre</t>
  </si>
  <si>
    <t>Round puckered blue leaves with a yellow margin</t>
  </si>
  <si>
    <t>beautiful golden foliage with green centres</t>
  </si>
  <si>
    <t>very large cupped leaf foliage, blue green</t>
  </si>
  <si>
    <t>semi-double red flowers, in contrast with fresh green foliage</t>
  </si>
  <si>
    <t>Shiny yellow leaves with a wide and dark green margin</t>
  </si>
  <si>
    <t>grey-green leaves with a wide yellow margin</t>
  </si>
  <si>
    <t>beautiful veined green leaves with yellow margins</t>
  </si>
  <si>
    <t>deep purple foliage/flowers up to 2m</t>
  </si>
  <si>
    <t>White Sage</t>
  </si>
  <si>
    <t>Salvia Swan Lake- White</t>
  </si>
  <si>
    <t>Schizostylis Oregon Sunset</t>
  </si>
  <si>
    <t>Agastache Aurantiaca 'Tango'</t>
  </si>
  <si>
    <t>Salvia Sweet Esmeralda (Pink)</t>
  </si>
  <si>
    <t>Salvia Twilights (Blue)</t>
  </si>
  <si>
    <t>summer sunset sky sums up the colours of this flower</t>
  </si>
  <si>
    <t>Pink Sage</t>
  </si>
  <si>
    <t>Blue Sage</t>
  </si>
  <si>
    <t>upright spikes carry heads of magenta-pink flowers</t>
  </si>
  <si>
    <t>flowers blue in the summer on rigid stems</t>
  </si>
  <si>
    <t>trumpet-shaped blooms in a fiery red-orange</t>
  </si>
  <si>
    <t>Panicum Northwind</t>
  </si>
  <si>
    <t>blue-green leaves turning yellow &amp; orange in autumn</t>
  </si>
  <si>
    <t>Feathertop</t>
  </si>
  <si>
    <t>whitish-green panicles becoming purple with age</t>
  </si>
  <si>
    <t>Orange Cape Lily</t>
  </si>
  <si>
    <t>Heuchera Ginger Ale</t>
  </si>
  <si>
    <t>Athyrium Otophorum Var. Okanum</t>
  </si>
  <si>
    <t>Hosta Sunset Grooves</t>
  </si>
  <si>
    <t>Phormium Tenax</t>
  </si>
  <si>
    <t>5L Fargesia Rufa</t>
  </si>
  <si>
    <t>2L Fargesia Rufa</t>
  </si>
  <si>
    <t>NEW Bamboo</t>
  </si>
  <si>
    <t>Ligularia Prezewalskii</t>
  </si>
  <si>
    <t>New Zealand flax</t>
  </si>
  <si>
    <t>tall flowering shoot, with dramatic yellow or red flowers</t>
  </si>
  <si>
    <t>silver sheen, dark veins and amber-coral undersides</t>
  </si>
  <si>
    <t>round, cup-like leaves &amp; even wider dark green leaf margin</t>
  </si>
  <si>
    <t>fronds open pale green before turning grey-green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</si>
</sst>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43" formatCode="_-* #,##0.00_-;\-* #,##0.00_-;_-* &quot;-&quot;??_-;_-@_-"/>
    <numFmt numFmtId="164" formatCode="&quot;£&quot;#,##0.00"/>
  </numFmts>
  <fonts count="7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Bahnschrift Light"/>
      <family val="2"/>
    </font>
    <font>
      <b/>
      <sz val="9"/>
      <color indexed="8"/>
      <name val="Bahnschrift Light"/>
      <family val="2"/>
    </font>
    <font>
      <b/>
      <sz val="14"/>
      <color indexed="25"/>
      <name val="Calibri"/>
      <family val="2"/>
    </font>
    <font>
      <b/>
      <sz val="15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25"/>
      <name val="Calibri"/>
      <family val="2"/>
    </font>
    <font>
      <b/>
      <sz val="14"/>
      <name val="Bahnschrift Light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Bahnschrift Light"/>
      <family val="2"/>
    </font>
    <font>
      <b/>
      <sz val="10"/>
      <color theme="1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82203C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6"/>
      <name val="Calibri"/>
      <family val="2"/>
      <scheme val="minor"/>
    </font>
    <font>
      <sz val="8"/>
      <color rgb="FF82203C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color theme="0"/>
      <name val="Bahnschrift Light"/>
      <family val="2"/>
    </font>
    <font>
      <b/>
      <sz val="12"/>
      <color rgb="FF0070C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9"/>
      <color rgb="FF82203C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22"/>
      <color rgb="FF253E7B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14"/>
      <color rgb="FF82203C"/>
      <name val="Calibri"/>
      <family val="2"/>
      <scheme val="minor"/>
    </font>
    <font>
      <b/>
      <sz val="7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2203C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rgb="FF82203C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8"/>
      <color rgb="FF82203C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Gulim"/>
      <family val="2"/>
      <charset val="129"/>
    </font>
    <font>
      <b/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Bahnschrift Light"/>
      <family val="2"/>
    </font>
    <font>
      <b/>
      <sz val="16"/>
      <color rgb="FF82203C"/>
      <name val="Calibri"/>
      <family val="2"/>
      <scheme val="minor"/>
    </font>
    <font>
      <sz val="11"/>
      <name val="Calibri"/>
      <family val="2"/>
      <scheme val="minor"/>
    </font>
    <font>
      <b/>
      <sz val="7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0"/>
      <name val="Bahnschrift Light"/>
      <family val="2"/>
    </font>
    <font>
      <sz val="10"/>
      <color indexed="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Microsoft PhagsPa"/>
      <family val="2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0"/>
      <name val="Arial"/>
      <family val="2"/>
    </font>
    <font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CF8B2"/>
        <bgColor indexed="64"/>
      </patternFill>
    </fill>
    <fill>
      <patternFill patternType="solid">
        <fgColor rgb="FFF2E2E5"/>
        <bgColor indexed="64"/>
      </patternFill>
    </fill>
    <fill>
      <patternFill patternType="solid">
        <fgColor rgb="FF82203C"/>
        <bgColor indexed="64"/>
      </patternFill>
    </fill>
    <fill>
      <patternFill patternType="solid">
        <fgColor rgb="FFFDF9F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9" fontId="14" fillId="0" borderId="0" applyFont="0" applyFill="0" applyBorder="0" applyAlignment="0" applyProtection="0"/>
  </cellStyleXfs>
  <cellXfs count="262">
    <xf numFmtId="0" fontId="0" fillId="0" borderId="0" xfId="0"/>
    <xf numFmtId="0" fontId="18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22" fillId="0" borderId="1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6" fillId="0" borderId="4" xfId="0" applyFont="1" applyBorder="1" applyAlignment="1">
      <alignment horizontal="left" vertical="center"/>
    </xf>
    <xf numFmtId="0" fontId="27" fillId="0" borderId="4" xfId="0" applyFont="1" applyBorder="1" applyAlignment="1">
      <alignment vertical="center"/>
    </xf>
    <xf numFmtId="0" fontId="28" fillId="0" borderId="4" xfId="0" applyFont="1" applyBorder="1" applyAlignment="1">
      <alignment horizontal="left" vertical="center"/>
    </xf>
    <xf numFmtId="0" fontId="29" fillId="0" borderId="4" xfId="0" applyFont="1" applyBorder="1" applyAlignment="1">
      <alignment horizontal="center" vertical="center"/>
    </xf>
    <xf numFmtId="0" fontId="30" fillId="3" borderId="1" xfId="0" applyFont="1" applyFill="1" applyBorder="1" applyAlignment="1">
      <alignment vertical="center" shrinkToFit="1"/>
    </xf>
    <xf numFmtId="0" fontId="30" fillId="3" borderId="3" xfId="0" applyFont="1" applyFill="1" applyBorder="1" applyAlignment="1">
      <alignment horizontal="right" vertical="center"/>
    </xf>
    <xf numFmtId="0" fontId="2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1" fillId="0" borderId="3" xfId="0" applyFont="1" applyBorder="1" applyAlignment="1">
      <alignment horizontal="right" vertical="center"/>
    </xf>
    <xf numFmtId="1" fontId="21" fillId="0" borderId="3" xfId="0" applyNumberFormat="1" applyFont="1" applyBorder="1" applyAlignment="1">
      <alignment horizontal="right" vertical="center"/>
    </xf>
    <xf numFmtId="0" fontId="22" fillId="0" borderId="1" xfId="3" applyFont="1" applyBorder="1" applyAlignment="1">
      <alignment vertical="center"/>
    </xf>
    <xf numFmtId="0" fontId="21" fillId="0" borderId="3" xfId="3" applyFont="1" applyBorder="1" applyAlignment="1">
      <alignment horizontal="right" vertical="center"/>
    </xf>
    <xf numFmtId="0" fontId="32" fillId="0" borderId="5" xfId="0" applyFont="1" applyBorder="1" applyAlignment="1">
      <alignment horizontal="left" vertical="center"/>
    </xf>
    <xf numFmtId="0" fontId="31" fillId="0" borderId="3" xfId="3" applyFont="1" applyBorder="1" applyAlignment="1">
      <alignment horizontal="right" vertical="center"/>
    </xf>
    <xf numFmtId="0" fontId="23" fillId="0" borderId="0" xfId="0" applyFont="1"/>
    <xf numFmtId="8" fontId="33" fillId="4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4" fillId="0" borderId="0" xfId="0" applyFont="1"/>
    <xf numFmtId="0" fontId="22" fillId="0" borderId="2" xfId="0" applyFont="1" applyBorder="1" applyAlignment="1">
      <alignment vertical="center"/>
    </xf>
    <xf numFmtId="1" fontId="30" fillId="3" borderId="2" xfId="0" applyNumberFormat="1" applyFont="1" applyFill="1" applyBorder="1" applyAlignment="1">
      <alignment vertical="center"/>
    </xf>
    <xf numFmtId="0" fontId="35" fillId="0" borderId="3" xfId="0" applyFont="1" applyBorder="1" applyAlignment="1">
      <alignment horizontal="center" vertical="center"/>
    </xf>
    <xf numFmtId="1" fontId="30" fillId="3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3" xfId="4" applyFont="1" applyBorder="1" applyAlignment="1">
      <alignment horizontal="right" vertical="center"/>
    </xf>
    <xf numFmtId="0" fontId="36" fillId="0" borderId="2" xfId="0" applyFont="1" applyBorder="1" applyAlignment="1">
      <alignment vertical="center"/>
    </xf>
    <xf numFmtId="164" fontId="38" fillId="0" borderId="6" xfId="0" applyNumberFormat="1" applyFont="1" applyBorder="1" applyAlignment="1">
      <alignment horizontal="center" vertical="center"/>
    </xf>
    <xf numFmtId="1" fontId="39" fillId="0" borderId="3" xfId="2" applyNumberFormat="1" applyFont="1" applyBorder="1" applyAlignment="1">
      <alignment horizontal="right" vertical="center"/>
    </xf>
    <xf numFmtId="1" fontId="39" fillId="0" borderId="3" xfId="1" applyNumberFormat="1" applyFont="1" applyBorder="1" applyAlignment="1">
      <alignment horizontal="right" vertical="center"/>
    </xf>
    <xf numFmtId="1" fontId="39" fillId="0" borderId="3" xfId="0" applyNumberFormat="1" applyFont="1" applyBorder="1" applyAlignment="1">
      <alignment horizontal="right" vertical="center"/>
    </xf>
    <xf numFmtId="0" fontId="39" fillId="0" borderId="3" xfId="0" applyFont="1" applyBorder="1" applyAlignment="1">
      <alignment horizontal="right" vertical="center"/>
    </xf>
    <xf numFmtId="49" fontId="39" fillId="0" borderId="3" xfId="0" applyNumberFormat="1" applyFont="1" applyBorder="1" applyAlignment="1">
      <alignment horizontal="right" vertical="center"/>
    </xf>
    <xf numFmtId="1" fontId="39" fillId="0" borderId="3" xfId="5" applyNumberFormat="1" applyFont="1" applyBorder="1" applyAlignment="1">
      <alignment horizontal="right" vertical="center"/>
    </xf>
    <xf numFmtId="0" fontId="37" fillId="5" borderId="3" xfId="0" applyFont="1" applyFill="1" applyBorder="1" applyAlignment="1">
      <alignment horizontal="center" vertical="center" shrinkToFit="1"/>
    </xf>
    <xf numFmtId="0" fontId="40" fillId="0" borderId="0" xfId="0" applyFont="1" applyAlignment="1">
      <alignment vertical="center"/>
    </xf>
    <xf numFmtId="1" fontId="8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41" fillId="0" borderId="3" xfId="0" applyFont="1" applyBorder="1" applyAlignment="1">
      <alignment horizontal="right"/>
    </xf>
    <xf numFmtId="0" fontId="42" fillId="0" borderId="4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20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39" fillId="0" borderId="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6" fillId="0" borderId="0" xfId="0" applyFont="1"/>
    <xf numFmtId="0" fontId="43" fillId="0" borderId="0" xfId="0" applyFont="1" applyBorder="1" applyAlignment="1">
      <alignment horizontal="center" vertical="center"/>
    </xf>
    <xf numFmtId="0" fontId="32" fillId="0" borderId="2" xfId="0" applyFont="1" applyBorder="1" applyAlignment="1">
      <alignment vertical="center"/>
    </xf>
    <xf numFmtId="0" fontId="32" fillId="0" borderId="5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38" fillId="0" borderId="7" xfId="0" applyFont="1" applyBorder="1" applyAlignment="1">
      <alignment horizontal="right" vertical="center"/>
    </xf>
    <xf numFmtId="0" fontId="44" fillId="0" borderId="5" xfId="0" applyFont="1" applyBorder="1" applyAlignment="1">
      <alignment horizontal="right" vertical="center"/>
    </xf>
    <xf numFmtId="0" fontId="45" fillId="5" borderId="2" xfId="0" applyFont="1" applyFill="1" applyBorder="1" applyAlignment="1">
      <alignment vertical="center" shrinkToFit="1"/>
    </xf>
    <xf numFmtId="0" fontId="45" fillId="5" borderId="3" xfId="0" applyFont="1" applyFill="1" applyBorder="1" applyAlignment="1">
      <alignment horizontal="right" vertical="center" shrinkToFit="1"/>
    </xf>
    <xf numFmtId="164" fontId="21" fillId="0" borderId="5" xfId="0" applyNumberFormat="1" applyFont="1" applyBorder="1" applyAlignment="1">
      <alignment horizontal="right" vertical="center"/>
    </xf>
    <xf numFmtId="164" fontId="44" fillId="0" borderId="5" xfId="0" applyNumberFormat="1" applyFont="1" applyBorder="1" applyAlignment="1">
      <alignment horizontal="right" vertical="center"/>
    </xf>
    <xf numFmtId="164" fontId="38" fillId="0" borderId="6" xfId="0" applyNumberFormat="1" applyFont="1" applyBorder="1" applyAlignment="1">
      <alignment horizontal="right" vertical="center"/>
    </xf>
    <xf numFmtId="0" fontId="45" fillId="5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vertical="center"/>
    </xf>
    <xf numFmtId="0" fontId="21" fillId="0" borderId="2" xfId="3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8" fillId="0" borderId="1" xfId="0" applyFont="1" applyBorder="1" applyAlignment="1">
      <alignment vertical="center"/>
    </xf>
    <xf numFmtId="0" fontId="48" fillId="0" borderId="1" xfId="0" applyFont="1" applyBorder="1" applyAlignment="1">
      <alignment horizontal="center" vertical="center"/>
    </xf>
    <xf numFmtId="0" fontId="49" fillId="5" borderId="2" xfId="0" applyFont="1" applyFill="1" applyBorder="1" applyAlignment="1">
      <alignment horizontal="left" vertical="center" shrinkToFit="1"/>
    </xf>
    <xf numFmtId="0" fontId="3" fillId="0" borderId="9" xfId="3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30" fillId="3" borderId="2" xfId="0" applyFont="1" applyFill="1" applyBorder="1" applyAlignment="1">
      <alignment vertical="center" shrinkToFit="1"/>
    </xf>
    <xf numFmtId="0" fontId="23" fillId="0" borderId="2" xfId="0" applyFont="1" applyBorder="1" applyAlignment="1">
      <alignment vertical="center"/>
    </xf>
    <xf numFmtId="0" fontId="32" fillId="0" borderId="10" xfId="0" applyFont="1" applyBorder="1" applyAlignment="1">
      <alignment horizontal="left" vertical="center"/>
    </xf>
    <xf numFmtId="0" fontId="22" fillId="0" borderId="2" xfId="3" applyFont="1" applyBorder="1" applyAlignment="1">
      <alignment vertical="center"/>
    </xf>
    <xf numFmtId="0" fontId="32" fillId="0" borderId="2" xfId="0" applyFont="1" applyBorder="1" applyAlignment="1">
      <alignment horizontal="left" vertical="center"/>
    </xf>
    <xf numFmtId="0" fontId="38" fillId="0" borderId="2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46" fillId="0" borderId="0" xfId="0" applyFont="1"/>
    <xf numFmtId="0" fontId="46" fillId="0" borderId="0" xfId="0" applyFont="1" applyAlignment="1">
      <alignment horizontal="center"/>
    </xf>
    <xf numFmtId="0" fontId="21" fillId="0" borderId="3" xfId="0" quotePrefix="1" applyFont="1" applyBorder="1" applyAlignment="1">
      <alignment horizontal="right" vertical="center"/>
    </xf>
    <xf numFmtId="0" fontId="32" fillId="0" borderId="9" xfId="0" applyFont="1" applyBorder="1" applyAlignment="1">
      <alignment horizontal="left" vertical="center"/>
    </xf>
    <xf numFmtId="0" fontId="42" fillId="0" borderId="4" xfId="0" applyFont="1" applyBorder="1" applyAlignment="1">
      <alignment horizontal="right"/>
    </xf>
    <xf numFmtId="0" fontId="54" fillId="0" borderId="0" xfId="0" applyFont="1"/>
    <xf numFmtId="0" fontId="0" fillId="0" borderId="0" xfId="0" applyAlignment="1">
      <alignment horizontal="right"/>
    </xf>
    <xf numFmtId="0" fontId="4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/>
    <xf numFmtId="0" fontId="38" fillId="0" borderId="0" xfId="0" applyFont="1" applyFill="1" applyBorder="1" applyAlignment="1">
      <alignment vertical="center"/>
    </xf>
    <xf numFmtId="0" fontId="54" fillId="0" borderId="5" xfId="0" applyFont="1" applyBorder="1"/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6" fillId="0" borderId="17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6" fillId="0" borderId="19" xfId="0" applyFont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5" fillId="0" borderId="0" xfId="0" applyFont="1"/>
    <xf numFmtId="0" fontId="34" fillId="0" borderId="0" xfId="0" applyFont="1"/>
    <xf numFmtId="0" fontId="26" fillId="3" borderId="2" xfId="0" applyFont="1" applyFill="1" applyBorder="1" applyAlignment="1">
      <alignment horizontal="right" vertical="center" shrinkToFit="1"/>
    </xf>
    <xf numFmtId="0" fontId="26" fillId="3" borderId="1" xfId="0" applyFont="1" applyFill="1" applyBorder="1" applyAlignment="1">
      <alignment horizontal="left" vertical="center"/>
    </xf>
    <xf numFmtId="1" fontId="47" fillId="3" borderId="2" xfId="0" applyNumberFormat="1" applyFont="1" applyFill="1" applyBorder="1" applyAlignment="1">
      <alignment horizontal="left" vertical="center"/>
    </xf>
    <xf numFmtId="1" fontId="30" fillId="3" borderId="3" xfId="0" applyNumberFormat="1" applyFont="1" applyFill="1" applyBorder="1" applyAlignment="1">
      <alignment vertical="center"/>
    </xf>
    <xf numFmtId="1" fontId="30" fillId="3" borderId="3" xfId="0" applyNumberFormat="1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right" vertical="center"/>
    </xf>
    <xf numFmtId="0" fontId="42" fillId="5" borderId="1" xfId="0" applyFont="1" applyFill="1" applyBorder="1" applyAlignment="1">
      <alignment horizontal="center" vertical="center" shrinkToFit="1"/>
    </xf>
    <xf numFmtId="0" fontId="42" fillId="5" borderId="2" xfId="0" applyFont="1" applyFill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right" vertical="center" shrinkToFit="1"/>
    </xf>
    <xf numFmtId="0" fontId="4" fillId="5" borderId="2" xfId="0" applyFont="1" applyFill="1" applyBorder="1" applyAlignment="1">
      <alignment horizontal="right" vertical="center" shrinkToFit="1"/>
    </xf>
    <xf numFmtId="0" fontId="42" fillId="5" borderId="2" xfId="0" applyFont="1" applyFill="1" applyBorder="1" applyAlignment="1">
      <alignment horizontal="right" vertical="center" shrinkToFit="1"/>
    </xf>
    <xf numFmtId="0" fontId="42" fillId="5" borderId="3" xfId="0" applyFont="1" applyFill="1" applyBorder="1" applyAlignment="1">
      <alignment horizontal="right" vertical="center" shrinkToFit="1"/>
    </xf>
    <xf numFmtId="0" fontId="51" fillId="3" borderId="2" xfId="0" applyFont="1" applyFill="1" applyBorder="1" applyAlignment="1">
      <alignment horizontal="center" vertical="center"/>
    </xf>
    <xf numFmtId="0" fontId="51" fillId="3" borderId="3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45" fillId="5" borderId="2" xfId="0" applyFont="1" applyFill="1" applyBorder="1" applyAlignment="1">
      <alignment horizontal="left" vertical="center" shrinkToFit="1"/>
    </xf>
    <xf numFmtId="0" fontId="45" fillId="5" borderId="2" xfId="0" applyFont="1" applyFill="1" applyBorder="1" applyAlignment="1">
      <alignment horizontal="left" vertical="center"/>
    </xf>
    <xf numFmtId="0" fontId="42" fillId="5" borderId="2" xfId="0" applyFont="1" applyFill="1" applyBorder="1" applyAlignment="1">
      <alignment horizontal="center" vertical="center" shrinkToFit="1"/>
    </xf>
    <xf numFmtId="0" fontId="52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vertical="center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9" fontId="24" fillId="0" borderId="0" xfId="6" applyFont="1" applyAlignment="1">
      <alignment horizontal="center" vertical="center"/>
    </xf>
    <xf numFmtId="9" fontId="24" fillId="0" borderId="0" xfId="6" applyFont="1" applyAlignment="1">
      <alignment vertical="center"/>
    </xf>
    <xf numFmtId="2" fontId="24" fillId="0" borderId="0" xfId="0" applyNumberFormat="1" applyFont="1" applyAlignment="1">
      <alignment vertical="center"/>
    </xf>
    <xf numFmtId="49" fontId="58" fillId="0" borderId="0" xfId="0" applyNumberFormat="1" applyFont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36" fillId="0" borderId="4" xfId="0" applyFont="1" applyBorder="1" applyAlignment="1">
      <alignment horizontal="left" vertical="center"/>
    </xf>
    <xf numFmtId="49" fontId="36" fillId="0" borderId="4" xfId="0" applyNumberFormat="1" applyFont="1" applyBorder="1" applyAlignment="1">
      <alignment horizontal="left"/>
    </xf>
    <xf numFmtId="0" fontId="59" fillId="3" borderId="1" xfId="0" applyFont="1" applyFill="1" applyBorder="1" applyAlignment="1">
      <alignment horizontal="left" vertical="center"/>
    </xf>
    <xf numFmtId="0" fontId="22" fillId="0" borderId="0" xfId="0" applyFont="1"/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Font="1"/>
    <xf numFmtId="0" fontId="24" fillId="0" borderId="0" xfId="0" applyFont="1" applyAlignment="1">
      <alignment horizontal="center" vertical="center"/>
    </xf>
    <xf numFmtId="0" fontId="39" fillId="0" borderId="2" xfId="0" applyFont="1" applyBorder="1" applyAlignment="1">
      <alignment horizontal="right" vertical="center"/>
    </xf>
    <xf numFmtId="0" fontId="39" fillId="0" borderId="2" xfId="0" applyFont="1" applyBorder="1"/>
    <xf numFmtId="0" fontId="39" fillId="0" borderId="3" xfId="0" applyFont="1" applyBorder="1" applyAlignment="1">
      <alignment horizontal="right"/>
    </xf>
    <xf numFmtId="0" fontId="39" fillId="0" borderId="2" xfId="0" applyFont="1" applyBorder="1" applyAlignment="1">
      <alignment vertical="center"/>
    </xf>
    <xf numFmtId="0" fontId="63" fillId="0" borderId="1" xfId="0" applyFont="1" applyBorder="1" applyAlignment="1">
      <alignment vertical="center"/>
    </xf>
    <xf numFmtId="0" fontId="63" fillId="0" borderId="2" xfId="0" applyFont="1" applyBorder="1" applyAlignment="1">
      <alignment vertical="center"/>
    </xf>
    <xf numFmtId="0" fontId="22" fillId="0" borderId="1" xfId="4" applyFont="1" applyBorder="1" applyAlignment="1">
      <alignment horizontal="left" vertical="center"/>
    </xf>
    <xf numFmtId="0" fontId="22" fillId="0" borderId="2" xfId="4" applyFont="1" applyBorder="1" applyAlignment="1">
      <alignment horizontal="left" vertical="center"/>
    </xf>
    <xf numFmtId="0" fontId="64" fillId="0" borderId="0" xfId="4" applyFont="1" applyAlignment="1">
      <alignment horizontal="left" vertical="center"/>
    </xf>
    <xf numFmtId="0" fontId="1" fillId="0" borderId="0" xfId="0" applyFont="1" applyAlignment="1">
      <alignment vertical="center"/>
    </xf>
    <xf numFmtId="0" fontId="65" fillId="0" borderId="1" xfId="4" applyFont="1" applyBorder="1" applyAlignment="1">
      <alignment horizontal="left" vertical="center"/>
    </xf>
    <xf numFmtId="0" fontId="65" fillId="0" borderId="2" xfId="4" applyFont="1" applyBorder="1" applyAlignment="1">
      <alignment horizontal="left" vertical="center"/>
    </xf>
    <xf numFmtId="1" fontId="39" fillId="7" borderId="3" xfId="5" applyNumberFormat="1" applyFont="1" applyFill="1" applyBorder="1" applyAlignment="1">
      <alignment horizontal="right" vertical="center"/>
    </xf>
    <xf numFmtId="0" fontId="22" fillId="0" borderId="1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32" fillId="0" borderId="1" xfId="0" applyFont="1" applyBorder="1" applyAlignment="1">
      <alignment vertical="center"/>
    </xf>
    <xf numFmtId="0" fontId="1" fillId="0" borderId="0" xfId="0" applyFont="1"/>
    <xf numFmtId="0" fontId="68" fillId="0" borderId="3" xfId="0" applyFont="1" applyBorder="1" applyAlignment="1">
      <alignment horizontal="right" vertical="center"/>
    </xf>
    <xf numFmtId="0" fontId="68" fillId="0" borderId="2" xfId="0" applyFont="1" applyBorder="1" applyAlignment="1">
      <alignment vertical="center"/>
    </xf>
    <xf numFmtId="0" fontId="41" fillId="0" borderId="3" xfId="0" applyFont="1" applyBorder="1" applyAlignment="1">
      <alignment horizontal="right" vertical="center"/>
    </xf>
    <xf numFmtId="0" fontId="19" fillId="2" borderId="1" xfId="0" applyFont="1" applyFill="1" applyBorder="1" applyAlignment="1">
      <alignment vertical="center"/>
    </xf>
    <xf numFmtId="0" fontId="39" fillId="0" borderId="5" xfId="0" applyFont="1" applyBorder="1" applyAlignment="1">
      <alignment horizontal="right" vertical="center"/>
    </xf>
    <xf numFmtId="0" fontId="22" fillId="0" borderId="7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Font="1" applyBorder="1"/>
    <xf numFmtId="0" fontId="65" fillId="0" borderId="0" xfId="4" applyFont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65" fillId="0" borderId="8" xfId="4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65" fillId="0" borderId="0" xfId="4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65" fillId="0" borderId="12" xfId="4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1" xfId="3" applyFont="1" applyBorder="1" applyAlignment="1">
      <alignment horizontal="left" vertical="center"/>
    </xf>
    <xf numFmtId="0" fontId="0" fillId="0" borderId="8" xfId="0" applyFont="1" applyBorder="1"/>
    <xf numFmtId="0" fontId="60" fillId="0" borderId="8" xfId="0" applyFont="1" applyBorder="1"/>
    <xf numFmtId="0" fontId="60" fillId="0" borderId="6" xfId="0" applyFont="1" applyBorder="1"/>
    <xf numFmtId="0" fontId="60" fillId="0" borderId="7" xfId="0" applyFont="1" applyBorder="1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/>
    <xf numFmtId="49" fontId="39" fillId="0" borderId="11" xfId="0" applyNumberFormat="1" applyFont="1" applyBorder="1" applyAlignment="1">
      <alignment horizontal="right" vertical="center"/>
    </xf>
    <xf numFmtId="0" fontId="41" fillId="0" borderId="12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70" fillId="0" borderId="0" xfId="0" applyFont="1"/>
    <xf numFmtId="0" fontId="34" fillId="0" borderId="0" xfId="4" applyFont="1" applyAlignment="1">
      <alignment horizontal="left" vertical="center"/>
    </xf>
    <xf numFmtId="0" fontId="70" fillId="0" borderId="0" xfId="0" applyFont="1" applyAlignment="1">
      <alignment vertical="center"/>
    </xf>
    <xf numFmtId="0" fontId="60" fillId="0" borderId="23" xfId="0" applyFont="1" applyBorder="1"/>
    <xf numFmtId="0" fontId="71" fillId="0" borderId="2" xfId="0" applyFont="1" applyBorder="1" applyAlignment="1">
      <alignment horizontal="right" vertical="center"/>
    </xf>
    <xf numFmtId="0" fontId="22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vertical="center"/>
    </xf>
    <xf numFmtId="0" fontId="48" fillId="0" borderId="0" xfId="0" applyFont="1" applyAlignment="1">
      <alignment horizontal="right"/>
    </xf>
    <xf numFmtId="0" fontId="49" fillId="5" borderId="1" xfId="0" applyFont="1" applyFill="1" applyBorder="1" applyAlignment="1">
      <alignment horizontal="left" vertical="center" shrinkToFit="1"/>
    </xf>
    <xf numFmtId="0" fontId="49" fillId="5" borderId="2" xfId="0" applyFont="1" applyFill="1" applyBorder="1" applyAlignment="1">
      <alignment horizontal="left" vertical="center" shrinkToFit="1"/>
    </xf>
    <xf numFmtId="0" fontId="49" fillId="5" borderId="3" xfId="0" applyFont="1" applyFill="1" applyBorder="1" applyAlignment="1">
      <alignment horizontal="left" vertical="center" shrinkToFit="1"/>
    </xf>
    <xf numFmtId="0" fontId="50" fillId="3" borderId="1" xfId="0" applyFont="1" applyFill="1" applyBorder="1" applyAlignment="1">
      <alignment horizontal="center" vertical="center"/>
    </xf>
    <xf numFmtId="0" fontId="50" fillId="3" borderId="3" xfId="0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right" vertical="center" shrinkToFit="1"/>
    </xf>
    <xf numFmtId="0" fontId="26" fillId="5" borderId="3" xfId="0" applyFont="1" applyFill="1" applyBorder="1" applyAlignment="1">
      <alignment horizontal="right" vertical="center" shrinkToFit="1"/>
    </xf>
    <xf numFmtId="0" fontId="42" fillId="5" borderId="2" xfId="0" applyFont="1" applyFill="1" applyBorder="1" applyAlignment="1">
      <alignment horizontal="right" vertical="center" shrinkToFit="1"/>
    </xf>
    <xf numFmtId="0" fontId="42" fillId="5" borderId="3" xfId="0" applyFont="1" applyFill="1" applyBorder="1" applyAlignment="1">
      <alignment horizontal="right" vertical="center" shrinkToFit="1"/>
    </xf>
    <xf numFmtId="0" fontId="56" fillId="5" borderId="1" xfId="0" applyFont="1" applyFill="1" applyBorder="1" applyAlignment="1">
      <alignment horizontal="center" vertical="center"/>
    </xf>
    <xf numFmtId="0" fontId="56" fillId="5" borderId="2" xfId="0" applyFont="1" applyFill="1" applyBorder="1" applyAlignment="1">
      <alignment horizontal="center" vertical="center"/>
    </xf>
    <xf numFmtId="0" fontId="56" fillId="5" borderId="3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36" fillId="0" borderId="9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2" xfId="0" applyFont="1" applyBorder="1" applyAlignment="1">
      <alignment horizontal="right" vertical="center"/>
    </xf>
    <xf numFmtId="0" fontId="47" fillId="0" borderId="2" xfId="0" applyFont="1" applyBorder="1" applyAlignment="1">
      <alignment horizontal="center" vertical="center"/>
    </xf>
    <xf numFmtId="0" fontId="36" fillId="0" borderId="4" xfId="0" applyFont="1" applyBorder="1" applyAlignment="1">
      <alignment horizontal="left" vertical="center"/>
    </xf>
    <xf numFmtId="0" fontId="52" fillId="0" borderId="4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/>
    </xf>
    <xf numFmtId="0" fontId="54" fillId="0" borderId="3" xfId="0" applyFont="1" applyBorder="1" applyAlignment="1">
      <alignment horizontal="center"/>
    </xf>
  </cellXfs>
  <cellStyles count="7">
    <cellStyle name="Comma" xfId="1" builtinId="3"/>
    <cellStyle name="Comma 11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7" xfId="5" xr:uid="{00000000-0005-0000-0000-000005000000}"/>
    <cellStyle name="Percent" xfId="6" builtinId="5"/>
  </cellStyles>
  <dxfs count="4">
    <dxf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ont>
        <b/>
        <i val="0"/>
      </font>
      <fill>
        <patternFill>
          <bgColor theme="0" tint="-0.14996795556505021"/>
        </patternFill>
      </fill>
    </dxf>
    <dxf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CF8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22" fmlaLink="$U$9" fmlaRange="$U$6:$U$8" noThreeD="1" sel="1" val="0"/>
</file>

<file path=xl/ctrlProps/ctrlProp2.xml><?xml version="1.0" encoding="utf-8"?>
<formControlPr xmlns="http://schemas.microsoft.com/office/spreadsheetml/2009/9/main" objectType="Drop" dropLines="4" dropStyle="combo" dx="22" fmlaLink="$T$5" fmlaRange="$U$2:$U$5" noThreeD="1" sel="1" val="0"/>
</file>

<file path=xl/ctrlProps/ctrlProp3.xml><?xml version="1.0" encoding="utf-8"?>
<formControlPr xmlns="http://schemas.microsoft.com/office/spreadsheetml/2009/9/main" objectType="Drop" dropLines="4" dropStyle="combo" dx="22" fmlaLink="$U$10" fmlaRange="$U$6:$U$8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19465</xdr:colOff>
      <xdr:row>4</xdr:row>
      <xdr:rowOff>43961</xdr:rowOff>
    </xdr:from>
    <xdr:to>
      <xdr:col>17</xdr:col>
      <xdr:colOff>592960</xdr:colOff>
      <xdr:row>8</xdr:row>
      <xdr:rowOff>131884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68993" y="825730"/>
          <a:ext cx="1795571" cy="609102"/>
        </a:xfrm>
        <a:prstGeom prst="rect">
          <a:avLst/>
        </a:prstGeom>
        <a:solidFill>
          <a:srgbClr val="FCF8B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Do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you want us to barcode the stock?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412315</xdr:colOff>
      <xdr:row>2</xdr:row>
      <xdr:rowOff>33316</xdr:rowOff>
    </xdr:from>
    <xdr:to>
      <xdr:col>13</xdr:col>
      <xdr:colOff>79700</xdr:colOff>
      <xdr:row>2</xdr:row>
      <xdr:rowOff>240597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000240" y="356807"/>
          <a:ext cx="3782903" cy="2072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000" b="1">
              <a:solidFill>
                <a:schemeClr val="dk1"/>
              </a:solidFill>
              <a:effectLst/>
              <a:latin typeface="Bahnschrift Light" panose="020B0502040204020203" pitchFamily="34" charset="0"/>
              <a:ea typeface="+mn-ea"/>
              <a:cs typeface="+mn-cs"/>
            </a:rPr>
            <a:t>Minimum Order- </a:t>
          </a:r>
          <a:r>
            <a:rPr lang="en-GB" sz="1000" b="1" baseline="0">
              <a:solidFill>
                <a:schemeClr val="dk1"/>
              </a:solidFill>
              <a:effectLst/>
              <a:latin typeface="Bahnschrift Light" panose="020B0502040204020203" pitchFamily="34" charset="0"/>
              <a:ea typeface="+mn-ea"/>
              <a:cs typeface="+mn-cs"/>
            </a:rPr>
            <a:t> Full Trolley          </a:t>
          </a:r>
          <a:r>
            <a:rPr lang="en-GB" sz="1000" b="1">
              <a:solidFill>
                <a:schemeClr val="tx1">
                  <a:lumMod val="85000"/>
                  <a:lumOff val="15000"/>
                </a:schemeClr>
              </a:solidFill>
              <a:latin typeface="Bahnschrift Light" panose="020B0502040204020203" pitchFamily="34" charset="0"/>
            </a:rPr>
            <a:t>Week 38  16.09.2019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428625</xdr:colOff>
          <xdr:row>7</xdr:row>
          <xdr:rowOff>66675</xdr:rowOff>
        </xdr:from>
        <xdr:to>
          <xdr:col>17</xdr:col>
          <xdr:colOff>200025</xdr:colOff>
          <xdr:row>8</xdr:row>
          <xdr:rowOff>76200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5</xdr:col>
      <xdr:colOff>886558</xdr:colOff>
      <xdr:row>0</xdr:row>
      <xdr:rowOff>4370</xdr:rowOff>
    </xdr:from>
    <xdr:to>
      <xdr:col>15</xdr:col>
      <xdr:colOff>109159</xdr:colOff>
      <xdr:row>2</xdr:row>
      <xdr:rowOff>68690</xdr:rowOff>
    </xdr:to>
    <xdr:sp macro="" textlink="">
      <xdr:nvSpPr>
        <xdr:cNvPr id="11" name="Rectangle: Rounded Corners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410558" y="4370"/>
          <a:ext cx="4410063" cy="386705"/>
        </a:xfrm>
        <a:prstGeom prst="roundRect">
          <a:avLst>
            <a:gd name="adj" fmla="val 50000"/>
          </a:avLst>
        </a:prstGeom>
        <a:solidFill>
          <a:srgbClr val="82203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endParaRPr lang="en-GB" sz="2400">
            <a:latin typeface="Bahnschrift Light" panose="020B0502040204020203" pitchFamily="34" charset="0"/>
          </a:endParaRPr>
        </a:p>
        <a:p>
          <a:pPr algn="l"/>
          <a:r>
            <a:rPr lang="en-GB" sz="800">
              <a:latin typeface="Bahnschrift Light" panose="020B0502040204020203" pitchFamily="34" charset="0"/>
            </a:rPr>
            <a:t>           </a:t>
          </a:r>
        </a:p>
      </xdr:txBody>
    </xdr:sp>
    <xdr:clientData/>
  </xdr:twoCellAnchor>
  <xdr:twoCellAnchor>
    <xdr:from>
      <xdr:col>5</xdr:col>
      <xdr:colOff>974481</xdr:colOff>
      <xdr:row>0</xdr:row>
      <xdr:rowOff>6</xdr:rowOff>
    </xdr:from>
    <xdr:to>
      <xdr:col>12</xdr:col>
      <xdr:colOff>502578</xdr:colOff>
      <xdr:row>2</xdr:row>
      <xdr:rowOff>43963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498481" y="6"/>
          <a:ext cx="4210001" cy="3663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36000" rtlCol="0" anchor="t"/>
        <a:lstStyle/>
        <a:p>
          <a:pPr algn="r"/>
          <a:r>
            <a:rPr lang="en-GB" sz="2000">
              <a:solidFill>
                <a:schemeClr val="bg1"/>
              </a:solidFill>
              <a:effectLst/>
              <a:latin typeface="Bahnschrift Light" panose="020B0502040204020203" pitchFamily="34" charset="0"/>
              <a:ea typeface="+mn-ea"/>
              <a:cs typeface="+mn-cs"/>
            </a:rPr>
            <a:t>Garden Plants- Looking Good List</a:t>
          </a:r>
          <a:endParaRPr lang="en-GB" sz="2000">
            <a:solidFill>
              <a:schemeClr val="bg1"/>
            </a:solidFill>
            <a:effectLst/>
            <a:latin typeface="Bahnschrift Light" panose="020B0502040204020203" pitchFamily="34" charset="0"/>
          </a:endParaRPr>
        </a:p>
      </xdr:txBody>
    </xdr:sp>
    <xdr:clientData/>
  </xdr:twoCellAnchor>
  <xdr:twoCellAnchor>
    <xdr:from>
      <xdr:col>13</xdr:col>
      <xdr:colOff>20622</xdr:colOff>
      <xdr:row>0</xdr:row>
      <xdr:rowOff>0</xdr:rowOff>
    </xdr:from>
    <xdr:to>
      <xdr:col>15</xdr:col>
      <xdr:colOff>133350</xdr:colOff>
      <xdr:row>2</xdr:row>
      <xdr:rowOff>236469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724065" y="0"/>
          <a:ext cx="777681" cy="55996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 editAs="oneCell">
    <xdr:from>
      <xdr:col>1</xdr:col>
      <xdr:colOff>85725</xdr:colOff>
      <xdr:row>0</xdr:row>
      <xdr:rowOff>47625</xdr:rowOff>
    </xdr:from>
    <xdr:to>
      <xdr:col>4</xdr:col>
      <xdr:colOff>270382</xdr:colOff>
      <xdr:row>2</xdr:row>
      <xdr:rowOff>76200</xdr:rowOff>
    </xdr:to>
    <xdr:pic>
      <xdr:nvPicPr>
        <xdr:cNvPr id="42881" name="Picture 25">
          <a:extLst>
            <a:ext uri="{FF2B5EF4-FFF2-40B4-BE49-F238E27FC236}">
              <a16:creationId xmlns:a16="http://schemas.microsoft.com/office/drawing/2014/main" id="{00000000-0008-0000-0000-000081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10287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16586</xdr:colOff>
      <xdr:row>0</xdr:row>
      <xdr:rowOff>27147</xdr:rowOff>
    </xdr:from>
    <xdr:to>
      <xdr:col>17</xdr:col>
      <xdr:colOff>593834</xdr:colOff>
      <xdr:row>3</xdr:row>
      <xdr:rowOff>215411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66114" y="27147"/>
          <a:ext cx="1799324" cy="754372"/>
        </a:xfrm>
        <a:prstGeom prst="rect">
          <a:avLst/>
        </a:prstGeom>
        <a:solidFill>
          <a:srgbClr val="FCF8B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If any of the plants you order are not available what should we do?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419100</xdr:colOff>
          <xdr:row>2</xdr:row>
          <xdr:rowOff>238125</xdr:rowOff>
        </xdr:from>
        <xdr:to>
          <xdr:col>17</xdr:col>
          <xdr:colOff>190500</xdr:colOff>
          <xdr:row>3</xdr:row>
          <xdr:rowOff>180975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15</xdr:col>
      <xdr:colOff>18817</xdr:colOff>
      <xdr:row>9</xdr:row>
      <xdr:rowOff>6068</xdr:rowOff>
    </xdr:from>
    <xdr:to>
      <xdr:col>17</xdr:col>
      <xdr:colOff>592312</xdr:colOff>
      <xdr:row>13</xdr:row>
      <xdr:rowOff>9525</xdr:rowOff>
    </xdr:to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391167" y="1530068"/>
          <a:ext cx="1792695" cy="660682"/>
        </a:xfrm>
        <a:prstGeom prst="rect">
          <a:avLst/>
        </a:prstGeom>
        <a:solidFill>
          <a:srgbClr val="FCF8B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Do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you want us to </a:t>
          </a:r>
        </a:p>
        <a:p>
          <a:pPr algn="ctr"/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Pre-price the stock?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419100</xdr:colOff>
          <xdr:row>11</xdr:row>
          <xdr:rowOff>38100</xdr:rowOff>
        </xdr:from>
        <xdr:to>
          <xdr:col>17</xdr:col>
          <xdr:colOff>209550</xdr:colOff>
          <xdr:row>12</xdr:row>
          <xdr:rowOff>66675</xdr:rowOff>
        </xdr:to>
        <xdr:sp macro="" textlink="">
          <xdr:nvSpPr>
            <xdr:cNvPr id="31599" name="Drop Down 29551" hidden="1">
              <a:extLst>
                <a:ext uri="{63B3BB69-23CF-44E3-9099-C40C66FF867C}">
                  <a14:compatExt spid="_x0000_s31599"/>
                </a:ext>
                <a:ext uri="{FF2B5EF4-FFF2-40B4-BE49-F238E27FC236}">
                  <a16:creationId xmlns:a16="http://schemas.microsoft.com/office/drawing/2014/main" id="{00000000-0008-0000-0000-00006F7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9</xdr:col>
      <xdr:colOff>19050</xdr:colOff>
      <xdr:row>112</xdr:row>
      <xdr:rowOff>14654</xdr:rowOff>
    </xdr:from>
    <xdr:to>
      <xdr:col>10</xdr:col>
      <xdr:colOff>9525</xdr:colOff>
      <xdr:row>112</xdr:row>
      <xdr:rowOff>167054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0723" y="2908789"/>
          <a:ext cx="15899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5052</xdr:colOff>
      <xdr:row>482</xdr:row>
      <xdr:rowOff>8284</xdr:rowOff>
    </xdr:from>
    <xdr:to>
      <xdr:col>9</xdr:col>
      <xdr:colOff>164703</xdr:colOff>
      <xdr:row>482</xdr:row>
      <xdr:rowOff>160684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6725" y="8749303"/>
          <a:ext cx="159651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19706</xdr:colOff>
      <xdr:row>339</xdr:row>
      <xdr:rowOff>8283</xdr:rowOff>
    </xdr:from>
    <xdr:to>
      <xdr:col>10</xdr:col>
      <xdr:colOff>10838</xdr:colOff>
      <xdr:row>339</xdr:row>
      <xdr:rowOff>160683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1172" y="7818783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6568</xdr:colOff>
      <xdr:row>901</xdr:row>
      <xdr:rowOff>14852</xdr:rowOff>
    </xdr:from>
    <xdr:to>
      <xdr:col>9</xdr:col>
      <xdr:colOff>156172</xdr:colOff>
      <xdr:row>901</xdr:row>
      <xdr:rowOff>158969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034" y="21035542"/>
          <a:ext cx="149604" cy="144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6568</xdr:colOff>
      <xdr:row>902</xdr:row>
      <xdr:rowOff>14852</xdr:rowOff>
    </xdr:from>
    <xdr:to>
      <xdr:col>9</xdr:col>
      <xdr:colOff>156172</xdr:colOff>
      <xdr:row>905</xdr:row>
      <xdr:rowOff>144117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034" y="21206335"/>
          <a:ext cx="149604" cy="144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6568</xdr:colOff>
      <xdr:row>904</xdr:row>
      <xdr:rowOff>14852</xdr:rowOff>
    </xdr:from>
    <xdr:to>
      <xdr:col>9</xdr:col>
      <xdr:colOff>156172</xdr:colOff>
      <xdr:row>905</xdr:row>
      <xdr:rowOff>144117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034" y="21377128"/>
          <a:ext cx="149604" cy="144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6568</xdr:colOff>
      <xdr:row>905</xdr:row>
      <xdr:rowOff>14852</xdr:rowOff>
    </xdr:from>
    <xdr:to>
      <xdr:col>9</xdr:col>
      <xdr:colOff>156172</xdr:colOff>
      <xdr:row>905</xdr:row>
      <xdr:rowOff>158969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034" y="21547921"/>
          <a:ext cx="149604" cy="144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6568</xdr:colOff>
      <xdr:row>906</xdr:row>
      <xdr:rowOff>14852</xdr:rowOff>
    </xdr:from>
    <xdr:to>
      <xdr:col>9</xdr:col>
      <xdr:colOff>156172</xdr:colOff>
      <xdr:row>906</xdr:row>
      <xdr:rowOff>158969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318" y="24435487"/>
          <a:ext cx="149604" cy="144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23047</xdr:colOff>
      <xdr:row>1046</xdr:row>
      <xdr:rowOff>17808</xdr:rowOff>
    </xdr:from>
    <xdr:to>
      <xdr:col>10</xdr:col>
      <xdr:colOff>1858</xdr:colOff>
      <xdr:row>1046</xdr:row>
      <xdr:rowOff>158611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2522" y="22773033"/>
          <a:ext cx="150261" cy="14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13137</xdr:colOff>
      <xdr:row>1142</xdr:row>
      <xdr:rowOff>14654</xdr:rowOff>
    </xdr:from>
    <xdr:to>
      <xdr:col>9</xdr:col>
      <xdr:colOff>162741</xdr:colOff>
      <xdr:row>1142</xdr:row>
      <xdr:rowOff>164913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4810" y="27900923"/>
          <a:ext cx="149604" cy="150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26377</xdr:colOff>
      <xdr:row>47</xdr:row>
      <xdr:rowOff>8282</xdr:rowOff>
    </xdr:from>
    <xdr:to>
      <xdr:col>10</xdr:col>
      <xdr:colOff>16852</xdr:colOff>
      <xdr:row>47</xdr:row>
      <xdr:rowOff>160682</xdr:rowOff>
    </xdr:to>
    <xdr:pic>
      <xdr:nvPicPr>
        <xdr:cNvPr id="51" name="Picture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2565378"/>
          <a:ext cx="15899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13137</xdr:colOff>
      <xdr:row>1151</xdr:row>
      <xdr:rowOff>19522</xdr:rowOff>
    </xdr:from>
    <xdr:ext cx="149604" cy="145846"/>
    <xdr:pic>
      <xdr:nvPicPr>
        <xdr:cNvPr id="49" name="Picture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2612" y="26689522"/>
          <a:ext cx="149604" cy="14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19050</xdr:colOff>
      <xdr:row>157</xdr:row>
      <xdr:rowOff>9525</xdr:rowOff>
    </xdr:from>
    <xdr:to>
      <xdr:col>10</xdr:col>
      <xdr:colOff>9525</xdr:colOff>
      <xdr:row>158</xdr:row>
      <xdr:rowOff>0</xdr:rowOff>
    </xdr:to>
    <xdr:pic>
      <xdr:nvPicPr>
        <xdr:cNvPr id="61" name="Picture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4248150"/>
          <a:ext cx="161925" cy="160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9526</xdr:colOff>
      <xdr:row>217</xdr:row>
      <xdr:rowOff>14654</xdr:rowOff>
    </xdr:from>
    <xdr:to>
      <xdr:col>9</xdr:col>
      <xdr:colOff>161926</xdr:colOff>
      <xdr:row>217</xdr:row>
      <xdr:rowOff>158089</xdr:rowOff>
    </xdr:to>
    <xdr:pic>
      <xdr:nvPicPr>
        <xdr:cNvPr id="66" name="Picture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6" y="3919904"/>
          <a:ext cx="152400" cy="143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6569</xdr:colOff>
      <xdr:row>609</xdr:row>
      <xdr:rowOff>6569</xdr:rowOff>
    </xdr:from>
    <xdr:to>
      <xdr:col>9</xdr:col>
      <xdr:colOff>160096</xdr:colOff>
      <xdr:row>609</xdr:row>
      <xdr:rowOff>152686</xdr:rowOff>
    </xdr:to>
    <xdr:pic>
      <xdr:nvPicPr>
        <xdr:cNvPr id="68" name="Picture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035" y="12908017"/>
          <a:ext cx="153527" cy="142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24842</xdr:colOff>
      <xdr:row>235</xdr:row>
      <xdr:rowOff>23893</xdr:rowOff>
    </xdr:from>
    <xdr:to>
      <xdr:col>10</xdr:col>
      <xdr:colOff>3307</xdr:colOff>
      <xdr:row>235</xdr:row>
      <xdr:rowOff>163455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6515" y="4280835"/>
          <a:ext cx="146984" cy="13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8277</xdr:colOff>
      <xdr:row>1155</xdr:row>
      <xdr:rowOff>17808</xdr:rowOff>
    </xdr:from>
    <xdr:ext cx="149604" cy="145846"/>
    <xdr:pic>
      <xdr:nvPicPr>
        <xdr:cNvPr id="48" name="Pictur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7752" y="27030708"/>
          <a:ext cx="149604" cy="14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9</xdr:col>
      <xdr:colOff>21981</xdr:colOff>
      <xdr:row>25</xdr:row>
      <xdr:rowOff>16566</xdr:rowOff>
    </xdr:from>
    <xdr:to>
      <xdr:col>10</xdr:col>
      <xdr:colOff>17872</xdr:colOff>
      <xdr:row>25</xdr:row>
      <xdr:rowOff>161925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3654" y="2236624"/>
          <a:ext cx="164410" cy="145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458</xdr:row>
      <xdr:rowOff>16566</xdr:rowOff>
    </xdr:from>
    <xdr:to>
      <xdr:col>9</xdr:col>
      <xdr:colOff>164410</xdr:colOff>
      <xdr:row>458</xdr:row>
      <xdr:rowOff>168519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8075544"/>
          <a:ext cx="16441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486</xdr:row>
      <xdr:rowOff>16566</xdr:rowOff>
    </xdr:from>
    <xdr:to>
      <xdr:col>9</xdr:col>
      <xdr:colOff>164410</xdr:colOff>
      <xdr:row>486</xdr:row>
      <xdr:rowOff>161925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8597349"/>
          <a:ext cx="16441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610</xdr:row>
      <xdr:rowOff>16566</xdr:rowOff>
    </xdr:from>
    <xdr:to>
      <xdr:col>9</xdr:col>
      <xdr:colOff>153527</xdr:colOff>
      <xdr:row>610</xdr:row>
      <xdr:rowOff>159369</xdr:rowOff>
    </xdr:to>
    <xdr:pic>
      <xdr:nvPicPr>
        <xdr:cNvPr id="53" name="Pictur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1297479"/>
          <a:ext cx="153527" cy="142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16566</xdr:colOff>
      <xdr:row>657</xdr:row>
      <xdr:rowOff>16566</xdr:rowOff>
    </xdr:from>
    <xdr:to>
      <xdr:col>10</xdr:col>
      <xdr:colOff>2005</xdr:colOff>
      <xdr:row>657</xdr:row>
      <xdr:rowOff>159369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5566" y="14544262"/>
          <a:ext cx="153527" cy="142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16566</xdr:colOff>
      <xdr:row>661</xdr:row>
      <xdr:rowOff>16566</xdr:rowOff>
    </xdr:from>
    <xdr:to>
      <xdr:col>10</xdr:col>
      <xdr:colOff>2005</xdr:colOff>
      <xdr:row>661</xdr:row>
      <xdr:rowOff>162682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5566" y="14718196"/>
          <a:ext cx="153527" cy="14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895</xdr:row>
      <xdr:rowOff>16566</xdr:rowOff>
    </xdr:from>
    <xdr:to>
      <xdr:col>9</xdr:col>
      <xdr:colOff>149604</xdr:colOff>
      <xdr:row>895</xdr:row>
      <xdr:rowOff>160683</xdr:rowOff>
    </xdr:to>
    <xdr:pic>
      <xdr:nvPicPr>
        <xdr:cNvPr id="56" name="Picture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18561327"/>
          <a:ext cx="149604" cy="144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16566</xdr:colOff>
      <xdr:row>350</xdr:row>
      <xdr:rowOff>16566</xdr:rowOff>
    </xdr:from>
    <xdr:to>
      <xdr:col>10</xdr:col>
      <xdr:colOff>7698</xdr:colOff>
      <xdr:row>350</xdr:row>
      <xdr:rowOff>165652</xdr:rowOff>
    </xdr:to>
    <xdr:pic>
      <xdr:nvPicPr>
        <xdr:cNvPr id="58" name="Pictur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5566" y="7214153"/>
          <a:ext cx="165067" cy="149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8283</xdr:colOff>
      <xdr:row>565</xdr:row>
      <xdr:rowOff>16566</xdr:rowOff>
    </xdr:from>
    <xdr:to>
      <xdr:col>10</xdr:col>
      <xdr:colOff>4605</xdr:colOff>
      <xdr:row>565</xdr:row>
      <xdr:rowOff>168519</xdr:rowOff>
    </xdr:to>
    <xdr:pic>
      <xdr:nvPicPr>
        <xdr:cNvPr id="59" name="Picture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7283" y="11570805"/>
          <a:ext cx="16441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8283</xdr:colOff>
      <xdr:row>580</xdr:row>
      <xdr:rowOff>16566</xdr:rowOff>
    </xdr:from>
    <xdr:to>
      <xdr:col>10</xdr:col>
      <xdr:colOff>4605</xdr:colOff>
      <xdr:row>581</xdr:row>
      <xdr:rowOff>878</xdr:rowOff>
    </xdr:to>
    <xdr:pic>
      <xdr:nvPicPr>
        <xdr:cNvPr id="60" name="Picture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7283" y="11918675"/>
          <a:ext cx="16441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8283</xdr:colOff>
      <xdr:row>581</xdr:row>
      <xdr:rowOff>16566</xdr:rowOff>
    </xdr:from>
    <xdr:to>
      <xdr:col>10</xdr:col>
      <xdr:colOff>4605</xdr:colOff>
      <xdr:row>582</xdr:row>
      <xdr:rowOff>0</xdr:rowOff>
    </xdr:to>
    <xdr:pic>
      <xdr:nvPicPr>
        <xdr:cNvPr id="62" name="Picture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7283" y="12092609"/>
          <a:ext cx="16441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8276</xdr:colOff>
      <xdr:row>621</xdr:row>
      <xdr:rowOff>24848</xdr:rowOff>
    </xdr:from>
    <xdr:to>
      <xdr:col>9</xdr:col>
      <xdr:colOff>161803</xdr:colOff>
      <xdr:row>622</xdr:row>
      <xdr:rowOff>0</xdr:rowOff>
    </xdr:to>
    <xdr:pic>
      <xdr:nvPicPr>
        <xdr:cNvPr id="63" name="Picture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7276" y="13508935"/>
          <a:ext cx="153527" cy="142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16566</xdr:colOff>
      <xdr:row>644</xdr:row>
      <xdr:rowOff>24849</xdr:rowOff>
    </xdr:from>
    <xdr:to>
      <xdr:col>10</xdr:col>
      <xdr:colOff>2005</xdr:colOff>
      <xdr:row>644</xdr:row>
      <xdr:rowOff>168519</xdr:rowOff>
    </xdr:to>
    <xdr:pic>
      <xdr:nvPicPr>
        <xdr:cNvPr id="64" name="Picture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5566" y="14030740"/>
          <a:ext cx="153527" cy="142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16566</xdr:colOff>
      <xdr:row>662</xdr:row>
      <xdr:rowOff>16565</xdr:rowOff>
    </xdr:from>
    <xdr:to>
      <xdr:col>10</xdr:col>
      <xdr:colOff>2005</xdr:colOff>
      <xdr:row>662</xdr:row>
      <xdr:rowOff>162681</xdr:rowOff>
    </xdr:to>
    <xdr:pic>
      <xdr:nvPicPr>
        <xdr:cNvPr id="69" name="Picture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5566" y="14892130"/>
          <a:ext cx="153527" cy="14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8283</xdr:colOff>
      <xdr:row>664</xdr:row>
      <xdr:rowOff>16566</xdr:rowOff>
    </xdr:from>
    <xdr:to>
      <xdr:col>9</xdr:col>
      <xdr:colOff>161810</xdr:colOff>
      <xdr:row>664</xdr:row>
      <xdr:rowOff>162682</xdr:rowOff>
    </xdr:to>
    <xdr:pic>
      <xdr:nvPicPr>
        <xdr:cNvPr id="70" name="Picture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7283" y="15240001"/>
          <a:ext cx="153527" cy="1461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23893</xdr:colOff>
      <xdr:row>40</xdr:row>
      <xdr:rowOff>8283</xdr:rowOff>
    </xdr:from>
    <xdr:to>
      <xdr:col>10</xdr:col>
      <xdr:colOff>14368</xdr:colOff>
      <xdr:row>40</xdr:row>
      <xdr:rowOff>160683</xdr:rowOff>
    </xdr:to>
    <xdr:pic>
      <xdr:nvPicPr>
        <xdr:cNvPr id="57" name="Picture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5566" y="2396860"/>
          <a:ext cx="15899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685</xdr:row>
      <xdr:rowOff>0</xdr:rowOff>
    </xdr:from>
    <xdr:to>
      <xdr:col>10</xdr:col>
      <xdr:colOff>190500</xdr:colOff>
      <xdr:row>685</xdr:row>
      <xdr:rowOff>142875</xdr:rowOff>
    </xdr:to>
    <xdr:pic>
      <xdr:nvPicPr>
        <xdr:cNvPr id="65" name="Picture 40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192" y="16075269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689</xdr:row>
      <xdr:rowOff>0</xdr:rowOff>
    </xdr:from>
    <xdr:to>
      <xdr:col>10</xdr:col>
      <xdr:colOff>190500</xdr:colOff>
      <xdr:row>690</xdr:row>
      <xdr:rowOff>142875</xdr:rowOff>
    </xdr:to>
    <xdr:pic>
      <xdr:nvPicPr>
        <xdr:cNvPr id="71" name="Picture 4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192" y="16412308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691</xdr:row>
      <xdr:rowOff>0</xdr:rowOff>
    </xdr:from>
    <xdr:to>
      <xdr:col>10</xdr:col>
      <xdr:colOff>190500</xdr:colOff>
      <xdr:row>694</xdr:row>
      <xdr:rowOff>142875</xdr:rowOff>
    </xdr:to>
    <xdr:pic>
      <xdr:nvPicPr>
        <xdr:cNvPr id="73" name="Picture 40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192" y="16580827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21981</xdr:colOff>
      <xdr:row>100</xdr:row>
      <xdr:rowOff>7327</xdr:rowOff>
    </xdr:from>
    <xdr:to>
      <xdr:col>10</xdr:col>
      <xdr:colOff>12456</xdr:colOff>
      <xdr:row>100</xdr:row>
      <xdr:rowOff>159727</xdr:rowOff>
    </xdr:to>
    <xdr:pic>
      <xdr:nvPicPr>
        <xdr:cNvPr id="72" name="Picture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3654" y="2732942"/>
          <a:ext cx="15899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1144</xdr:row>
      <xdr:rowOff>21981</xdr:rowOff>
    </xdr:from>
    <xdr:to>
      <xdr:col>9</xdr:col>
      <xdr:colOff>146984</xdr:colOff>
      <xdr:row>1144</xdr:row>
      <xdr:rowOff>161543</xdr:rowOff>
    </xdr:to>
    <xdr:pic>
      <xdr:nvPicPr>
        <xdr:cNvPr id="67" name="Picture 1">
          <a:extLst>
            <a:ext uri="{FF2B5EF4-FFF2-40B4-BE49-F238E27FC236}">
              <a16:creationId xmlns:a16="http://schemas.microsoft.com/office/drawing/2014/main" id="{F12999C2-F8F3-42D7-AE13-C5796A9C6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1673" y="28245289"/>
          <a:ext cx="146984" cy="13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1195"/>
  <sheetViews>
    <sheetView showGridLines="0" tabSelected="1" topLeftCell="B1" zoomScale="130" zoomScaleNormal="130" zoomScaleSheetLayoutView="70" workbookViewId="0">
      <selection activeCell="F4" sqref="F4:M4"/>
    </sheetView>
  </sheetViews>
  <sheetFormatPr defaultRowHeight="12.75" customHeight="1" x14ac:dyDescent="0.25"/>
  <cols>
    <col min="1" max="1" width="4.42578125" hidden="1" customWidth="1"/>
    <col min="2" max="2" width="2.5703125" style="61" customWidth="1"/>
    <col min="3" max="3" width="2.7109375" customWidth="1"/>
    <col min="4" max="4" width="7.42578125" customWidth="1"/>
    <col min="5" max="5" width="10.140625" customWidth="1"/>
    <col min="6" max="6" width="16" customWidth="1"/>
    <col min="7" max="7" width="7.7109375" customWidth="1"/>
    <col min="8" max="8" width="2.42578125" customWidth="1"/>
    <col min="9" max="9" width="2.28515625" customWidth="1"/>
    <col min="10" max="10" width="2.5703125" customWidth="1"/>
    <col min="11" max="11" width="4.140625" customWidth="1"/>
    <col min="12" max="12" width="35" customWidth="1"/>
    <col min="13" max="13" width="7.5703125" customWidth="1"/>
    <col min="14" max="14" width="3.85546875" style="93" hidden="1" customWidth="1"/>
    <col min="15" max="15" width="3.5703125" style="93" hidden="1" customWidth="1"/>
    <col min="16" max="27" width="9.140625" style="30" customWidth="1"/>
    <col min="28" max="28" width="6.28515625" style="30" bestFit="1" customWidth="1"/>
    <col min="29" max="30" width="7" style="26" bestFit="1" customWidth="1"/>
    <col min="31" max="31" width="5.5703125" bestFit="1" customWidth="1"/>
    <col min="32" max="32" width="5.7109375" bestFit="1" customWidth="1"/>
    <col min="33" max="33" width="4.42578125" customWidth="1"/>
    <col min="34" max="34" width="9.28515625" bestFit="1" customWidth="1"/>
    <col min="35" max="35" width="8.28515625" bestFit="1" customWidth="1"/>
    <col min="36" max="36" width="7.42578125" bestFit="1" customWidth="1"/>
    <col min="37" max="37" width="6.140625" customWidth="1"/>
    <col min="38" max="38" width="5.85546875" customWidth="1"/>
    <col min="39" max="39" width="7.42578125" bestFit="1" customWidth="1"/>
    <col min="40" max="40" width="4" customWidth="1"/>
    <col min="41" max="41" width="3.85546875" customWidth="1"/>
    <col min="42" max="42" width="4" customWidth="1"/>
    <col min="43" max="43" width="3" customWidth="1"/>
    <col min="44" max="44" width="5" customWidth="1"/>
    <col min="45" max="45" width="7.42578125" bestFit="1" customWidth="1"/>
    <col min="46" max="46" width="8.28515625" bestFit="1" customWidth="1"/>
    <col min="47" max="47" width="7.42578125" bestFit="1" customWidth="1"/>
    <col min="48" max="49" width="5" customWidth="1"/>
    <col min="50" max="50" width="7.42578125" bestFit="1" customWidth="1"/>
    <col min="51" max="51" width="3.7109375" customWidth="1"/>
    <col min="52" max="52" width="3.5703125" customWidth="1"/>
    <col min="53" max="53" width="3.140625" customWidth="1"/>
    <col min="54" max="54" width="3.7109375" customWidth="1"/>
    <col min="55" max="55" width="6.28515625" bestFit="1" customWidth="1"/>
    <col min="56" max="56" width="7.42578125" bestFit="1" customWidth="1"/>
    <col min="57" max="57" width="8.28515625" bestFit="1" customWidth="1"/>
    <col min="58" max="58" width="9.28515625" bestFit="1" customWidth="1"/>
    <col min="59" max="60" width="6.28515625" bestFit="1" customWidth="1"/>
    <col min="61" max="61" width="7.42578125" bestFit="1" customWidth="1"/>
    <col min="62" max="63" width="3.42578125" customWidth="1"/>
    <col min="64" max="64" width="3" customWidth="1"/>
    <col min="65" max="65" width="3.140625" customWidth="1"/>
    <col min="66" max="66" width="6.28515625" bestFit="1" customWidth="1"/>
    <col min="67" max="67" width="7.42578125" bestFit="1" customWidth="1"/>
  </cols>
  <sheetData>
    <row r="1" spans="1:77" s="9" customFormat="1" ht="12.75" customHeight="1" x14ac:dyDescent="0.2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00"/>
      <c r="O1" s="100"/>
      <c r="P1" s="10" t="s">
        <v>0</v>
      </c>
      <c r="Q1" s="10" t="s">
        <v>1</v>
      </c>
      <c r="R1" s="10" t="s">
        <v>2</v>
      </c>
      <c r="S1" s="10" t="s">
        <v>3</v>
      </c>
      <c r="T1" s="10" t="str">
        <f>IF(T5=1,V2,IF(T5=2,V3,IF(T5=3,V4,V5)))</f>
        <v>Substitute [   ]  Contact Me [   ]  Neither [   ]</v>
      </c>
      <c r="U1" s="10"/>
      <c r="V1" s="10"/>
      <c r="W1" s="10"/>
      <c r="X1" s="10"/>
      <c r="Y1" s="10"/>
      <c r="Z1" s="10"/>
      <c r="AA1" s="10"/>
      <c r="AB1" s="252" t="s">
        <v>345</v>
      </c>
      <c r="AC1" s="252"/>
      <c r="AD1" s="252"/>
      <c r="AE1" s="252"/>
      <c r="AF1" s="252"/>
      <c r="AG1" s="10"/>
      <c r="AH1" s="252" t="s">
        <v>346</v>
      </c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10" t="s">
        <v>351</v>
      </c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 t="s">
        <v>352</v>
      </c>
      <c r="BF1" s="10"/>
      <c r="BG1" s="10"/>
      <c r="BH1" s="10"/>
      <c r="BI1" s="10"/>
      <c r="BJ1" s="10"/>
      <c r="BK1" s="10"/>
      <c r="BL1" s="10"/>
      <c r="BM1" s="10"/>
      <c r="BN1" s="10"/>
      <c r="BO1" s="10"/>
    </row>
    <row r="2" spans="1:77" s="9" customFormat="1" ht="12.75" customHeight="1" x14ac:dyDescent="0.2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100"/>
      <c r="O2" s="100"/>
      <c r="P2" s="10" t="s">
        <v>4</v>
      </c>
      <c r="Q2" s="30"/>
      <c r="R2" s="225">
        <f>SUM(R14:R1482)/2+SUM(R724:R729)/2</f>
        <v>0</v>
      </c>
      <c r="S2" s="140">
        <f>SUM(S14:S1482)</f>
        <v>0</v>
      </c>
      <c r="T2" s="10"/>
      <c r="U2" s="10" t="s">
        <v>5</v>
      </c>
      <c r="V2" s="10" t="s">
        <v>169</v>
      </c>
      <c r="W2" s="10"/>
      <c r="X2" s="10"/>
      <c r="Y2" s="10"/>
      <c r="Z2" s="10"/>
      <c r="AA2" s="10"/>
      <c r="AB2" s="10" t="s">
        <v>337</v>
      </c>
      <c r="AC2" s="10" t="s">
        <v>345</v>
      </c>
      <c r="AD2" s="10" t="s">
        <v>345</v>
      </c>
      <c r="AE2" s="141">
        <f>AE3-AD3</f>
        <v>0</v>
      </c>
      <c r="AF2" s="10" t="s">
        <v>336</v>
      </c>
      <c r="AG2" s="10"/>
      <c r="AH2" s="142" t="s">
        <v>347</v>
      </c>
      <c r="AI2" s="10" t="s">
        <v>348</v>
      </c>
      <c r="AJ2" s="142" t="s">
        <v>349</v>
      </c>
      <c r="AK2" s="139">
        <v>160</v>
      </c>
      <c r="AL2" s="139" t="s">
        <v>36</v>
      </c>
      <c r="AM2" s="142" t="s">
        <v>349</v>
      </c>
      <c r="AN2" s="252" t="s">
        <v>350</v>
      </c>
      <c r="AO2" s="252"/>
      <c r="AP2" s="252"/>
      <c r="AQ2" s="252"/>
      <c r="AR2" s="252"/>
      <c r="AS2" s="142" t="s">
        <v>349</v>
      </c>
      <c r="AT2" s="10" t="s">
        <v>348</v>
      </c>
      <c r="AU2" s="142" t="s">
        <v>349</v>
      </c>
      <c r="AV2" s="10">
        <v>160</v>
      </c>
      <c r="AW2" s="139" t="s">
        <v>36</v>
      </c>
      <c r="AX2" s="142" t="s">
        <v>349</v>
      </c>
      <c r="AY2" s="252" t="s">
        <v>350</v>
      </c>
      <c r="AZ2" s="252"/>
      <c r="BA2" s="252"/>
      <c r="BB2" s="252"/>
      <c r="BC2" s="252"/>
      <c r="BD2" s="142" t="s">
        <v>349</v>
      </c>
      <c r="BE2" s="10" t="s">
        <v>348</v>
      </c>
      <c r="BF2" s="142" t="s">
        <v>349</v>
      </c>
      <c r="BG2" s="10">
        <v>160</v>
      </c>
      <c r="BH2" s="139" t="s">
        <v>36</v>
      </c>
      <c r="BI2" s="142" t="s">
        <v>349</v>
      </c>
      <c r="BJ2" s="252" t="s">
        <v>350</v>
      </c>
      <c r="BK2" s="252"/>
      <c r="BL2" s="252"/>
      <c r="BM2" s="252"/>
      <c r="BN2" s="252"/>
      <c r="BO2" s="142" t="s">
        <v>349</v>
      </c>
    </row>
    <row r="3" spans="1:77" s="9" customFormat="1" ht="18.75" x14ac:dyDescent="0.25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11"/>
      <c r="N3" s="100"/>
      <c r="O3" s="100"/>
      <c r="P3" s="10"/>
      <c r="Q3" s="10"/>
      <c r="R3" s="10"/>
      <c r="S3" s="10"/>
      <c r="T3" s="10"/>
      <c r="U3" s="10" t="s">
        <v>6</v>
      </c>
      <c r="V3" s="10" t="s">
        <v>7</v>
      </c>
      <c r="W3" s="10"/>
      <c r="X3" s="10"/>
      <c r="Y3" s="10"/>
      <c r="Z3" s="10"/>
      <c r="AA3" s="10"/>
      <c r="AB3" s="10">
        <v>25</v>
      </c>
      <c r="AC3" s="10">
        <f t="shared" ref="AC3:AC13" si="0">SUMIFS(W$14:W$1983,V$14:V$1983,$AB3)</f>
        <v>0</v>
      </c>
      <c r="AD3" s="28">
        <f>IF(AE3&gt;0.001,ROUNDUP(AE3,0),0)</f>
        <v>0</v>
      </c>
      <c r="AE3" s="141">
        <f t="shared" ref="AE3:AE11" si="1">AE4+AC3-AD4</f>
        <v>0</v>
      </c>
      <c r="AF3" s="28">
        <f>AB3*AD3</f>
        <v>0</v>
      </c>
      <c r="AG3" s="10"/>
      <c r="AH3" s="143">
        <f>AD3</f>
        <v>0</v>
      </c>
      <c r="AI3" s="144">
        <f>IF(AND(AH3&gt;0,SUM(AI4:AI$14)=0),1,0)</f>
        <v>0</v>
      </c>
      <c r="AJ3" s="143">
        <f>(AH3-AI3)*$AB3</f>
        <v>0</v>
      </c>
      <c r="AK3" s="139">
        <f>IF(AJ3&lt;AK2,AJ3,ROUNDDOWN(AK2/$AB3,0))</f>
        <v>0</v>
      </c>
      <c r="AL3" s="139">
        <f>AK3/$AB3</f>
        <v>0</v>
      </c>
      <c r="AM3" s="143">
        <f>AH3-AI3-AL3</f>
        <v>0</v>
      </c>
      <c r="AN3" s="139"/>
      <c r="AO3" s="10"/>
      <c r="AP3" s="10">
        <f>IF(AND(AL3&gt;0,AO221&lt;AL221+1),-1,0)</f>
        <v>0</v>
      </c>
      <c r="AQ3" s="10">
        <f>IF(AND(AO3&gt;0,AO3&lt;=AL$221,SUM(AQ4:AQ$14)=0),1,0)</f>
        <v>0</v>
      </c>
      <c r="AR3" s="10">
        <f>(AP3+AQ3)*$AB3</f>
        <v>0</v>
      </c>
      <c r="AS3" s="143">
        <f>AM3-AP3-AQ3</f>
        <v>0</v>
      </c>
      <c r="AT3" s="144">
        <f>IF(AND(AS3&gt;0,SUM(AT4:AT$14)=0),1,0)</f>
        <v>0</v>
      </c>
      <c r="AU3" s="143">
        <f>(AS3-AT3)*$AB3</f>
        <v>0</v>
      </c>
      <c r="AV3" s="139">
        <f>IF(AU3&lt;AV2,AU3,ROUNDDOWN(AV2/$AB3,0))</f>
        <v>0</v>
      </c>
      <c r="AW3" s="139">
        <f>AV3/$AB3</f>
        <v>0</v>
      </c>
      <c r="AX3" s="143">
        <f>AS3-AT3-AW3</f>
        <v>0</v>
      </c>
      <c r="AY3" s="10"/>
      <c r="AZ3" s="10"/>
      <c r="BA3" s="10">
        <f>IF(AND(AW3&gt;0,AZ221&lt;AW221+1,AZ$221&gt;0),-1,0)</f>
        <v>0</v>
      </c>
      <c r="BB3" s="10">
        <f>IF(AND(AZ3&gt;0,AZ3&lt;=AW$221,SUM(BB4:BB$14)=0),1,0)</f>
        <v>0</v>
      </c>
      <c r="BC3" s="10">
        <f>(BA3+BB3)*$AB3</f>
        <v>0</v>
      </c>
      <c r="BD3" s="143">
        <f>AX3-BA3-BB3</f>
        <v>0</v>
      </c>
      <c r="BE3" s="144">
        <f>IF(AND(BD3&gt;0,SUM(BE4:BE$14)=0),1,0)</f>
        <v>0</v>
      </c>
      <c r="BF3" s="143">
        <f>(BD3-BE3)*$AB3</f>
        <v>0</v>
      </c>
      <c r="BG3" s="139">
        <f>IF(BF3&lt;BG2,BF3,ROUNDDOWN(BG2/$AB3,0))</f>
        <v>0</v>
      </c>
      <c r="BH3" s="139">
        <f>BG3/$AB3</f>
        <v>0</v>
      </c>
      <c r="BI3" s="143">
        <f>BD3-BE3-BH3</f>
        <v>0</v>
      </c>
      <c r="BJ3" s="10"/>
      <c r="BK3" s="10"/>
      <c r="BL3" s="10">
        <f>IF(AND(BH3&gt;0,BK221&lt;BH221+1,BK$221&gt;0),-1,0)</f>
        <v>0</v>
      </c>
      <c r="BM3" s="10">
        <f>IF(AND(BK3&gt;0,BK3&lt;=BH$221,SUM(BM4:BM$14)=0),1,0)</f>
        <v>0</v>
      </c>
      <c r="BN3" s="10">
        <f>(BL3+BM3)*$AB3</f>
        <v>0</v>
      </c>
      <c r="BO3" s="143">
        <f>BI3-BL3-BM3</f>
        <v>0</v>
      </c>
    </row>
    <row r="4" spans="1:77" s="9" customFormat="1" ht="17.25" customHeight="1" x14ac:dyDescent="0.3">
      <c r="B4" s="50"/>
      <c r="C4" s="12"/>
      <c r="D4" s="13"/>
      <c r="E4" s="97" t="s">
        <v>54</v>
      </c>
      <c r="F4" s="258"/>
      <c r="G4" s="258"/>
      <c r="H4" s="258"/>
      <c r="I4" s="258"/>
      <c r="J4" s="258"/>
      <c r="K4" s="258"/>
      <c r="L4" s="258"/>
      <c r="M4" s="258"/>
      <c r="N4" s="100"/>
      <c r="O4" s="100"/>
      <c r="P4" s="145"/>
      <c r="Q4" s="145"/>
      <c r="R4" s="145"/>
      <c r="S4" s="145"/>
      <c r="T4" s="145"/>
      <c r="U4" s="10" t="s">
        <v>8</v>
      </c>
      <c r="V4" s="10" t="s">
        <v>9</v>
      </c>
      <c r="W4" s="10"/>
      <c r="X4" s="10"/>
      <c r="Y4" s="10"/>
      <c r="Z4" s="10"/>
      <c r="AA4" s="10"/>
      <c r="AB4" s="10">
        <v>30</v>
      </c>
      <c r="AC4" s="10">
        <f t="shared" si="0"/>
        <v>0</v>
      </c>
      <c r="AD4" s="28">
        <f t="shared" ref="AD4:AD11" si="2">IF(AE4&gt;0.001,ROUNDUP(AE4,0),0)</f>
        <v>0</v>
      </c>
      <c r="AE4" s="141">
        <f t="shared" si="1"/>
        <v>0</v>
      </c>
      <c r="AF4" s="28">
        <f t="shared" ref="AF4:AF12" si="3">AB4*AD4</f>
        <v>0</v>
      </c>
      <c r="AG4" s="10"/>
      <c r="AH4" s="143">
        <f t="shared" ref="AH4:AH12" si="4">AD4</f>
        <v>0</v>
      </c>
      <c r="AI4" s="144">
        <f>IF(AND(AH4&gt;0,SUM(AI5:AI$14)=0),1,0)</f>
        <v>0</v>
      </c>
      <c r="AJ4" s="143">
        <f t="shared" ref="AJ4:AJ12" si="5">(AH4-AI4)*$AB4</f>
        <v>0</v>
      </c>
      <c r="AK4" s="139">
        <f>IF(AJ4&lt;(AK$2-SUM(AK$3:AK3)),AJ4,ROUNDDOWN((AK$2-SUM(AK$3:AK3))/$AB4,0)*$AB4)</f>
        <v>0</v>
      </c>
      <c r="AL4" s="139">
        <f t="shared" ref="AL4:AL12" si="6">AK4/$AB4</f>
        <v>0</v>
      </c>
      <c r="AM4" s="143">
        <f>AH4-AI4-AL4</f>
        <v>0</v>
      </c>
      <c r="AN4" s="139">
        <f>IF(AND(SUM(AN$3:AN3)=0,AL3=0),0,AN3+5)</f>
        <v>0</v>
      </c>
      <c r="AO4" s="10" t="str">
        <f t="shared" ref="AO4:AO7" si="7">IF(AM4=0,"",AN4)</f>
        <v/>
      </c>
      <c r="AP4" s="10">
        <f>IF(AND(AL4&gt;0,AO$221&lt;AL$221+1,SUM(AP$3:AP3)=0),-1,0)</f>
        <v>0</v>
      </c>
      <c r="AQ4" s="10">
        <f>IF(AND(AO4&gt;0,AO4&lt;=AL$221,SUM(AQ5:AQ$14)=0),1,0)</f>
        <v>0</v>
      </c>
      <c r="AR4" s="10">
        <f t="shared" ref="AR4:AR12" si="8">(AP4+AQ4)*$AB4</f>
        <v>0</v>
      </c>
      <c r="AS4" s="143">
        <f t="shared" ref="AS4:AS12" si="9">AM4-AP4-AQ4</f>
        <v>0</v>
      </c>
      <c r="AT4" s="144">
        <f>IF(AND(AS4&gt;0,SUM(AT5:AT$14)=0),1,0)</f>
        <v>0</v>
      </c>
      <c r="AU4" s="143">
        <f t="shared" ref="AU4:AU12" si="10">(AS4-AT4)*$AB4</f>
        <v>0</v>
      </c>
      <c r="AV4" s="139">
        <f>IF(AU4&lt;(AV$2-SUM(AV$3:AV3)),AU4,ROUNDDOWN((AV$2-SUM(AV$3:AV3))/$AB4,0)*$AB4)</f>
        <v>0</v>
      </c>
      <c r="AW4" s="139">
        <f t="shared" ref="AW4:AW12" si="11">AV4/$AB4</f>
        <v>0</v>
      </c>
      <c r="AX4" s="143">
        <f>AS4-AT4-AW4</f>
        <v>0</v>
      </c>
      <c r="AY4" s="139">
        <f>IF(AND(SUM(AY$3:AY3)=0,AW3=0),0,AY3+5)</f>
        <v>0</v>
      </c>
      <c r="AZ4" s="10" t="str">
        <f t="shared" ref="AZ4:AZ7" si="12">IF(AX4=0,"",AY4)</f>
        <v/>
      </c>
      <c r="BA4" s="10">
        <f>IF(AND(AW4&gt;0,AZ$221&lt;AW$221+1,SUM(BA$3:BA3)=0,AZ$221&gt;0),-1,0)</f>
        <v>0</v>
      </c>
      <c r="BB4" s="10">
        <f>IF(AND(AZ4&gt;0,AZ4&lt;=AW$221,SUM(BB5:BB$14)=0),1,0)</f>
        <v>0</v>
      </c>
      <c r="BC4" s="10">
        <f t="shared" ref="BC4:BC12" si="13">(BA4+BB4)*$AB4</f>
        <v>0</v>
      </c>
      <c r="BD4" s="143">
        <f t="shared" ref="BD4:BD12" si="14">AX4-BA4-BB4</f>
        <v>0</v>
      </c>
      <c r="BE4" s="144">
        <f>IF(AND(BD4&gt;0,SUM(BE5:BE$14)=0),1,0)</f>
        <v>0</v>
      </c>
      <c r="BF4" s="143">
        <f t="shared" ref="BF4:BF12" si="15">(BD4-BE4)*$AB4</f>
        <v>0</v>
      </c>
      <c r="BG4" s="139">
        <f>IF(BF4&lt;(BG$2-SUM(BG$3:BG3)),BF4,ROUNDDOWN((BG$2-SUM(BG$3:BG3))/$AB4,0)*$AB4)</f>
        <v>0</v>
      </c>
      <c r="BH4" s="139">
        <f t="shared" ref="BH4:BH12" si="16">BG4/$AB4</f>
        <v>0</v>
      </c>
      <c r="BI4" s="143">
        <f>BD4-BE4-BH4</f>
        <v>0</v>
      </c>
      <c r="BJ4" s="139">
        <f>IF(AND(SUM(BJ$3:BJ3)=0,BH3=0),0,BJ3+5)</f>
        <v>0</v>
      </c>
      <c r="BK4" s="10" t="str">
        <f t="shared" ref="BK4:BK7" si="17">IF(BI4=0,"",BJ4)</f>
        <v/>
      </c>
      <c r="BL4" s="10">
        <f>IF(AND(BH4&gt;0,BK$221&lt;BH$221+1,SUM(BL$3:BL3)=0,BK$221&gt;0),-1,0)</f>
        <v>0</v>
      </c>
      <c r="BM4" s="10">
        <f>IF(AND(BK4&gt;0,BK4&lt;=BH$221,SUM(BM5:BM$14)=0),1,0)</f>
        <v>0</v>
      </c>
      <c r="BN4" s="10">
        <f t="shared" ref="BN4:BN12" si="18">(BL4+BM4)*$AB4</f>
        <v>0</v>
      </c>
      <c r="BO4" s="143">
        <f t="shared" ref="BO4:BO12" si="19">BI4-BL4-BM4</f>
        <v>0</v>
      </c>
    </row>
    <row r="5" spans="1:77" s="9" customFormat="1" ht="16.5" customHeight="1" x14ac:dyDescent="0.3">
      <c r="B5" s="50"/>
      <c r="C5" s="51"/>
      <c r="D5" s="14"/>
      <c r="E5" s="97" t="s">
        <v>12</v>
      </c>
      <c r="F5" s="154"/>
      <c r="G5" s="14"/>
      <c r="H5" s="14"/>
      <c r="I5" s="14"/>
      <c r="J5" s="14"/>
      <c r="K5" s="97" t="s">
        <v>13</v>
      </c>
      <c r="L5" s="155"/>
      <c r="M5" s="15"/>
      <c r="N5" s="100"/>
      <c r="O5" s="100"/>
      <c r="P5" s="146"/>
      <c r="Q5" s="146"/>
      <c r="R5" s="146"/>
      <c r="S5" s="146"/>
      <c r="T5" s="145">
        <v>1</v>
      </c>
      <c r="U5" s="10" t="s">
        <v>10</v>
      </c>
      <c r="V5" s="10" t="s">
        <v>11</v>
      </c>
      <c r="W5" s="10"/>
      <c r="X5" s="10"/>
      <c r="Y5" s="10"/>
      <c r="Z5" s="10"/>
      <c r="AA5" s="10"/>
      <c r="AB5" s="10">
        <v>35</v>
      </c>
      <c r="AC5" s="10">
        <f t="shared" si="0"/>
        <v>0</v>
      </c>
      <c r="AD5" s="28">
        <f t="shared" si="2"/>
        <v>0</v>
      </c>
      <c r="AE5" s="141">
        <f t="shared" si="1"/>
        <v>0</v>
      </c>
      <c r="AF5" s="28">
        <f t="shared" si="3"/>
        <v>0</v>
      </c>
      <c r="AG5" s="10"/>
      <c r="AH5" s="143">
        <f t="shared" si="4"/>
        <v>0</v>
      </c>
      <c r="AI5" s="144">
        <f>IF(AND(AH5&gt;0,SUM(AI6:AI$14)=0),1,0)</f>
        <v>0</v>
      </c>
      <c r="AJ5" s="143">
        <f t="shared" si="5"/>
        <v>0</v>
      </c>
      <c r="AK5" s="139">
        <f>IF(AJ5&lt;(AK$2-SUM(AK$3:AK4)),AJ5,ROUNDDOWN((AK$2-SUM(AK$3:AK4))/$AB5,0)*$AB5)</f>
        <v>0</v>
      </c>
      <c r="AL5" s="139">
        <f t="shared" si="6"/>
        <v>0</v>
      </c>
      <c r="AM5" s="143">
        <f t="shared" ref="AM5:AM12" si="20">AH5-AI5-AL5</f>
        <v>0</v>
      </c>
      <c r="AN5" s="139">
        <f>IF(AND(SUM(AN$3:AN4)=0,AL4=0),0,AN4+5)</f>
        <v>0</v>
      </c>
      <c r="AO5" s="10" t="str">
        <f t="shared" si="7"/>
        <v/>
      </c>
      <c r="AP5" s="10">
        <f>IF(AND(AL5&gt;0,AO$221&lt;AL$221+1,SUM(AP$3:AP4)=0),-1,0)</f>
        <v>0</v>
      </c>
      <c r="AQ5" s="10">
        <f>IF(AND(AO5&gt;0,AO5&lt;=AL$221,SUM(AQ6:AQ$14)=0),1,0)</f>
        <v>0</v>
      </c>
      <c r="AR5" s="10">
        <f t="shared" si="8"/>
        <v>0</v>
      </c>
      <c r="AS5" s="143">
        <f t="shared" si="9"/>
        <v>0</v>
      </c>
      <c r="AT5" s="144">
        <f>IF(AND(AS5&gt;0,SUM(AT6:AT$14)=0),1,0)</f>
        <v>0</v>
      </c>
      <c r="AU5" s="143">
        <f t="shared" si="10"/>
        <v>0</v>
      </c>
      <c r="AV5" s="139">
        <f>IF(AU5&lt;(AV$2-SUM(AV$3:AV4)),AU5,ROUNDDOWN((AV$2-SUM(AV$3:AV4))/$AB5,0)*$AB5)</f>
        <v>0</v>
      </c>
      <c r="AW5" s="139">
        <f t="shared" si="11"/>
        <v>0</v>
      </c>
      <c r="AX5" s="143">
        <f t="shared" ref="AX5:AX12" si="21">AS5-AT5-AW5</f>
        <v>0</v>
      </c>
      <c r="AY5" s="139">
        <f>IF(AND(SUM(AY$3:AY4)=0,AW4=0),0,AY4+5)</f>
        <v>0</v>
      </c>
      <c r="AZ5" s="10" t="str">
        <f t="shared" si="12"/>
        <v/>
      </c>
      <c r="BA5" s="10">
        <f>IF(AND(AW5&gt;0,AZ$221&lt;AW$221+1,SUM(BA$3:BA4)=0,AZ$221&gt;0),-1,0)</f>
        <v>0</v>
      </c>
      <c r="BB5" s="10">
        <f>IF(AND(AZ5&gt;0,AZ5&lt;=AW$221,SUM(BB6:BB$14)=0),1,0)</f>
        <v>0</v>
      </c>
      <c r="BC5" s="10">
        <f t="shared" si="13"/>
        <v>0</v>
      </c>
      <c r="BD5" s="143">
        <f t="shared" si="14"/>
        <v>0</v>
      </c>
      <c r="BE5" s="144">
        <f>IF(AND(BD5&gt;0,SUM(BE6:BE$14)=0),1,0)</f>
        <v>0</v>
      </c>
      <c r="BF5" s="143">
        <f t="shared" si="15"/>
        <v>0</v>
      </c>
      <c r="BG5" s="139">
        <f>IF(BF5&lt;(BG$2-SUM(BG$3:BG4)),BF5,ROUNDDOWN((BG$2-SUM(BG$3:BG4))/$AB5,0)*$AB5)</f>
        <v>0</v>
      </c>
      <c r="BH5" s="139">
        <f t="shared" si="16"/>
        <v>0</v>
      </c>
      <c r="BI5" s="143">
        <f t="shared" ref="BI5:BI12" si="22">BD5-BE5-BH5</f>
        <v>0</v>
      </c>
      <c r="BJ5" s="139">
        <f>IF(AND(SUM(BJ$3:BJ4)=0,BH4=0),0,BJ4+5)</f>
        <v>0</v>
      </c>
      <c r="BK5" s="10" t="str">
        <f t="shared" si="17"/>
        <v/>
      </c>
      <c r="BL5" s="10">
        <f>IF(AND(BH5&gt;0,BK$221&lt;BH$221+1,SUM(BL$3:BL4)=0,BK$221&gt;0),-1,0)</f>
        <v>0</v>
      </c>
      <c r="BM5" s="10">
        <f>IF(AND(BK5&gt;0,BK5&lt;=BH$221,SUM(BM6:BM$14)=0),1,0)</f>
        <v>0</v>
      </c>
      <c r="BN5" s="10">
        <f t="shared" si="18"/>
        <v>0</v>
      </c>
      <c r="BO5" s="143">
        <f t="shared" si="19"/>
        <v>0</v>
      </c>
    </row>
    <row r="6" spans="1:77" s="19" customFormat="1" ht="9" customHeight="1" x14ac:dyDescent="0.25">
      <c r="B6" s="254" t="str">
        <f>"If any of the plants you have ordered are not available should we: "&amp;T1</f>
        <v>If any of the plants you have ordered are not available should we: Substitute [   ]  Contact Me [   ]  Neither [   ]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101"/>
      <c r="O6" s="101"/>
      <c r="P6" s="28"/>
      <c r="Q6" s="28"/>
      <c r="R6" s="28"/>
      <c r="S6" s="28"/>
      <c r="T6" s="28"/>
      <c r="U6" s="28" t="s">
        <v>5</v>
      </c>
      <c r="V6" s="28" t="s">
        <v>118</v>
      </c>
      <c r="W6" s="28"/>
      <c r="X6" s="28"/>
      <c r="Y6" s="28"/>
      <c r="Z6" s="28"/>
      <c r="AA6" s="28"/>
      <c r="AB6" s="10">
        <v>40</v>
      </c>
      <c r="AC6" s="10">
        <f t="shared" si="0"/>
        <v>0</v>
      </c>
      <c r="AD6" s="28">
        <f t="shared" si="2"/>
        <v>0</v>
      </c>
      <c r="AE6" s="141">
        <f t="shared" si="1"/>
        <v>0</v>
      </c>
      <c r="AF6" s="28">
        <f t="shared" si="3"/>
        <v>0</v>
      </c>
      <c r="AG6" s="28"/>
      <c r="AH6" s="143">
        <f t="shared" si="4"/>
        <v>0</v>
      </c>
      <c r="AI6" s="144">
        <f>IF(AND(AH6&gt;0,SUM(AI7:AI$14)=0),1,0)</f>
        <v>0</v>
      </c>
      <c r="AJ6" s="143">
        <f t="shared" si="5"/>
        <v>0</v>
      </c>
      <c r="AK6" s="139">
        <f>IF(AJ6&lt;(AK$2-SUM(AK$3:AK5)),AJ6,ROUNDDOWN((AK$2-SUM(AK$3:AK5))/$AB6,0)*$AB6)</f>
        <v>0</v>
      </c>
      <c r="AL6" s="139">
        <f t="shared" si="6"/>
        <v>0</v>
      </c>
      <c r="AM6" s="143">
        <f t="shared" si="20"/>
        <v>0</v>
      </c>
      <c r="AN6" s="139">
        <f>IF(AND(SUM(AN$3:AN5)=0,AL5=0),0,AN5+5)</f>
        <v>0</v>
      </c>
      <c r="AO6" s="10" t="str">
        <f t="shared" si="7"/>
        <v/>
      </c>
      <c r="AP6" s="10">
        <f>IF(AND(AL6&gt;0,AO$221&lt;AL$221+1,SUM(AP$3:AP5)=0),-1,0)</f>
        <v>0</v>
      </c>
      <c r="AQ6" s="10">
        <f>IF(AND(AO6&gt;0,AO6&lt;=AL$221,SUM(AQ7:AQ$14)=0),1,0)</f>
        <v>0</v>
      </c>
      <c r="AR6" s="10">
        <f t="shared" si="8"/>
        <v>0</v>
      </c>
      <c r="AS6" s="143">
        <f t="shared" si="9"/>
        <v>0</v>
      </c>
      <c r="AT6" s="144">
        <f>IF(AND(AS6&gt;0,SUM(AT7:AT$14)=0),1,0)</f>
        <v>0</v>
      </c>
      <c r="AU6" s="143">
        <f t="shared" si="10"/>
        <v>0</v>
      </c>
      <c r="AV6" s="139">
        <f>IF(AU6&lt;(AV$2-SUM(AV$3:AV5)),AU6,ROUNDDOWN((AV$2-SUM(AV$3:AV5))/$AB6,0)*$AB6)</f>
        <v>0</v>
      </c>
      <c r="AW6" s="139">
        <f t="shared" si="11"/>
        <v>0</v>
      </c>
      <c r="AX6" s="143">
        <f t="shared" si="21"/>
        <v>0</v>
      </c>
      <c r="AY6" s="139">
        <f>IF(AND(SUM(AY$3:AY5)=0,AW5=0),0,AY5+5)</f>
        <v>0</v>
      </c>
      <c r="AZ6" s="10" t="str">
        <f t="shared" si="12"/>
        <v/>
      </c>
      <c r="BA6" s="10">
        <f>IF(AND(AW6&gt;0,AZ$221&lt;AW$221+1,SUM(BA$3:BA5)=0,AZ$221&gt;0),-1,0)</f>
        <v>0</v>
      </c>
      <c r="BB6" s="10">
        <f>IF(AND(AZ6&gt;0,AZ6&lt;=AW$221,SUM(BB7:BB$14)=0),1,0)</f>
        <v>0</v>
      </c>
      <c r="BC6" s="10">
        <f t="shared" si="13"/>
        <v>0</v>
      </c>
      <c r="BD6" s="143">
        <f t="shared" si="14"/>
        <v>0</v>
      </c>
      <c r="BE6" s="144">
        <f>IF(AND(BD6&gt;0,SUM(BE7:BE$14)=0),1,0)</f>
        <v>0</v>
      </c>
      <c r="BF6" s="143">
        <f t="shared" si="15"/>
        <v>0</v>
      </c>
      <c r="BG6" s="139">
        <f>IF(BF6&lt;(BG$2-SUM(BG$3:BG5)),BF6,ROUNDDOWN((BG$2-SUM(BG$3:BG5))/$AB6,0)*$AB6)</f>
        <v>0</v>
      </c>
      <c r="BH6" s="139">
        <f t="shared" si="16"/>
        <v>0</v>
      </c>
      <c r="BI6" s="143">
        <f t="shared" si="22"/>
        <v>0</v>
      </c>
      <c r="BJ6" s="139">
        <f>IF(AND(SUM(BJ$3:BJ5)=0,BH5=0),0,BJ5+5)</f>
        <v>0</v>
      </c>
      <c r="BK6" s="10" t="str">
        <f t="shared" si="17"/>
        <v/>
      </c>
      <c r="BL6" s="10">
        <f>IF(AND(BH6&gt;0,BK$221&lt;BH$221+1,SUM(BL$3:BL5)=0,BK$221&gt;0),-1,0)</f>
        <v>0</v>
      </c>
      <c r="BM6" s="10">
        <f>IF(AND(BK6&gt;0,BK6&lt;=BH$221,SUM(BM7:BM$14)=0),1,0)</f>
        <v>0</v>
      </c>
      <c r="BN6" s="10">
        <f t="shared" si="18"/>
        <v>0</v>
      </c>
      <c r="BO6" s="143">
        <f t="shared" si="19"/>
        <v>0</v>
      </c>
    </row>
    <row r="7" spans="1:77" s="19" customFormat="1" ht="7.5" customHeight="1" x14ac:dyDescent="0.25"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101"/>
      <c r="O7" s="101"/>
      <c r="P7" s="28"/>
      <c r="Q7" s="28"/>
      <c r="R7" s="28"/>
      <c r="S7" s="28" t="s">
        <v>14</v>
      </c>
      <c r="T7" s="28"/>
      <c r="U7" s="147" t="s">
        <v>15</v>
      </c>
      <c r="V7" s="28" t="s">
        <v>120</v>
      </c>
      <c r="W7" s="28"/>
      <c r="X7" s="28"/>
      <c r="Y7" s="28"/>
      <c r="Z7" s="28"/>
      <c r="AA7" s="28"/>
      <c r="AB7" s="28">
        <v>45</v>
      </c>
      <c r="AC7" s="10">
        <f t="shared" si="0"/>
        <v>0</v>
      </c>
      <c r="AD7" s="28">
        <f t="shared" si="2"/>
        <v>0</v>
      </c>
      <c r="AE7" s="141">
        <f t="shared" si="1"/>
        <v>0</v>
      </c>
      <c r="AF7" s="28">
        <f t="shared" si="3"/>
        <v>0</v>
      </c>
      <c r="AG7" s="28"/>
      <c r="AH7" s="143">
        <f t="shared" si="4"/>
        <v>0</v>
      </c>
      <c r="AI7" s="144">
        <f>IF(AND(AH7&gt;0,SUM(AI8:AI$14)=0),1,0)</f>
        <v>0</v>
      </c>
      <c r="AJ7" s="143">
        <f t="shared" si="5"/>
        <v>0</v>
      </c>
      <c r="AK7" s="139">
        <f>IF(AJ7&lt;(AK$2-SUM(AK$3:AK6)),AJ7,ROUNDDOWN((AK$2-SUM(AK$3:AK6))/$AB7,0)*$AB7)</f>
        <v>0</v>
      </c>
      <c r="AL7" s="139">
        <f t="shared" si="6"/>
        <v>0</v>
      </c>
      <c r="AM7" s="143">
        <f t="shared" si="20"/>
        <v>0</v>
      </c>
      <c r="AN7" s="139">
        <f>IF(AND(SUM(AN$3:AN6)=0,AL6=0),0,AN6+5)</f>
        <v>0</v>
      </c>
      <c r="AO7" s="10" t="str">
        <f t="shared" si="7"/>
        <v/>
      </c>
      <c r="AP7" s="10">
        <f>IF(AND(AL7&gt;0,AO$221&lt;AL$221+1,SUM(AP$3:AP6)=0),-1,0)</f>
        <v>0</v>
      </c>
      <c r="AQ7" s="10">
        <f>IF(AND(AO7&gt;0,AO7&lt;=AL$221,SUM(AQ8:AQ$14)=0),1,0)</f>
        <v>0</v>
      </c>
      <c r="AR7" s="10">
        <f t="shared" si="8"/>
        <v>0</v>
      </c>
      <c r="AS7" s="143">
        <f t="shared" si="9"/>
        <v>0</v>
      </c>
      <c r="AT7" s="144">
        <f>IF(AND(AS7&gt;0,SUM(AT8:AT$14)=0),1,0)</f>
        <v>0</v>
      </c>
      <c r="AU7" s="143">
        <f t="shared" si="10"/>
        <v>0</v>
      </c>
      <c r="AV7" s="139">
        <f>IF(AU7&lt;(AV$2-SUM(AV$3:AV6)),AU7,ROUNDDOWN((AV$2-SUM(AV$3:AV6))/$AB7,0)*$AB7)</f>
        <v>0</v>
      </c>
      <c r="AW7" s="139">
        <f t="shared" si="11"/>
        <v>0</v>
      </c>
      <c r="AX7" s="143">
        <f t="shared" si="21"/>
        <v>0</v>
      </c>
      <c r="AY7" s="139">
        <f>IF(AND(SUM(AY$3:AY6)=0,AW6=0),0,AY6+5)</f>
        <v>0</v>
      </c>
      <c r="AZ7" s="10" t="str">
        <f t="shared" si="12"/>
        <v/>
      </c>
      <c r="BA7" s="10">
        <f>IF(AND(AW7&gt;0,AZ$221&lt;AW$221+1,SUM(BA$3:BA6)=0,AZ$221&gt;0),-1,0)</f>
        <v>0</v>
      </c>
      <c r="BB7" s="10">
        <f>IF(AND(AZ7&gt;0,AZ7&lt;=AW$221,SUM(BB8:BB$14)=0),1,0)</f>
        <v>0</v>
      </c>
      <c r="BC7" s="10">
        <f t="shared" si="13"/>
        <v>0</v>
      </c>
      <c r="BD7" s="143">
        <f t="shared" si="14"/>
        <v>0</v>
      </c>
      <c r="BE7" s="144">
        <f>IF(AND(BD7&gt;0,SUM(BE8:BE$14)=0),1,0)</f>
        <v>0</v>
      </c>
      <c r="BF7" s="143">
        <f t="shared" si="15"/>
        <v>0</v>
      </c>
      <c r="BG7" s="139">
        <f>IF(BF7&lt;(BG$2-SUM(BG$3:BG6)),BF7,ROUNDDOWN((BG$2-SUM(BG$3:BG6))/$AB7,0)*$AB7)</f>
        <v>0</v>
      </c>
      <c r="BH7" s="139">
        <f t="shared" si="16"/>
        <v>0</v>
      </c>
      <c r="BI7" s="143">
        <f t="shared" si="22"/>
        <v>0</v>
      </c>
      <c r="BJ7" s="139">
        <f>IF(AND(SUM(BJ$3:BJ6)=0,BH6=0),0,BJ6+5)</f>
        <v>0</v>
      </c>
      <c r="BK7" s="10" t="str">
        <f t="shared" si="17"/>
        <v/>
      </c>
      <c r="BL7" s="10">
        <f>IF(AND(BH7&gt;0,BK$221&lt;BH$221+1,SUM(BL$3:BL6)=0,BK$221&gt;0),-1,0)</f>
        <v>0</v>
      </c>
      <c r="BM7" s="10">
        <f>IF(AND(BK7&gt;0,BK7&lt;=BH$221,SUM(BM8:BM$14)=0),1,0)</f>
        <v>0</v>
      </c>
      <c r="BN7" s="10">
        <f t="shared" si="18"/>
        <v>0</v>
      </c>
      <c r="BO7" s="143">
        <f t="shared" si="19"/>
        <v>0</v>
      </c>
    </row>
    <row r="8" spans="1:77" s="19" customFormat="1" ht="12.75" customHeight="1" x14ac:dyDescent="0.25">
      <c r="B8" s="37" t="str">
        <f>V9</f>
        <v>Do you require barcodes on your order: Yes [   ]  No [   ]</v>
      </c>
      <c r="C8" s="37"/>
      <c r="D8" s="37"/>
      <c r="E8" s="37"/>
      <c r="F8" s="37"/>
      <c r="G8" s="37"/>
      <c r="H8" s="256" t="str">
        <f>V10</f>
        <v>Do you require pre-pricing on you order: Yes [   ]   No [   ]</v>
      </c>
      <c r="I8" s="256"/>
      <c r="J8" s="256"/>
      <c r="K8" s="256"/>
      <c r="L8" s="256"/>
      <c r="M8" s="256"/>
      <c r="N8" s="101"/>
      <c r="O8" s="101"/>
      <c r="P8" s="147"/>
      <c r="Q8" s="147"/>
      <c r="R8" s="147"/>
      <c r="S8" s="147"/>
      <c r="T8" s="147"/>
      <c r="U8" s="148" t="s">
        <v>16</v>
      </c>
      <c r="V8" s="28" t="s">
        <v>119</v>
      </c>
      <c r="W8" s="10" t="s">
        <v>117</v>
      </c>
      <c r="X8" s="28"/>
      <c r="Y8" s="28"/>
      <c r="Z8" s="28"/>
      <c r="AA8" s="28"/>
      <c r="AB8" s="28">
        <v>50</v>
      </c>
      <c r="AC8" s="10">
        <f t="shared" si="0"/>
        <v>0</v>
      </c>
      <c r="AD8" s="28">
        <f t="shared" si="2"/>
        <v>0</v>
      </c>
      <c r="AE8" s="141">
        <f t="shared" si="1"/>
        <v>0</v>
      </c>
      <c r="AF8" s="28">
        <f t="shared" si="3"/>
        <v>0</v>
      </c>
      <c r="AG8" s="28"/>
      <c r="AH8" s="143">
        <f t="shared" si="4"/>
        <v>0</v>
      </c>
      <c r="AI8" s="144">
        <f>IF(AND(AH8&gt;0,SUM(AI9:AI$14)=0),1,0)</f>
        <v>0</v>
      </c>
      <c r="AJ8" s="143">
        <f t="shared" si="5"/>
        <v>0</v>
      </c>
      <c r="AK8" s="139">
        <f>IF(AJ8&lt;(AK$2-SUM(AK$3:AK7)),AJ8,ROUNDDOWN((AK$2-SUM(AK$3:AK7))/$AB8,0)*$AB8)</f>
        <v>0</v>
      </c>
      <c r="AL8" s="139">
        <f t="shared" si="6"/>
        <v>0</v>
      </c>
      <c r="AM8" s="143">
        <f t="shared" si="20"/>
        <v>0</v>
      </c>
      <c r="AN8" s="139">
        <f>IF(AND(SUM(AN$3:AN7)=0,AL7=0),0,AN7+5)</f>
        <v>0</v>
      </c>
      <c r="AO8" s="10" t="str">
        <f>IF(AM8=0,"",AN8)</f>
        <v/>
      </c>
      <c r="AP8" s="10">
        <f>IF(AND(AL8&gt;0,AO$221&lt;AL$221+1,SUM(AP$3:AP7)=0),-1,0)</f>
        <v>0</v>
      </c>
      <c r="AQ8" s="10">
        <f>IF(AND(AO8&gt;0,AO8&lt;=AL$221,SUM(AQ9:AQ$14)=0),1,0)</f>
        <v>0</v>
      </c>
      <c r="AR8" s="10">
        <f t="shared" si="8"/>
        <v>0</v>
      </c>
      <c r="AS8" s="143">
        <f t="shared" si="9"/>
        <v>0</v>
      </c>
      <c r="AT8" s="144">
        <f>IF(AND(AS8&gt;0,SUM(AT9:AT$14)=0),1,0)</f>
        <v>0</v>
      </c>
      <c r="AU8" s="143">
        <f t="shared" si="10"/>
        <v>0</v>
      </c>
      <c r="AV8" s="139">
        <f>IF(AU8&lt;(AV$2-SUM(AV$3:AV7)),AU8,ROUNDDOWN((AV$2-SUM(AV$3:AV7))/$AB8,0)*$AB8)</f>
        <v>0</v>
      </c>
      <c r="AW8" s="139">
        <f t="shared" si="11"/>
        <v>0</v>
      </c>
      <c r="AX8" s="143">
        <f t="shared" si="21"/>
        <v>0</v>
      </c>
      <c r="AY8" s="139">
        <f>IF(AND(SUM(AY$3:AY7)=0,AW7=0),0,AY7+5)</f>
        <v>0</v>
      </c>
      <c r="AZ8" s="10" t="str">
        <f>IF(AX8=0,"",AY8)</f>
        <v/>
      </c>
      <c r="BA8" s="10">
        <f>IF(AND(AW8&gt;0,AZ$221&lt;AW$221+1,SUM(BA$3:BA7)=0,AZ$221&gt;0),-1,0)</f>
        <v>0</v>
      </c>
      <c r="BB8" s="10">
        <f>IF(AND(AZ8&gt;0,AZ8&lt;=AW$221,SUM(BB9:BB$14)=0),1,0)</f>
        <v>0</v>
      </c>
      <c r="BC8" s="10">
        <f t="shared" si="13"/>
        <v>0</v>
      </c>
      <c r="BD8" s="143">
        <f t="shared" si="14"/>
        <v>0</v>
      </c>
      <c r="BE8" s="144">
        <f>IF(AND(BD8&gt;0,SUM(BE9:BE$14)=0),1,0)</f>
        <v>0</v>
      </c>
      <c r="BF8" s="143">
        <f t="shared" si="15"/>
        <v>0</v>
      </c>
      <c r="BG8" s="139">
        <f>IF(BF8&lt;(BG$2-SUM(BG$3:BG7)),BF8,ROUNDDOWN((BG$2-SUM(BG$3:BG7))/$AB8,0)*$AB8)</f>
        <v>0</v>
      </c>
      <c r="BH8" s="139">
        <f t="shared" si="16"/>
        <v>0</v>
      </c>
      <c r="BI8" s="143">
        <f t="shared" si="22"/>
        <v>0</v>
      </c>
      <c r="BJ8" s="139">
        <f>IF(AND(SUM(BJ$3:BJ7)=0,BH7=0),0,BJ7+5)</f>
        <v>0</v>
      </c>
      <c r="BK8" s="10" t="str">
        <f>IF(BI8=0,"",BJ8)</f>
        <v/>
      </c>
      <c r="BL8" s="10">
        <f>IF(AND(BH8&gt;0,BK$221&lt;BH$221+1,SUM(BL$3:BL7)=0,BK$221&gt;0),-1,0)</f>
        <v>0</v>
      </c>
      <c r="BM8" s="10">
        <f>IF(AND(BK8&gt;0,BK8&lt;=BH$221,SUM(BM9:BM$14)=0),1,0)</f>
        <v>0</v>
      </c>
      <c r="BN8" s="10">
        <f t="shared" si="18"/>
        <v>0</v>
      </c>
      <c r="BO8" s="143">
        <f t="shared" si="19"/>
        <v>0</v>
      </c>
    </row>
    <row r="9" spans="1:77" s="9" customFormat="1" ht="12.75" customHeight="1" x14ac:dyDescent="0.25">
      <c r="B9" s="259" t="str">
        <f>IF(R2=0," ","Total number of plants ordered = "&amp;R2&amp;"    Estimated Order Value £"&amp;TEXT(S2,"0.00"))</f>
        <v xml:space="preserve"> 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100"/>
      <c r="O9" s="100"/>
      <c r="P9" s="10"/>
      <c r="Q9" s="10"/>
      <c r="R9" s="10"/>
      <c r="S9" s="10" t="s">
        <v>14</v>
      </c>
      <c r="T9" s="10"/>
      <c r="U9" s="145">
        <v>1</v>
      </c>
      <c r="V9" s="10" t="str">
        <f>IF(U9=1,V6,IF(U9=2,V7,V8))</f>
        <v>Do you require barcodes on your order: Yes [   ]  No [   ]</v>
      </c>
      <c r="W9" s="10" t="s">
        <v>116</v>
      </c>
      <c r="X9" s="10"/>
      <c r="Y9" s="10"/>
      <c r="Z9" s="10"/>
      <c r="AA9" s="10"/>
      <c r="AB9" s="28">
        <v>55</v>
      </c>
      <c r="AC9" s="10">
        <f t="shared" si="0"/>
        <v>0</v>
      </c>
      <c r="AD9" s="28">
        <f t="shared" si="2"/>
        <v>0</v>
      </c>
      <c r="AE9" s="141">
        <f t="shared" si="1"/>
        <v>0</v>
      </c>
      <c r="AF9" s="28">
        <f t="shared" si="3"/>
        <v>0</v>
      </c>
      <c r="AG9" s="10"/>
      <c r="AH9" s="143">
        <f t="shared" si="4"/>
        <v>0</v>
      </c>
      <c r="AI9" s="144">
        <f>IF(AND(AH9&gt;0,SUM(AI10:AI$14)=0),1,0)</f>
        <v>0</v>
      </c>
      <c r="AJ9" s="143">
        <f t="shared" si="5"/>
        <v>0</v>
      </c>
      <c r="AK9" s="139">
        <f>IF(AJ9&lt;(AK$2-SUM(AK$3:AK8)),AJ9,ROUNDDOWN((AK$2-SUM(AK$3:AK8))/$AB9,0)*$AB9)</f>
        <v>0</v>
      </c>
      <c r="AL9" s="139">
        <f t="shared" si="6"/>
        <v>0</v>
      </c>
      <c r="AM9" s="143">
        <f t="shared" si="20"/>
        <v>0</v>
      </c>
      <c r="AN9" s="139">
        <f>IF(AND(SUM(AN$3:AN8)=0,AL8=0),0,AN8+5)</f>
        <v>0</v>
      </c>
      <c r="AO9" s="10" t="str">
        <f t="shared" ref="AO9:AO12" si="23">IF(AM9=0,"",AN9)</f>
        <v/>
      </c>
      <c r="AP9" s="10">
        <f>IF(AND(AL9&gt;0,AO$221&lt;AL$221+1,SUM(AP$3:AP8)=0),-1,0)</f>
        <v>0</v>
      </c>
      <c r="AQ9" s="10">
        <f>IF(AND(AO9&gt;0,AO9&lt;=AL$221,SUM(AQ10:AQ$14)=0),1,0)</f>
        <v>0</v>
      </c>
      <c r="AR9" s="10">
        <f t="shared" si="8"/>
        <v>0</v>
      </c>
      <c r="AS9" s="143">
        <f t="shared" si="9"/>
        <v>0</v>
      </c>
      <c r="AT9" s="144">
        <f>IF(AND(AS9&gt;0,SUM(AT10:AT$14)=0),1,0)</f>
        <v>0</v>
      </c>
      <c r="AU9" s="143">
        <f t="shared" si="10"/>
        <v>0</v>
      </c>
      <c r="AV9" s="139">
        <f>IF(AU9&lt;(AV$2-SUM(AV$3:AV8)),AU9,ROUNDDOWN((AV$2-SUM(AV$3:AV8))/$AB9,0)*$AB9)</f>
        <v>0</v>
      </c>
      <c r="AW9" s="139">
        <f t="shared" si="11"/>
        <v>0</v>
      </c>
      <c r="AX9" s="143">
        <f t="shared" si="21"/>
        <v>0</v>
      </c>
      <c r="AY9" s="139">
        <f>IF(AND(SUM(AY$3:AY8)=0,AW8=0),0,AY8+5)</f>
        <v>0</v>
      </c>
      <c r="AZ9" s="10" t="str">
        <f t="shared" ref="AZ9:AZ12" si="24">IF(AX9=0,"",AY9)</f>
        <v/>
      </c>
      <c r="BA9" s="10">
        <f>IF(AND(AW9&gt;0,AZ$221&lt;AW$221+1,SUM(BA$3:BA8)=0,AZ$221&gt;0),-1,0)</f>
        <v>0</v>
      </c>
      <c r="BB9" s="10">
        <f>IF(AND(AZ9&gt;0,AZ9&lt;=AW$221,SUM(BB10:BB$14)=0),1,0)</f>
        <v>0</v>
      </c>
      <c r="BC9" s="10">
        <f t="shared" si="13"/>
        <v>0</v>
      </c>
      <c r="BD9" s="143">
        <f t="shared" si="14"/>
        <v>0</v>
      </c>
      <c r="BE9" s="144">
        <f>IF(AND(BD9&gt;0,SUM(BE10:BE$14)=0),1,0)</f>
        <v>0</v>
      </c>
      <c r="BF9" s="143">
        <f t="shared" si="15"/>
        <v>0</v>
      </c>
      <c r="BG9" s="139">
        <f>IF(BF9&lt;(BG$2-SUM(BG$3:BG8)),BF9,ROUNDDOWN((BG$2-SUM(BG$3:BG8))/$AB9,0)*$AB9)</f>
        <v>0</v>
      </c>
      <c r="BH9" s="139">
        <f t="shared" si="16"/>
        <v>0</v>
      </c>
      <c r="BI9" s="143">
        <f t="shared" si="22"/>
        <v>0</v>
      </c>
      <c r="BJ9" s="139">
        <f>IF(AND(SUM(BJ$3:BJ8)=0,BH8=0),0,BJ8+5)</f>
        <v>0</v>
      </c>
      <c r="BK9" s="10" t="str">
        <f t="shared" ref="BK9:BK12" si="25">IF(BI9=0,"",BJ9)</f>
        <v/>
      </c>
      <c r="BL9" s="10">
        <f>IF(AND(BH9&gt;0,BK$221&lt;BH$221+1,SUM(BL$3:BL8)=0,BK$221&gt;0),-1,0)</f>
        <v>0</v>
      </c>
      <c r="BM9" s="10">
        <f>IF(AND(BK9&gt;0,BK9&lt;=BH$221,SUM(BM10:BM$14)=0),1,0)</f>
        <v>0</v>
      </c>
      <c r="BN9" s="10">
        <f t="shared" si="18"/>
        <v>0</v>
      </c>
      <c r="BO9" s="143">
        <f t="shared" si="19"/>
        <v>0</v>
      </c>
    </row>
    <row r="10" spans="1:77" s="35" customFormat="1" ht="8.25" customHeight="1" x14ac:dyDescent="0.25"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101"/>
      <c r="O10" s="101"/>
      <c r="P10" s="28"/>
      <c r="Q10" s="28"/>
      <c r="R10" s="28"/>
      <c r="S10" s="28"/>
      <c r="T10" s="28"/>
      <c r="U10" s="147">
        <v>1</v>
      </c>
      <c r="V10" s="10" t="str">
        <f>IF(U10=1,W10,IF(U10=2,W8,W9))</f>
        <v>Do you require pre-pricing on you order: Yes [   ]   No [   ]</v>
      </c>
      <c r="W10" s="10" t="s">
        <v>115</v>
      </c>
      <c r="X10" s="28"/>
      <c r="Y10" s="28"/>
      <c r="Z10" s="28"/>
      <c r="AA10" s="28"/>
      <c r="AB10" s="10">
        <v>60</v>
      </c>
      <c r="AC10" s="10">
        <f t="shared" si="0"/>
        <v>0</v>
      </c>
      <c r="AD10" s="28">
        <f t="shared" si="2"/>
        <v>0</v>
      </c>
      <c r="AE10" s="141">
        <f t="shared" si="1"/>
        <v>0</v>
      </c>
      <c r="AF10" s="28">
        <f t="shared" si="3"/>
        <v>0</v>
      </c>
      <c r="AG10" s="28"/>
      <c r="AH10" s="143">
        <f t="shared" si="4"/>
        <v>0</v>
      </c>
      <c r="AI10" s="144">
        <f>IF(AND(AH10&gt;0,SUM(AI11:AI$14)=0),1,0)</f>
        <v>0</v>
      </c>
      <c r="AJ10" s="143">
        <f t="shared" si="5"/>
        <v>0</v>
      </c>
      <c r="AK10" s="139">
        <f>IF(AJ10&lt;(AK$2-SUM(AK$3:AK9)),AJ10,ROUNDDOWN((AK$2-SUM(AK$3:AK9))/$AB10,0)*$AB10)</f>
        <v>0</v>
      </c>
      <c r="AL10" s="139">
        <f t="shared" si="6"/>
        <v>0</v>
      </c>
      <c r="AM10" s="143">
        <f t="shared" si="20"/>
        <v>0</v>
      </c>
      <c r="AN10" s="139">
        <f>IF(AND(SUM(AN$3:AN9)=0,AL9=0),0,AN9+5)</f>
        <v>0</v>
      </c>
      <c r="AO10" s="10" t="str">
        <f t="shared" si="23"/>
        <v/>
      </c>
      <c r="AP10" s="10">
        <f>IF(AND(AL10&gt;0,AO$221&lt;AL$221+1,SUM(AP$3:AP9)=0),-1,0)</f>
        <v>0</v>
      </c>
      <c r="AQ10" s="10">
        <f>IF(AND(AO10&gt;0,AO10&lt;=AL$221,SUM(AQ11:AQ$14)=0),1,0)</f>
        <v>0</v>
      </c>
      <c r="AR10" s="10">
        <f t="shared" si="8"/>
        <v>0</v>
      </c>
      <c r="AS10" s="143">
        <f t="shared" si="9"/>
        <v>0</v>
      </c>
      <c r="AT10" s="144">
        <f>IF(AND(AS10&gt;0,SUM(AT11:AT$14)=0),1,0)</f>
        <v>0</v>
      </c>
      <c r="AU10" s="143">
        <f t="shared" si="10"/>
        <v>0</v>
      </c>
      <c r="AV10" s="139">
        <f>IF(AU10&lt;(AV$2-SUM(AV$3:AV9)),AU10,ROUNDDOWN((AV$2-SUM(AV$3:AV9))/$AB10,0)*$AB10)</f>
        <v>0</v>
      </c>
      <c r="AW10" s="139">
        <f t="shared" si="11"/>
        <v>0</v>
      </c>
      <c r="AX10" s="143">
        <f t="shared" si="21"/>
        <v>0</v>
      </c>
      <c r="AY10" s="139">
        <f>IF(AND(SUM(AY$3:AY9)=0,AW9=0),0,AY9+5)</f>
        <v>0</v>
      </c>
      <c r="AZ10" s="10" t="str">
        <f t="shared" si="24"/>
        <v/>
      </c>
      <c r="BA10" s="10">
        <f>IF(AND(AW10&gt;0,AZ$221&lt;AW$221+1,SUM(BA$3:BA9)=0,AZ$221&gt;0),-1,0)</f>
        <v>0</v>
      </c>
      <c r="BB10" s="10">
        <f>IF(AND(AZ10&gt;0,AZ10&lt;=AW$221,SUM(BB11:BB$14)=0),1,0)</f>
        <v>0</v>
      </c>
      <c r="BC10" s="10">
        <f t="shared" si="13"/>
        <v>0</v>
      </c>
      <c r="BD10" s="143">
        <f t="shared" si="14"/>
        <v>0</v>
      </c>
      <c r="BE10" s="144">
        <f>IF(AND(BD10&gt;0,SUM(BE11:BE$14)=0),1,0)</f>
        <v>0</v>
      </c>
      <c r="BF10" s="143">
        <f t="shared" si="15"/>
        <v>0</v>
      </c>
      <c r="BG10" s="139">
        <f>IF(BF10&lt;(BG$2-SUM(BG$3:BG9)),BF10,ROUNDDOWN((BG$2-SUM(BG$3:BG9))/$AB10,0)*$AB10)</f>
        <v>0</v>
      </c>
      <c r="BH10" s="139">
        <f t="shared" si="16"/>
        <v>0</v>
      </c>
      <c r="BI10" s="143">
        <f t="shared" si="22"/>
        <v>0</v>
      </c>
      <c r="BJ10" s="139">
        <f>IF(AND(SUM(BJ$3:BJ9)=0,BH9=0),0,BJ9+5)</f>
        <v>0</v>
      </c>
      <c r="BK10" s="10" t="str">
        <f t="shared" si="25"/>
        <v/>
      </c>
      <c r="BL10" s="10">
        <f>IF(AND(BH10&gt;0,BK$221&lt;BH$221+1,SUM(BL$3:BL9)=0,BK$221&gt;0),-1,0)</f>
        <v>0</v>
      </c>
      <c r="BM10" s="10">
        <f>IF(AND(BK10&gt;0,BK10&lt;=BH$221,SUM(BM11:BM$14)=0),1,0)</f>
        <v>0</v>
      </c>
      <c r="BN10" s="10">
        <f t="shared" si="18"/>
        <v>0</v>
      </c>
      <c r="BO10" s="143">
        <f t="shared" si="19"/>
        <v>0</v>
      </c>
    </row>
    <row r="11" spans="1:77" ht="21" customHeight="1" x14ac:dyDescent="0.25">
      <c r="B11" s="234" t="s">
        <v>37</v>
      </c>
      <c r="C11" s="235"/>
      <c r="D11" s="235"/>
      <c r="E11" s="235"/>
      <c r="F11" s="235"/>
      <c r="G11" s="236"/>
      <c r="H11" s="123"/>
      <c r="I11" s="124"/>
      <c r="K11" s="137"/>
      <c r="L11" s="137" t="s">
        <v>73</v>
      </c>
      <c r="M11" s="27">
        <v>2.69</v>
      </c>
      <c r="AB11" s="28">
        <v>65</v>
      </c>
      <c r="AC11" s="10">
        <f t="shared" si="0"/>
        <v>0</v>
      </c>
      <c r="AD11" s="28">
        <f t="shared" si="2"/>
        <v>0</v>
      </c>
      <c r="AE11" s="141">
        <f t="shared" si="1"/>
        <v>0</v>
      </c>
      <c r="AF11" s="28">
        <f t="shared" si="3"/>
        <v>0</v>
      </c>
      <c r="AG11" s="115"/>
      <c r="AH11" s="143">
        <f t="shared" si="4"/>
        <v>0</v>
      </c>
      <c r="AI11" s="144">
        <f>IF(AND(AH11&gt;0,SUM(AI12:AI$14)=0),1,0)</f>
        <v>0</v>
      </c>
      <c r="AJ11" s="143">
        <f t="shared" si="5"/>
        <v>0</v>
      </c>
      <c r="AK11" s="139">
        <f>IF(AJ11&lt;(AK$2-SUM(AK$3:AK10)),AJ11,ROUNDDOWN((AK$2-SUM(AK$3:AK10))/$AB11,0)*$AB11)</f>
        <v>0</v>
      </c>
      <c r="AL11" s="139">
        <f t="shared" si="6"/>
        <v>0</v>
      </c>
      <c r="AM11" s="143">
        <f t="shared" si="20"/>
        <v>0</v>
      </c>
      <c r="AN11" s="139">
        <f>IF(AND(SUM(AN$3:AN10)=0,AL10=0),0,AN10+5)</f>
        <v>0</v>
      </c>
      <c r="AO11" s="10" t="str">
        <f t="shared" si="23"/>
        <v/>
      </c>
      <c r="AP11" s="10">
        <f>IF(AND(AL11&gt;0,AO$221&lt;AL$221+1,SUM(AP$3:AP10)=0),-1,0)</f>
        <v>0</v>
      </c>
      <c r="AQ11" s="10">
        <f>IF(AND(AO11&gt;0,AO11&lt;=AL$221,SUM(AQ12:AQ$14)=0),1,0)</f>
        <v>0</v>
      </c>
      <c r="AR11" s="10">
        <f t="shared" si="8"/>
        <v>0</v>
      </c>
      <c r="AS11" s="143">
        <f t="shared" si="9"/>
        <v>0</v>
      </c>
      <c r="AT11" s="144">
        <f>IF(AND(AS11&gt;0,SUM(AT12:AT$14)=0),1,0)</f>
        <v>0</v>
      </c>
      <c r="AU11" s="143">
        <f t="shared" si="10"/>
        <v>0</v>
      </c>
      <c r="AV11" s="139">
        <f>IF(AU11&lt;(AV$2-SUM(AV$3:AV10)),AU11,ROUNDDOWN((AV$2-SUM(AV$3:AV10))/$AB11,0)*$AB11)</f>
        <v>0</v>
      </c>
      <c r="AW11" s="139">
        <f t="shared" si="11"/>
        <v>0</v>
      </c>
      <c r="AX11" s="143">
        <f t="shared" si="21"/>
        <v>0</v>
      </c>
      <c r="AY11" s="139">
        <f>IF(AND(SUM(AY$3:AY10)=0,AW10=0),0,AY10+5)</f>
        <v>0</v>
      </c>
      <c r="AZ11" s="10" t="str">
        <f t="shared" si="24"/>
        <v/>
      </c>
      <c r="BA11" s="10">
        <f>IF(AND(AW11&gt;0,AZ$221&lt;AW$221+1,SUM(BA$3:BA10)=0,AZ$221&gt;0),-1,0)</f>
        <v>0</v>
      </c>
      <c r="BB11" s="10">
        <f>IF(AND(AZ11&gt;0,AZ11&lt;=AW$221,SUM(BB12:BB$14)=0),1,0)</f>
        <v>0</v>
      </c>
      <c r="BC11" s="10">
        <f t="shared" si="13"/>
        <v>0</v>
      </c>
      <c r="BD11" s="143">
        <f t="shared" si="14"/>
        <v>0</v>
      </c>
      <c r="BE11" s="144">
        <f>IF(AND(BD11&gt;0,SUM(BE12:BE$14)=0),1,0)</f>
        <v>0</v>
      </c>
      <c r="BF11" s="143">
        <f t="shared" si="15"/>
        <v>0</v>
      </c>
      <c r="BG11" s="139">
        <f>IF(BF11&lt;(BG$2-SUM(BG$3:BG10)),BF11,ROUNDDOWN((BG$2-SUM(BG$3:BG10))/$AB11,0)*$AB11)</f>
        <v>0</v>
      </c>
      <c r="BH11" s="139">
        <f t="shared" si="16"/>
        <v>0</v>
      </c>
      <c r="BI11" s="143">
        <f t="shared" si="22"/>
        <v>0</v>
      </c>
      <c r="BJ11" s="139">
        <f>IF(AND(SUM(BJ$3:BJ10)=0,BH10=0),0,BJ10+5)</f>
        <v>0</v>
      </c>
      <c r="BK11" s="10" t="str">
        <f t="shared" si="25"/>
        <v/>
      </c>
      <c r="BL11" s="10">
        <f>IF(AND(BH11&gt;0,BK$221&lt;BH$221+1,SUM(BL$3:BL10)=0,BK$221&gt;0),-1,0)</f>
        <v>0</v>
      </c>
      <c r="BM11" s="10">
        <f>IF(AND(BK11&gt;0,BK11&lt;=BH$221,SUM(BM12:BM$14)=0),1,0)</f>
        <v>0</v>
      </c>
      <c r="BN11" s="10">
        <f t="shared" si="18"/>
        <v>0</v>
      </c>
      <c r="BO11" s="143">
        <f t="shared" si="19"/>
        <v>0</v>
      </c>
    </row>
    <row r="12" spans="1:77" ht="12" customHeight="1" x14ac:dyDescent="0.25">
      <c r="B12" s="237" t="s">
        <v>18</v>
      </c>
      <c r="C12" s="238"/>
      <c r="D12" s="16" t="s">
        <v>19</v>
      </c>
      <c r="E12" s="86"/>
      <c r="F12" s="86"/>
      <c r="G12" s="17" t="s">
        <v>20</v>
      </c>
      <c r="H12" s="118"/>
      <c r="I12" s="117"/>
      <c r="J12" s="117"/>
      <c r="K12" s="122" t="s">
        <v>17</v>
      </c>
      <c r="L12" s="119" t="s">
        <v>335</v>
      </c>
      <c r="M12" s="121" t="s">
        <v>21</v>
      </c>
      <c r="N12" s="94" t="s">
        <v>356</v>
      </c>
      <c r="O12" s="94" t="s">
        <v>357</v>
      </c>
      <c r="U12" s="30" t="s">
        <v>336</v>
      </c>
      <c r="V12" s="30" t="s">
        <v>337</v>
      </c>
      <c r="AB12" s="30">
        <v>70</v>
      </c>
      <c r="AC12" s="10">
        <f t="shared" si="0"/>
        <v>0</v>
      </c>
      <c r="AD12" s="28">
        <f>IF(AE12&gt;0.001,ROUNDUP(AE12,0),0)</f>
        <v>0</v>
      </c>
      <c r="AE12" s="141">
        <f>AE14+AC12-AD14</f>
        <v>0</v>
      </c>
      <c r="AF12" s="28">
        <f t="shared" si="3"/>
        <v>0</v>
      </c>
      <c r="AG12" s="115"/>
      <c r="AH12" s="143">
        <f t="shared" si="4"/>
        <v>0</v>
      </c>
      <c r="AI12" s="144">
        <f>IF(AND(AH12&gt;0,SUM(AI14:AI$14)=0),1,0)</f>
        <v>0</v>
      </c>
      <c r="AJ12" s="143">
        <f t="shared" si="5"/>
        <v>0</v>
      </c>
      <c r="AK12" s="139">
        <f>IF(AJ12&lt;(AK$2-SUM(AK$3:AK11)),AJ12,ROUNDDOWN((AK$2-SUM(AK$3:AK11))/$AB12,0)*$AB12)</f>
        <v>0</v>
      </c>
      <c r="AL12" s="139">
        <f t="shared" si="6"/>
        <v>0</v>
      </c>
      <c r="AM12" s="143">
        <f t="shared" si="20"/>
        <v>0</v>
      </c>
      <c r="AN12" s="139">
        <f>IF(AND(SUM(AN$3:AN11)=0,AL11=0),0,AN11+5)</f>
        <v>0</v>
      </c>
      <c r="AO12" s="10" t="str">
        <f t="shared" si="23"/>
        <v/>
      </c>
      <c r="AP12" s="10">
        <f>IF(AND(AL12&gt;0,AO$221&lt;AL$221+1,SUM(AP$3:AP11)=0),-1,0)</f>
        <v>0</v>
      </c>
      <c r="AQ12" s="10">
        <f>IF(AND(AO12&gt;0,AO12&lt;=AL$221,SUM(AQ14:AQ$14)=0),1,0)</f>
        <v>1</v>
      </c>
      <c r="AR12" s="10">
        <f t="shared" si="8"/>
        <v>70</v>
      </c>
      <c r="AS12" s="143">
        <f t="shared" si="9"/>
        <v>-1</v>
      </c>
      <c r="AT12" s="144">
        <f>IF(AND(AS12&gt;0,SUM(AT14:AT$14)=0),1,0)</f>
        <v>0</v>
      </c>
      <c r="AU12" s="143">
        <f t="shared" si="10"/>
        <v>-70</v>
      </c>
      <c r="AV12" s="139">
        <f>IF(AU12&lt;(AV$2-SUM(AV$3:AV11)),AU12,ROUNDDOWN((AV$2-SUM(AV$3:AV11))/$AB12,0)*$AB12)</f>
        <v>-70</v>
      </c>
      <c r="AW12" s="139">
        <f t="shared" si="11"/>
        <v>-1</v>
      </c>
      <c r="AX12" s="143">
        <f t="shared" si="21"/>
        <v>0</v>
      </c>
      <c r="AY12" s="139">
        <f>IF(AND(SUM(AY$3:AY11)=0,AW11=0),0,AY11+5)</f>
        <v>0</v>
      </c>
      <c r="AZ12" s="10" t="str">
        <f t="shared" si="24"/>
        <v/>
      </c>
      <c r="BA12" s="10">
        <f>IF(AND(AW12&gt;0,AZ$221&lt;AW$221+1,SUM(BA$3:BA11)=0,AZ$221&gt;0),-1,0)</f>
        <v>0</v>
      </c>
      <c r="BB12" s="10">
        <f>IF(AND(AZ12&gt;0,AZ12&lt;=AW$221,SUM(BB14:BB$14)=0),1,0)</f>
        <v>1</v>
      </c>
      <c r="BC12" s="10">
        <f t="shared" si="13"/>
        <v>70</v>
      </c>
      <c r="BD12" s="143">
        <f t="shared" si="14"/>
        <v>-1</v>
      </c>
      <c r="BE12" s="144">
        <f>IF(AND(BD12&gt;0,SUM(BE14:BE$14)=0),1,0)</f>
        <v>0</v>
      </c>
      <c r="BF12" s="143">
        <f t="shared" si="15"/>
        <v>-70</v>
      </c>
      <c r="BG12" s="139">
        <f>IF(BF12&lt;(BG$2-SUM(BG$3:BG11)),BF12,ROUNDDOWN((BG$2-SUM(BG$3:BG11))/$AB12,0)*$AB12)</f>
        <v>-70</v>
      </c>
      <c r="BH12" s="139">
        <f t="shared" si="16"/>
        <v>-1</v>
      </c>
      <c r="BI12" s="143">
        <f t="shared" si="22"/>
        <v>0</v>
      </c>
      <c r="BJ12" s="139">
        <f>IF(AND(SUM(BJ$3:BJ11)=0,BH11=0),0,BJ11+5)</f>
        <v>0</v>
      </c>
      <c r="BK12" s="10" t="str">
        <f t="shared" si="25"/>
        <v/>
      </c>
      <c r="BL12" s="10">
        <f>IF(AND(BH12&gt;0,BK$221&lt;BH$221+1,SUM(BL$3:BL11)=0,BK$221&gt;0),-1,0)</f>
        <v>0</v>
      </c>
      <c r="BM12" s="10">
        <f>IF(AND(BK12&gt;0,BK12&lt;=BH$221,SUM(BM14:BM$14)=0),1,0)</f>
        <v>1</v>
      </c>
      <c r="BN12" s="10">
        <f t="shared" si="18"/>
        <v>70</v>
      </c>
      <c r="BO12" s="143">
        <f t="shared" si="19"/>
        <v>-1</v>
      </c>
    </row>
    <row r="13" spans="1:77" s="3" customFormat="1" ht="13.5" customHeight="1" x14ac:dyDescent="0.2">
      <c r="A13" s="9" t="str">
        <f>IF(B13&gt;0,1,"")</f>
        <v/>
      </c>
      <c r="B13" s="4"/>
      <c r="C13" s="5" t="s">
        <v>22</v>
      </c>
      <c r="D13" s="7" t="s">
        <v>55</v>
      </c>
      <c r="E13" s="31"/>
      <c r="F13" s="31"/>
      <c r="G13" s="23" t="s">
        <v>63</v>
      </c>
      <c r="H13" s="7">
        <f>VLOOKUP(D13,A!B$1:L$1126,3,FALSE)</f>
        <v>1</v>
      </c>
      <c r="I13" s="31">
        <f>VLOOKUP(D13,A!B$1:L$1126,3,FALSE)</f>
        <v>1</v>
      </c>
      <c r="J13" s="92"/>
      <c r="K13" s="63" t="str">
        <f>VLOOKUP(D13,A!B$1:L$1126,6,FALSE)</f>
        <v/>
      </c>
      <c r="L13" s="31"/>
      <c r="M13" s="39" t="s">
        <v>60</v>
      </c>
      <c r="N13" s="94" t="str">
        <f>VLOOKUP(D13,A!B$1:L$1125,2,FALSE)</f>
        <v>y</v>
      </c>
      <c r="O13" s="94">
        <f>VLOOKUP(D13,A!B$1:L$1126,4,FALSE)</f>
        <v>0</v>
      </c>
      <c r="P13" s="10">
        <v>10</v>
      </c>
      <c r="Q13" s="10">
        <v>2.69</v>
      </c>
      <c r="R13" s="10">
        <f>B13*P13</f>
        <v>0</v>
      </c>
      <c r="S13" s="10">
        <f>R13*Q13</f>
        <v>0</v>
      </c>
      <c r="T13" s="29" t="s">
        <v>321</v>
      </c>
      <c r="U13" s="145">
        <v>0.33</v>
      </c>
      <c r="V13" s="10" t="str">
        <f>VLOOKUP(D13,A!B$1:T$1125,16,FALSE)</f>
        <v/>
      </c>
      <c r="W13" s="10">
        <f>U13*B13</f>
        <v>0</v>
      </c>
      <c r="X13" s="10"/>
      <c r="Y13" s="10"/>
      <c r="Z13" s="10"/>
      <c r="AA13" s="10"/>
      <c r="AB13" s="30">
        <v>75</v>
      </c>
      <c r="AC13" s="10">
        <f t="shared" si="0"/>
        <v>0</v>
      </c>
      <c r="AD13" s="30">
        <f>ROUNDUP(AC13,0)</f>
        <v>0</v>
      </c>
      <c r="AE13" s="141">
        <f>AC13-AD13</f>
        <v>0</v>
      </c>
      <c r="AF13" s="28">
        <f>AB13*AD13</f>
        <v>0</v>
      </c>
      <c r="AG13" s="10"/>
      <c r="AH13" s="143">
        <f>AD13</f>
        <v>0</v>
      </c>
      <c r="AI13" s="161">
        <f>IF(AH13&gt;0,1,0)</f>
        <v>0</v>
      </c>
      <c r="AJ13" s="143">
        <f>(AH13-AI13)*$AB13</f>
        <v>0</v>
      </c>
      <c r="AK13" s="161">
        <f>IF(AJ13&lt;(AK$2-SUM(AK$3:AK12)),AJ13,ROUNDDOWN((AK$2-SUM(AK$3:AK12))/$AB13,0)*$AB13)</f>
        <v>0</v>
      </c>
      <c r="AL13" s="161">
        <f>AK13/$AB13</f>
        <v>0</v>
      </c>
      <c r="AM13" s="143">
        <f>AH13-AI13-AL13</f>
        <v>0</v>
      </c>
      <c r="AN13" s="161">
        <f>IF(AND(SUM(AN$3:AN12)=0,AL12=0),0,AN12+5)</f>
        <v>0</v>
      </c>
      <c r="AO13" s="10" t="str">
        <f>IF(AM13=0,"",AN13)</f>
        <v/>
      </c>
      <c r="AP13" s="10">
        <f>IF(AND(AL13&gt;0,AO$221&lt;AL$221+1,SUM(AP$3:AP12)=0),-1,0)</f>
        <v>0</v>
      </c>
      <c r="AQ13" s="10">
        <f>IF(AND(AO13&gt;0,AO13&lt;=AL$221),1,0)</f>
        <v>1</v>
      </c>
      <c r="AR13" s="10">
        <f>(AP13+AQ13)*$AB13</f>
        <v>75</v>
      </c>
      <c r="AS13" s="143">
        <f>AM13-AP13-AQ13</f>
        <v>-1</v>
      </c>
      <c r="AT13" s="161">
        <f>IF(AS13&gt;0,1,0)</f>
        <v>0</v>
      </c>
      <c r="AU13" s="143">
        <f>(AS13-AT13)*$AB13</f>
        <v>-75</v>
      </c>
      <c r="AV13" s="161">
        <f>IF(AU13&lt;(AV$2-SUM(AV$3:AV12)),AU13,ROUNDDOWN((AV$2-SUM(AV$3:AV12))/$AB13,0)*$AB13)</f>
        <v>-75</v>
      </c>
      <c r="AW13" s="161">
        <f>AV13/$AB13</f>
        <v>-1</v>
      </c>
      <c r="AX13" s="143">
        <f>AS13-AT13-AW13</f>
        <v>0</v>
      </c>
      <c r="AY13" s="161">
        <f>IF(AND(SUM(AY$3:AY12)=0,AW12=0),0,AY12+5)</f>
        <v>5</v>
      </c>
      <c r="AZ13" s="10" t="str">
        <f>IF(AX13=0,"",AY13)</f>
        <v/>
      </c>
      <c r="BA13" s="10">
        <f>IF(AND(AW13&gt;0,AZ$221&lt;AW$221+1,SUM(BA$3:BA12)=0,AZ$221&gt;0),-1,0)</f>
        <v>0</v>
      </c>
      <c r="BB13" s="10">
        <f>IF(AND(AZ13&gt;0,AZ13&lt;=AW$221),1,0)</f>
        <v>1</v>
      </c>
      <c r="BC13" s="10">
        <f>(BA13+BB13)*$AB13</f>
        <v>75</v>
      </c>
      <c r="BD13" s="143">
        <f>AX13-BA13-BB13</f>
        <v>-1</v>
      </c>
      <c r="BE13" s="161">
        <f>IF(BD13&gt;0,1,0)</f>
        <v>0</v>
      </c>
      <c r="BF13" s="143">
        <f>(BD13-BE13)*$AB13</f>
        <v>-75</v>
      </c>
      <c r="BG13" s="161">
        <f>IF(BF13&lt;(BG$2-SUM(BG$3:BG12)),BF13,ROUNDDOWN((BG$2-SUM(BG$3:BG12))/$AB13,0)*$AB13)</f>
        <v>-75</v>
      </c>
      <c r="BH13" s="161">
        <f>BG13/$AB13</f>
        <v>-1</v>
      </c>
      <c r="BI13" s="143">
        <f>BD13-BE13-BH13</f>
        <v>0</v>
      </c>
      <c r="BJ13" s="161">
        <f>IF(AND(SUM(BJ$3:BJ12)=0,BH12=0),0,BJ12+5)</f>
        <v>5</v>
      </c>
      <c r="BK13" s="10" t="str">
        <f>IF(BI13=0,"",BJ13)</f>
        <v/>
      </c>
      <c r="BL13" s="10">
        <f>IF(AND(BH13&gt;0,BK$221&lt;BH$221+1,SUM(BL$3:BL12)=0,BK$221&gt;0),-1,0)</f>
        <v>0</v>
      </c>
      <c r="BM13" s="10">
        <f>IF(AND(BK13&gt;0,BK13&lt;=BH$221),1,0)</f>
        <v>1</v>
      </c>
      <c r="BN13" s="10">
        <f>(BL13+BM13)*$AB13</f>
        <v>75</v>
      </c>
      <c r="BO13" s="143">
        <f>BI13-BL13-BM13</f>
        <v>-1</v>
      </c>
      <c r="BP13" s="9"/>
      <c r="BQ13" s="9"/>
      <c r="BR13" s="9"/>
      <c r="BS13" s="9"/>
      <c r="BT13" s="9"/>
      <c r="BU13" s="9"/>
      <c r="BV13" s="9"/>
      <c r="BW13" s="9"/>
      <c r="BX13" s="9"/>
      <c r="BY13" s="9"/>
    </row>
    <row r="14" spans="1:77" s="9" customFormat="1" ht="12.75" hidden="1" customHeight="1" x14ac:dyDescent="0.25">
      <c r="A14" t="str">
        <f>IF(R14=0,"",COUNTIF(A$13:A13,"&gt;0")+1)</f>
        <v/>
      </c>
      <c r="B14" s="4"/>
      <c r="C14" s="5" t="s">
        <v>22</v>
      </c>
      <c r="D14" s="7" t="s">
        <v>1301</v>
      </c>
      <c r="E14" s="31"/>
      <c r="F14" s="31"/>
      <c r="G14" s="21" t="s">
        <v>32</v>
      </c>
      <c r="H14" s="7">
        <f>VLOOKUP(D14,A!B$1:L$1126,3,FALSE)</f>
        <v>0</v>
      </c>
      <c r="I14" s="31">
        <f>VLOOKUP(D14,A!B$1:L$1126,3,FALSE)</f>
        <v>0</v>
      </c>
      <c r="J14" s="92"/>
      <c r="K14" s="63" t="str">
        <f>VLOOKUP(D14,A!B$1:L$1126,6,FALSE)</f>
        <v/>
      </c>
      <c r="L14" s="162"/>
      <c r="M14" s="40" t="s">
        <v>1302</v>
      </c>
      <c r="N14" s="94">
        <f>VLOOKUP(D14,A!B$1:L$1125,2,FALSE)</f>
        <v>0</v>
      </c>
      <c r="O14" s="94">
        <f>VLOOKUP(D14,A!B$1:L$1126,4,FALSE)</f>
        <v>0</v>
      </c>
      <c r="P14" s="10">
        <v>10</v>
      </c>
      <c r="Q14" s="10">
        <v>2.69</v>
      </c>
      <c r="R14" s="10">
        <f t="shared" ref="R14:R78" si="26">B14*P14</f>
        <v>0</v>
      </c>
      <c r="S14" s="10">
        <f t="shared" ref="S14:S78" si="27">R14*Q14</f>
        <v>0</v>
      </c>
      <c r="T14" s="29" t="s">
        <v>321</v>
      </c>
      <c r="U14" s="145">
        <v>0.33</v>
      </c>
      <c r="V14" s="10" t="str">
        <f>VLOOKUP(D14,A!B$1:T$1125,16,FALSE)</f>
        <v/>
      </c>
      <c r="W14" s="10">
        <f t="shared" ref="W14:W78" si="28">U14*B14</f>
        <v>0</v>
      </c>
      <c r="X14" s="29"/>
      <c r="Y14" s="29"/>
      <c r="Z14" s="29"/>
      <c r="AA14" s="29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77" s="3" customFormat="1" ht="13.5" hidden="1" customHeight="1" x14ac:dyDescent="0.25">
      <c r="A15" t="str">
        <f>IF(R15=0,"",COUNTIF(A$13:A14,"&gt;0")+1)</f>
        <v/>
      </c>
      <c r="B15" s="4"/>
      <c r="C15" s="5" t="s">
        <v>22</v>
      </c>
      <c r="D15" s="7" t="s">
        <v>33</v>
      </c>
      <c r="E15" s="31"/>
      <c r="F15" s="31"/>
      <c r="G15" s="21" t="s">
        <v>32</v>
      </c>
      <c r="H15" s="7">
        <f>VLOOKUP(D15,A!B$1:L$1126,3,FALSE)</f>
        <v>0</v>
      </c>
      <c r="I15" s="31">
        <f>VLOOKUP(D15,A!B$1:L$1126,3,FALSE)</f>
        <v>0</v>
      </c>
      <c r="J15" s="92"/>
      <c r="K15" s="63" t="str">
        <f>VLOOKUP(D15,A!B$1:L$1126,6,FALSE)</f>
        <v/>
      </c>
      <c r="L15" s="2"/>
      <c r="M15" s="40" t="s">
        <v>52</v>
      </c>
      <c r="N15" s="94">
        <f>VLOOKUP(D15,A!B$1:L$1125,2,FALSE)</f>
        <v>0</v>
      </c>
      <c r="O15" s="94">
        <f>VLOOKUP(D15,A!B$1:L$1126,4,FALSE)</f>
        <v>0</v>
      </c>
      <c r="P15" s="10">
        <v>10</v>
      </c>
      <c r="Q15" s="10">
        <v>2.69</v>
      </c>
      <c r="R15" s="10">
        <f t="shared" si="26"/>
        <v>0</v>
      </c>
      <c r="S15" s="10">
        <f t="shared" si="27"/>
        <v>0</v>
      </c>
      <c r="T15" s="29" t="s">
        <v>321</v>
      </c>
      <c r="U15" s="145">
        <v>0.33</v>
      </c>
      <c r="V15" s="10" t="str">
        <f>VLOOKUP(D15,A!B$1:T$1125,16,FALSE)</f>
        <v/>
      </c>
      <c r="W15" s="10">
        <f t="shared" si="28"/>
        <v>0</v>
      </c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61" t="e">
        <f>SUM(#REF!)</f>
        <v>#REF!</v>
      </c>
      <c r="AK15" s="161" t="e">
        <f>SUM(#REF!)</f>
        <v>#REF!</v>
      </c>
      <c r="AL15" s="161" t="e">
        <f>#REF!-AK15</f>
        <v>#REF!</v>
      </c>
      <c r="AM15" s="115"/>
      <c r="AN15" s="115"/>
      <c r="AO15" s="10" t="e">
        <f>SMALL(#REF!,1)</f>
        <v>#REF!</v>
      </c>
      <c r="AP15" s="115"/>
      <c r="AQ15" s="115"/>
      <c r="AR15" s="10" t="e">
        <f>SUM(#REF!)+AK15</f>
        <v>#REF!</v>
      </c>
      <c r="AS15" s="115"/>
      <c r="AT15" s="115"/>
      <c r="AU15" s="161" t="e">
        <f>SUM(#REF!)</f>
        <v>#REF!</v>
      </c>
      <c r="AV15" s="161" t="e">
        <f>SUM(#REF!)</f>
        <v>#REF!</v>
      </c>
      <c r="AW15" s="161" t="e">
        <f>#REF!-AV15</f>
        <v>#REF!</v>
      </c>
      <c r="AX15" s="115"/>
      <c r="AY15" s="115"/>
      <c r="AZ15" s="10" t="e">
        <f>IF(SUM(#REF!)=0,0,SMALL(#REF!,1))</f>
        <v>#REF!</v>
      </c>
      <c r="BA15" s="115"/>
      <c r="BB15" s="115"/>
      <c r="BC15" s="10" t="e">
        <f>SUM(#REF!)+AV15</f>
        <v>#REF!</v>
      </c>
      <c r="BD15" s="115"/>
      <c r="BE15" s="115"/>
      <c r="BF15" s="161" t="e">
        <f>SUM(#REF!)</f>
        <v>#REF!</v>
      </c>
      <c r="BG15" s="161" t="e">
        <f>SUM(#REF!)</f>
        <v>#REF!</v>
      </c>
      <c r="BH15" s="161" t="e">
        <f>#REF!-BG15</f>
        <v>#REF!</v>
      </c>
      <c r="BI15" s="115"/>
      <c r="BJ15" s="115"/>
      <c r="BK15" s="10" t="e">
        <f>IF(SUM(#REF!)=0,0,SMALL(#REF!,1))</f>
        <v>#REF!</v>
      </c>
      <c r="BL15" s="115"/>
      <c r="BM15" s="115"/>
      <c r="BN15" s="10" t="e">
        <f>SUM(#REF!)+BG15</f>
        <v>#REF!</v>
      </c>
      <c r="BO15" s="115"/>
      <c r="BP15"/>
      <c r="BQ15"/>
      <c r="BR15"/>
      <c r="BS15"/>
      <c r="BT15"/>
      <c r="BU15"/>
      <c r="BV15"/>
      <c r="BW15"/>
      <c r="BX15"/>
      <c r="BY15"/>
    </row>
    <row r="16" spans="1:77" s="3" customFormat="1" ht="13.5" hidden="1" customHeight="1" x14ac:dyDescent="0.25">
      <c r="A16" t="str">
        <f>IF(R16=0,"",COUNTIF(A$13:A15,"&gt;0")+1)</f>
        <v/>
      </c>
      <c r="B16" s="4"/>
      <c r="C16" s="5" t="s">
        <v>22</v>
      </c>
      <c r="D16" s="7" t="s">
        <v>31</v>
      </c>
      <c r="E16" s="31"/>
      <c r="F16" s="31"/>
      <c r="G16" s="21" t="s">
        <v>32</v>
      </c>
      <c r="H16" s="7">
        <f>VLOOKUP(D16,A!B$1:L$1126,3,FALSE)</f>
        <v>0</v>
      </c>
      <c r="I16" s="31">
        <f>VLOOKUP(D16,A!B$1:L$1126,3,FALSE)</f>
        <v>0</v>
      </c>
      <c r="J16" s="92"/>
      <c r="K16" s="63" t="str">
        <f>VLOOKUP(D16,A!B$1:L$1126,6,FALSE)</f>
        <v/>
      </c>
      <c r="L16" s="162"/>
      <c r="M16" s="40" t="s">
        <v>53</v>
      </c>
      <c r="N16" s="94">
        <f>VLOOKUP(D16,A!B$1:L$1125,2,FALSE)</f>
        <v>0</v>
      </c>
      <c r="O16" s="94">
        <f>VLOOKUP(D16,A!B$1:L$1126,4,FALSE)</f>
        <v>0</v>
      </c>
      <c r="P16" s="10">
        <v>10</v>
      </c>
      <c r="Q16" s="10">
        <v>2.69</v>
      </c>
      <c r="R16" s="10">
        <f t="shared" si="26"/>
        <v>0</v>
      </c>
      <c r="S16" s="10">
        <f t="shared" si="27"/>
        <v>0</v>
      </c>
      <c r="T16" s="29" t="s">
        <v>321</v>
      </c>
      <c r="U16" s="145">
        <v>0.33</v>
      </c>
      <c r="V16" s="10" t="str">
        <f>VLOOKUP(D16,A!B$1:T$1125,16,FALSE)</f>
        <v/>
      </c>
      <c r="W16" s="10">
        <f t="shared" si="28"/>
        <v>0</v>
      </c>
      <c r="X16" s="29"/>
      <c r="Y16" s="29"/>
      <c r="Z16" s="29"/>
      <c r="AA16" s="29"/>
    </row>
    <row r="17" spans="1:77" s="3" customFormat="1" ht="13.5" hidden="1" customHeight="1" x14ac:dyDescent="0.25">
      <c r="A17" t="str">
        <f>IF(R17=0,"",COUNTIF(A$13:A16,"&gt;0")+1)</f>
        <v/>
      </c>
      <c r="B17" s="4"/>
      <c r="C17" s="5" t="s">
        <v>22</v>
      </c>
      <c r="D17" s="7" t="s">
        <v>1303</v>
      </c>
      <c r="E17" s="31"/>
      <c r="F17" s="31"/>
      <c r="G17" s="21" t="s">
        <v>32</v>
      </c>
      <c r="H17" s="7">
        <f>VLOOKUP(D17,A!B$1:L$1126,3,FALSE)</f>
        <v>0</v>
      </c>
      <c r="I17" s="31">
        <f>VLOOKUP(D17,A!B$1:L$1126,3,FALSE)</f>
        <v>0</v>
      </c>
      <c r="J17" s="92"/>
      <c r="K17" s="63" t="str">
        <f>VLOOKUP(D17,A!B$1:L$1126,6,FALSE)</f>
        <v/>
      </c>
      <c r="L17" s="162"/>
      <c r="M17" s="40" t="s">
        <v>1304</v>
      </c>
      <c r="N17" s="94">
        <f>VLOOKUP(D17,A!B$1:L$1125,2,FALSE)</f>
        <v>0</v>
      </c>
      <c r="O17" s="94">
        <f>VLOOKUP(D17,A!B$1:L$1126,4,FALSE)</f>
        <v>0</v>
      </c>
      <c r="P17" s="10">
        <v>10</v>
      </c>
      <c r="Q17" s="10">
        <v>2.69</v>
      </c>
      <c r="R17" s="10">
        <f t="shared" si="26"/>
        <v>0</v>
      </c>
      <c r="S17" s="10">
        <f t="shared" si="27"/>
        <v>0</v>
      </c>
      <c r="T17" s="29" t="s">
        <v>321</v>
      </c>
      <c r="U17" s="145">
        <v>0.33</v>
      </c>
      <c r="V17" s="10" t="str">
        <f>VLOOKUP(D17,A!B$1:T$1125,16,FALSE)</f>
        <v/>
      </c>
      <c r="W17" s="10">
        <f t="shared" si="28"/>
        <v>0</v>
      </c>
      <c r="X17" s="29"/>
      <c r="Y17" s="29"/>
      <c r="Z17" s="29"/>
      <c r="AA17" s="29"/>
    </row>
    <row r="18" spans="1:77" s="3" customFormat="1" ht="13.5" hidden="1" customHeight="1" x14ac:dyDescent="0.25">
      <c r="A18" t="str">
        <f>IF(R18=0,"",COUNTIF(A$13:A17,"&gt;0")+1)</f>
        <v/>
      </c>
      <c r="B18" s="4"/>
      <c r="C18" s="5" t="s">
        <v>22</v>
      </c>
      <c r="D18" s="7" t="s">
        <v>1305</v>
      </c>
      <c r="E18" s="31"/>
      <c r="F18" s="31"/>
      <c r="G18" s="21" t="s">
        <v>32</v>
      </c>
      <c r="H18" s="7">
        <f>VLOOKUP(D18,A!B$1:L$1126,3,FALSE)</f>
        <v>0</v>
      </c>
      <c r="I18" s="31">
        <f>VLOOKUP(D18,A!B$1:L$1126,3,FALSE)</f>
        <v>0</v>
      </c>
      <c r="J18" s="92"/>
      <c r="K18" s="63" t="str">
        <f>VLOOKUP(D18,A!B$1:L$1126,6,FALSE)</f>
        <v/>
      </c>
      <c r="L18" s="162"/>
      <c r="M18" s="40" t="s">
        <v>1306</v>
      </c>
      <c r="N18" s="94">
        <f>VLOOKUP(D18,A!B$1:L$1125,2,FALSE)</f>
        <v>0</v>
      </c>
      <c r="O18" s="94">
        <f>VLOOKUP(D18,A!B$1:L$1126,4,FALSE)</f>
        <v>0</v>
      </c>
      <c r="P18" s="10">
        <v>10</v>
      </c>
      <c r="Q18" s="10">
        <v>2.69</v>
      </c>
      <c r="R18" s="10">
        <f t="shared" si="26"/>
        <v>0</v>
      </c>
      <c r="S18" s="10">
        <f t="shared" si="27"/>
        <v>0</v>
      </c>
      <c r="T18" s="29" t="s">
        <v>321</v>
      </c>
      <c r="U18" s="145">
        <v>0.33</v>
      </c>
      <c r="V18" s="10" t="str">
        <f>VLOOKUP(D18,A!B$1:T$1125,16,FALSE)</f>
        <v/>
      </c>
      <c r="W18" s="10">
        <f t="shared" si="28"/>
        <v>0</v>
      </c>
      <c r="X18" s="29"/>
      <c r="Y18" s="29"/>
      <c r="Z18" s="29"/>
      <c r="AA18" s="29"/>
    </row>
    <row r="19" spans="1:77" s="3" customFormat="1" ht="13.5" hidden="1" customHeight="1" x14ac:dyDescent="0.25">
      <c r="A19" t="str">
        <f>IF(R19=0,"",COUNTIF(A$13:A18,"&gt;0")+1)</f>
        <v/>
      </c>
      <c r="B19" s="4"/>
      <c r="C19" s="5" t="s">
        <v>22</v>
      </c>
      <c r="D19" s="7" t="s">
        <v>1307</v>
      </c>
      <c r="E19" s="31"/>
      <c r="F19" s="31"/>
      <c r="G19" s="21" t="s">
        <v>32</v>
      </c>
      <c r="H19" s="7">
        <f>VLOOKUP(D19,A!B$1:L$1126,3,FALSE)</f>
        <v>0</v>
      </c>
      <c r="I19" s="31">
        <f>VLOOKUP(D19,A!B$1:L$1126,3,FALSE)</f>
        <v>0</v>
      </c>
      <c r="J19" s="92"/>
      <c r="K19" s="63" t="str">
        <f>VLOOKUP(D19,A!B$1:L$1126,6,FALSE)</f>
        <v/>
      </c>
      <c r="L19" s="162"/>
      <c r="M19" s="40" t="s">
        <v>1308</v>
      </c>
      <c r="N19" s="94">
        <f>VLOOKUP(D19,A!B$1:L$1125,2,FALSE)</f>
        <v>0</v>
      </c>
      <c r="O19" s="94">
        <f>VLOOKUP(D19,A!B$1:L$1126,4,FALSE)</f>
        <v>0</v>
      </c>
      <c r="P19" s="10">
        <v>10</v>
      </c>
      <c r="Q19" s="10">
        <v>2.69</v>
      </c>
      <c r="R19" s="10">
        <f t="shared" si="26"/>
        <v>0</v>
      </c>
      <c r="S19" s="10">
        <f t="shared" si="27"/>
        <v>0</v>
      </c>
      <c r="T19" s="29" t="s">
        <v>321</v>
      </c>
      <c r="U19" s="145">
        <v>0.33</v>
      </c>
      <c r="V19" s="10" t="str">
        <f>VLOOKUP(D19,A!B$1:T$1125,16,FALSE)</f>
        <v/>
      </c>
      <c r="W19" s="10">
        <f t="shared" si="28"/>
        <v>0</v>
      </c>
      <c r="X19" s="29"/>
      <c r="Y19" s="29"/>
      <c r="Z19" s="29"/>
      <c r="AA19" s="29"/>
    </row>
    <row r="20" spans="1:77" s="3" customFormat="1" ht="13.5" hidden="1" customHeight="1" x14ac:dyDescent="0.25">
      <c r="A20" t="str">
        <f>IF(R20=0,"",COUNTIF(A$13:A19,"&gt;0")+1)</f>
        <v/>
      </c>
      <c r="B20" s="4"/>
      <c r="C20" s="5" t="s">
        <v>22</v>
      </c>
      <c r="D20" s="7" t="s">
        <v>1309</v>
      </c>
      <c r="E20" s="31"/>
      <c r="F20" s="31"/>
      <c r="G20" s="21" t="s">
        <v>32</v>
      </c>
      <c r="H20" s="7">
        <f>VLOOKUP(D20,A!B$1:L$1126,3,FALSE)</f>
        <v>0</v>
      </c>
      <c r="I20" s="31">
        <f>VLOOKUP(D20,A!B$1:L$1126,3,FALSE)</f>
        <v>0</v>
      </c>
      <c r="J20" s="92"/>
      <c r="K20" s="63" t="str">
        <f>VLOOKUP(D20,A!B$1:L$1126,6,FALSE)</f>
        <v/>
      </c>
      <c r="L20" s="162"/>
      <c r="M20" s="40" t="s">
        <v>1310</v>
      </c>
      <c r="N20" s="94">
        <f>VLOOKUP(D20,A!B$1:L$1125,2,FALSE)</f>
        <v>0</v>
      </c>
      <c r="O20" s="94">
        <f>VLOOKUP(D20,A!B$1:L$1126,4,FALSE)</f>
        <v>0</v>
      </c>
      <c r="P20" s="10">
        <v>10</v>
      </c>
      <c r="Q20" s="10">
        <v>2.69</v>
      </c>
      <c r="R20" s="10">
        <f t="shared" si="26"/>
        <v>0</v>
      </c>
      <c r="S20" s="10">
        <f t="shared" si="27"/>
        <v>0</v>
      </c>
      <c r="T20" s="29" t="s">
        <v>321</v>
      </c>
      <c r="U20" s="145">
        <v>0.33</v>
      </c>
      <c r="V20" s="10" t="str">
        <f>VLOOKUP(D20,A!B$1:T$1125,16,FALSE)</f>
        <v/>
      </c>
      <c r="W20" s="10">
        <f t="shared" si="28"/>
        <v>0</v>
      </c>
      <c r="X20" s="29"/>
      <c r="Y20" s="29"/>
      <c r="Z20" s="29"/>
      <c r="AA20" s="29"/>
    </row>
    <row r="21" spans="1:77" s="3" customFormat="1" ht="13.5" hidden="1" customHeight="1" x14ac:dyDescent="0.25">
      <c r="A21" t="str">
        <f>IF(R21=0,"",COUNTIF(A$13:A20,"&gt;0")+1)</f>
        <v/>
      </c>
      <c r="B21" s="4"/>
      <c r="C21" s="5" t="s">
        <v>22</v>
      </c>
      <c r="D21" s="7" t="s">
        <v>1311</v>
      </c>
      <c r="E21" s="31"/>
      <c r="F21" s="31"/>
      <c r="G21" s="21" t="s">
        <v>32</v>
      </c>
      <c r="H21" s="7">
        <f>VLOOKUP(D21,A!B$1:L$1126,3,FALSE)</f>
        <v>0</v>
      </c>
      <c r="I21" s="31">
        <f>VLOOKUP(D21,A!B$1:L$1126,3,FALSE)</f>
        <v>0</v>
      </c>
      <c r="J21" s="92"/>
      <c r="K21" s="63" t="str">
        <f>VLOOKUP(D21,A!B$1:L$1126,6,FALSE)</f>
        <v/>
      </c>
      <c r="L21" s="162"/>
      <c r="M21" s="40" t="s">
        <v>1312</v>
      </c>
      <c r="N21" s="94">
        <f>VLOOKUP(D21,A!B$1:L$1125,2,FALSE)</f>
        <v>0</v>
      </c>
      <c r="O21" s="94">
        <f>VLOOKUP(D21,A!B$1:L$1126,4,FALSE)</f>
        <v>0</v>
      </c>
      <c r="P21" s="10">
        <v>10</v>
      </c>
      <c r="Q21" s="10">
        <v>2.69</v>
      </c>
      <c r="R21" s="10">
        <f t="shared" si="26"/>
        <v>0</v>
      </c>
      <c r="S21" s="10">
        <f t="shared" si="27"/>
        <v>0</v>
      </c>
      <c r="T21" s="29" t="s">
        <v>321</v>
      </c>
      <c r="U21" s="145">
        <v>0.33</v>
      </c>
      <c r="V21" s="10" t="str">
        <f>VLOOKUP(D21,A!B$1:T$1125,16,FALSE)</f>
        <v/>
      </c>
      <c r="W21" s="10">
        <f t="shared" si="28"/>
        <v>0</v>
      </c>
      <c r="X21" s="29"/>
      <c r="Y21" s="29"/>
      <c r="Z21" s="29"/>
      <c r="AA21" s="29"/>
    </row>
    <row r="22" spans="1:77" s="3" customFormat="1" ht="13.5" hidden="1" customHeight="1" x14ac:dyDescent="0.25">
      <c r="A22" t="str">
        <f>IF(R22=0,"",COUNTIF(A$13:A21,"&gt;0")+1)</f>
        <v/>
      </c>
      <c r="B22" s="4"/>
      <c r="C22" s="5" t="s">
        <v>22</v>
      </c>
      <c r="D22" s="7" t="s">
        <v>1313</v>
      </c>
      <c r="E22" s="31"/>
      <c r="F22" s="31"/>
      <c r="G22" s="21" t="s">
        <v>32</v>
      </c>
      <c r="H22" s="7">
        <f>VLOOKUP(D22,A!B$1:L$1126,3,FALSE)</f>
        <v>0</v>
      </c>
      <c r="I22" s="31">
        <f>VLOOKUP(D22,A!B$1:L$1126,3,FALSE)</f>
        <v>0</v>
      </c>
      <c r="J22" s="92"/>
      <c r="K22" s="63" t="str">
        <f>VLOOKUP(D22,A!B$1:L$1126,6,FALSE)</f>
        <v/>
      </c>
      <c r="L22" s="165"/>
      <c r="M22" s="42" t="s">
        <v>1314</v>
      </c>
      <c r="N22" s="94">
        <f>VLOOKUP(D22,A!B$1:L$1125,2,FALSE)</f>
        <v>0</v>
      </c>
      <c r="O22" s="94">
        <f>VLOOKUP(D22,A!B$1:L$1126,4,FALSE)</f>
        <v>0</v>
      </c>
      <c r="P22" s="10">
        <v>10</v>
      </c>
      <c r="Q22" s="10">
        <v>2.69</v>
      </c>
      <c r="R22" s="10">
        <f t="shared" si="26"/>
        <v>0</v>
      </c>
      <c r="S22" s="10">
        <f t="shared" si="27"/>
        <v>0</v>
      </c>
      <c r="T22" s="29" t="s">
        <v>321</v>
      </c>
      <c r="U22" s="145">
        <v>0.33</v>
      </c>
      <c r="V22" s="10" t="str">
        <f>VLOOKUP(D22,A!B$1:T$1125,16,FALSE)</f>
        <v/>
      </c>
      <c r="W22" s="10">
        <f t="shared" si="28"/>
        <v>0</v>
      </c>
      <c r="X22" s="29"/>
      <c r="Y22" s="29"/>
      <c r="Z22" s="29"/>
      <c r="AA22" s="29"/>
    </row>
    <row r="23" spans="1:77" s="3" customFormat="1" ht="13.5" hidden="1" customHeight="1" x14ac:dyDescent="0.25">
      <c r="A23" t="str">
        <f>IF(R23=0,"",COUNTIF(A$13:A22,"&gt;0")+1)</f>
        <v/>
      </c>
      <c r="B23" s="4"/>
      <c r="C23" s="5" t="s">
        <v>22</v>
      </c>
      <c r="D23" s="7" t="s">
        <v>1315</v>
      </c>
      <c r="E23" s="31"/>
      <c r="F23" s="31"/>
      <c r="G23" s="21" t="s">
        <v>32</v>
      </c>
      <c r="H23" s="7">
        <f>VLOOKUP(D23,A!B$1:L$1126,3,FALSE)</f>
        <v>0</v>
      </c>
      <c r="I23" s="31">
        <f>VLOOKUP(D23,A!B$1:L$1126,3,FALSE)</f>
        <v>0</v>
      </c>
      <c r="J23" s="92"/>
      <c r="K23" s="63" t="str">
        <f>VLOOKUP(D23,A!B$1:L$1126,6,FALSE)</f>
        <v/>
      </c>
      <c r="L23" s="162"/>
      <c r="M23" s="40" t="s">
        <v>1316</v>
      </c>
      <c r="N23" s="94">
        <f>VLOOKUP(D23,A!B$1:L$1125,2,FALSE)</f>
        <v>0</v>
      </c>
      <c r="O23" s="94">
        <f>VLOOKUP(D23,A!B$1:L$1126,4,FALSE)</f>
        <v>0</v>
      </c>
      <c r="P23" s="10">
        <v>10</v>
      </c>
      <c r="Q23" s="10">
        <v>2.69</v>
      </c>
      <c r="R23" s="10">
        <f t="shared" si="26"/>
        <v>0</v>
      </c>
      <c r="S23" s="10">
        <f t="shared" si="27"/>
        <v>0</v>
      </c>
      <c r="T23" s="29" t="s">
        <v>321</v>
      </c>
      <c r="U23" s="145">
        <v>0.33</v>
      </c>
      <c r="V23" s="10" t="str">
        <f>VLOOKUP(D23,A!B$1:T$1125,16,FALSE)</f>
        <v/>
      </c>
      <c r="W23" s="10">
        <f t="shared" si="28"/>
        <v>0</v>
      </c>
      <c r="X23" s="29"/>
      <c r="Y23" s="29"/>
      <c r="Z23" s="29"/>
      <c r="AA23" s="29"/>
    </row>
    <row r="24" spans="1:77" s="3" customFormat="1" ht="13.5" hidden="1" customHeight="1" x14ac:dyDescent="0.25">
      <c r="A24" t="str">
        <f>IF(R24=0,"",COUNTIF(A$13:A23,"&gt;0")+1)</f>
        <v/>
      </c>
      <c r="B24" s="4"/>
      <c r="C24" s="5" t="s">
        <v>22</v>
      </c>
      <c r="D24" s="7" t="s">
        <v>1317</v>
      </c>
      <c r="E24" s="31"/>
      <c r="F24" s="31"/>
      <c r="G24" s="21" t="s">
        <v>32</v>
      </c>
      <c r="H24" s="7">
        <f>VLOOKUP(D24,A!B$1:L$1126,3,FALSE)</f>
        <v>0</v>
      </c>
      <c r="I24" s="31">
        <f>VLOOKUP(D24,A!B$1:L$1126,3,FALSE)</f>
        <v>0</v>
      </c>
      <c r="J24" s="92"/>
      <c r="K24" s="63" t="str">
        <f>VLOOKUP(D24,A!B$1:L$1126,6,FALSE)</f>
        <v/>
      </c>
      <c r="L24" s="162"/>
      <c r="M24" s="40" t="s">
        <v>1318</v>
      </c>
      <c r="N24" s="94">
        <f>VLOOKUP(D24,A!B$1:L$1125,2,FALSE)</f>
        <v>0</v>
      </c>
      <c r="O24" s="94">
        <f>VLOOKUP(D24,A!B$1:L$1126,4,FALSE)</f>
        <v>0</v>
      </c>
      <c r="P24" s="10">
        <v>10</v>
      </c>
      <c r="Q24" s="10">
        <v>2.69</v>
      </c>
      <c r="R24" s="10">
        <f t="shared" si="26"/>
        <v>0</v>
      </c>
      <c r="S24" s="10">
        <f t="shared" si="27"/>
        <v>0</v>
      </c>
      <c r="T24" s="29" t="s">
        <v>321</v>
      </c>
      <c r="U24" s="145">
        <v>0.33</v>
      </c>
      <c r="V24" s="10" t="str">
        <f>VLOOKUP(D24,A!B$1:T$1125,16,FALSE)</f>
        <v/>
      </c>
      <c r="W24" s="10">
        <f t="shared" si="28"/>
        <v>0</v>
      </c>
      <c r="X24" s="29"/>
      <c r="Y24" s="29"/>
      <c r="Z24" s="29"/>
      <c r="AA24" s="29"/>
    </row>
    <row r="25" spans="1:77" s="3" customFormat="1" ht="13.5" hidden="1" customHeight="1" x14ac:dyDescent="0.25">
      <c r="A25" t="str">
        <f>IF(R25=0,"",COUNTIF(A$13:A24,"&gt;0")+1)</f>
        <v/>
      </c>
      <c r="B25" s="4"/>
      <c r="C25" s="5" t="s">
        <v>22</v>
      </c>
      <c r="D25" s="7" t="s">
        <v>1319</v>
      </c>
      <c r="E25" s="31"/>
      <c r="F25" s="31"/>
      <c r="G25" s="21" t="s">
        <v>32</v>
      </c>
      <c r="H25" s="7">
        <f>VLOOKUP(D25,A!B$1:L$1126,3,FALSE)</f>
        <v>0</v>
      </c>
      <c r="I25" s="31">
        <f>VLOOKUP(D25,A!B$1:L$1126,3,FALSE)</f>
        <v>0</v>
      </c>
      <c r="J25" s="92"/>
      <c r="K25" s="63" t="str">
        <f>VLOOKUP(D25,A!B$1:L$1126,6,FALSE)</f>
        <v/>
      </c>
      <c r="L25" s="162"/>
      <c r="M25" s="40" t="s">
        <v>1320</v>
      </c>
      <c r="N25" s="94">
        <f>VLOOKUP(D25,A!B$1:L$1125,2,FALSE)</f>
        <v>0</v>
      </c>
      <c r="O25" s="94">
        <f>VLOOKUP(D25,A!B$1:L$1126,4,FALSE)</f>
        <v>0</v>
      </c>
      <c r="P25" s="10">
        <v>10</v>
      </c>
      <c r="Q25" s="10">
        <v>2.69</v>
      </c>
      <c r="R25" s="10">
        <f t="shared" si="26"/>
        <v>0</v>
      </c>
      <c r="S25" s="10">
        <f t="shared" si="27"/>
        <v>0</v>
      </c>
      <c r="T25" s="29" t="s">
        <v>321</v>
      </c>
      <c r="U25" s="145">
        <v>0.33</v>
      </c>
      <c r="V25" s="10" t="str">
        <f>VLOOKUP(D25,A!B$1:T$1125,16,FALSE)</f>
        <v/>
      </c>
      <c r="W25" s="10">
        <f t="shared" si="28"/>
        <v>0</v>
      </c>
      <c r="X25" s="29"/>
      <c r="Y25" s="29"/>
      <c r="Z25" s="29"/>
      <c r="AA25" s="29"/>
    </row>
    <row r="26" spans="1:77" s="3" customFormat="1" ht="13.5" customHeight="1" x14ac:dyDescent="0.25">
      <c r="A26" t="str">
        <f>IF(R26=0,"",COUNTIF(A$13:A25,"&gt;0")+1)</f>
        <v/>
      </c>
      <c r="B26" s="4"/>
      <c r="C26" s="5" t="s">
        <v>22</v>
      </c>
      <c r="D26" s="7" t="s">
        <v>1806</v>
      </c>
      <c r="E26" s="7"/>
      <c r="F26" s="31"/>
      <c r="G26" s="21" t="s">
        <v>1323</v>
      </c>
      <c r="H26" s="7">
        <f>VLOOKUP(D26,A!B$1:L$1126,3,FALSE)</f>
        <v>1</v>
      </c>
      <c r="I26" s="31">
        <f>VLOOKUP(D26,A!B$1:L$1126,3,FALSE)</f>
        <v>1</v>
      </c>
      <c r="J26" s="92"/>
      <c r="K26" s="63" t="str">
        <f>VLOOKUP(D26,A!B$1:L$1126,6,FALSE)</f>
        <v/>
      </c>
      <c r="L26" s="162"/>
      <c r="M26" s="40" t="s">
        <v>1814</v>
      </c>
      <c r="N26" s="94" t="str">
        <f>VLOOKUP(D26,A!B$1:L$1125,2,FALSE)</f>
        <v>y</v>
      </c>
      <c r="O26" s="94">
        <f>VLOOKUP(D26,A!B$1:L$1126,4,FALSE)</f>
        <v>1</v>
      </c>
      <c r="P26" s="10">
        <v>10</v>
      </c>
      <c r="Q26" s="10">
        <v>2.69</v>
      </c>
      <c r="R26" s="10">
        <f t="shared" ref="R26" si="29">B26*P26</f>
        <v>0</v>
      </c>
      <c r="S26" s="10">
        <f t="shared" ref="S26" si="30">R26*Q26</f>
        <v>0</v>
      </c>
      <c r="T26" s="29" t="s">
        <v>321</v>
      </c>
      <c r="U26" s="145">
        <v>0.33</v>
      </c>
      <c r="V26" s="10">
        <f>VLOOKUP(D26,A!B$1:T$1125,16,FALSE)</f>
        <v>0</v>
      </c>
      <c r="W26" s="10">
        <f t="shared" ref="W26" si="31">U26*B26</f>
        <v>0</v>
      </c>
      <c r="X26" s="29"/>
      <c r="Y26" s="29"/>
      <c r="Z26" s="29"/>
      <c r="AA26" s="29"/>
    </row>
    <row r="27" spans="1:77" s="3" customFormat="1" ht="13.5" hidden="1" customHeight="1" x14ac:dyDescent="0.25">
      <c r="A27" t="str">
        <f>IF(R27=0,"",COUNTIF(A$13:A26,"&gt;0")+1)</f>
        <v/>
      </c>
      <c r="B27" s="4"/>
      <c r="C27" s="5" t="s">
        <v>22</v>
      </c>
      <c r="D27" s="7" t="s">
        <v>1321</v>
      </c>
      <c r="E27" s="31"/>
      <c r="F27" s="31"/>
      <c r="G27" s="6" t="s">
        <v>84</v>
      </c>
      <c r="H27" s="7">
        <f>VLOOKUP(D27,A!B$1:L$1126,3,FALSE)</f>
        <v>0</v>
      </c>
      <c r="I27" s="31">
        <f>VLOOKUP(D27,A!B$1:L$1126,3,FALSE)</f>
        <v>0</v>
      </c>
      <c r="J27" s="92"/>
      <c r="K27" s="63" t="str">
        <f>VLOOKUP(D27,A!B$1:L$1126,6,FALSE)</f>
        <v/>
      </c>
      <c r="L27" s="162"/>
      <c r="M27" s="41" t="s">
        <v>85</v>
      </c>
      <c r="N27" s="94">
        <f>VLOOKUP(D27,A!B$1:L$1125,2,FALSE)</f>
        <v>0</v>
      </c>
      <c r="O27" s="94">
        <f>VLOOKUP(D27,A!B$1:L$1126,4,FALSE)</f>
        <v>0</v>
      </c>
      <c r="P27" s="10">
        <v>10</v>
      </c>
      <c r="Q27" s="10">
        <v>2.69</v>
      </c>
      <c r="R27" s="10">
        <f t="shared" si="26"/>
        <v>0</v>
      </c>
      <c r="S27" s="10">
        <f t="shared" si="27"/>
        <v>0</v>
      </c>
      <c r="T27" s="29" t="s">
        <v>321</v>
      </c>
      <c r="U27" s="145">
        <v>0.33</v>
      </c>
      <c r="V27" s="10" t="str">
        <f>VLOOKUP(D27,A!B$1:T$1125,16,FALSE)</f>
        <v/>
      </c>
      <c r="W27" s="10">
        <f t="shared" si="28"/>
        <v>0</v>
      </c>
      <c r="X27" s="29"/>
      <c r="Y27" s="29"/>
      <c r="Z27" s="29"/>
      <c r="AA27" s="29"/>
    </row>
    <row r="28" spans="1:77" s="3" customFormat="1" ht="13.5" hidden="1" customHeight="1" x14ac:dyDescent="0.25">
      <c r="A28" t="str">
        <f>IF(R28=0,"",COUNTIF(A$13:A27,"&gt;0")+1)</f>
        <v/>
      </c>
      <c r="B28" s="4"/>
      <c r="C28" s="5" t="s">
        <v>22</v>
      </c>
      <c r="D28" s="7" t="s">
        <v>1322</v>
      </c>
      <c r="E28" s="31"/>
      <c r="F28" s="31"/>
      <c r="G28" s="6" t="s">
        <v>1323</v>
      </c>
      <c r="H28" s="7">
        <f>VLOOKUP(D28,A!B$1:L$1126,3,FALSE)</f>
        <v>0</v>
      </c>
      <c r="I28" s="31">
        <f>VLOOKUP(D28,A!B$1:L$1126,3,FALSE)</f>
        <v>0</v>
      </c>
      <c r="J28" s="92"/>
      <c r="K28" s="63" t="str">
        <f>VLOOKUP(D28,A!B$1:L$1126,6,FALSE)</f>
        <v/>
      </c>
      <c r="L28" s="162"/>
      <c r="M28" s="41" t="s">
        <v>1324</v>
      </c>
      <c r="N28" s="94">
        <f>VLOOKUP(D28,A!B$1:L$1125,2,FALSE)</f>
        <v>0</v>
      </c>
      <c r="O28" s="94">
        <f>VLOOKUP(D28,A!B$1:L$1126,4,FALSE)</f>
        <v>0</v>
      </c>
      <c r="P28" s="10">
        <v>10</v>
      </c>
      <c r="Q28" s="10">
        <v>2.69</v>
      </c>
      <c r="R28" s="10">
        <f t="shared" si="26"/>
        <v>0</v>
      </c>
      <c r="S28" s="10">
        <f t="shared" si="27"/>
        <v>0</v>
      </c>
      <c r="T28" s="29" t="s">
        <v>321</v>
      </c>
      <c r="U28" s="145">
        <v>0.33</v>
      </c>
      <c r="V28" s="10" t="str">
        <f>VLOOKUP(D28,A!B$1:T$1125,16,FALSE)</f>
        <v/>
      </c>
      <c r="W28" s="10">
        <f t="shared" si="28"/>
        <v>0</v>
      </c>
      <c r="X28" s="29"/>
      <c r="Y28" s="29"/>
      <c r="Z28" s="29"/>
      <c r="AA28" s="29"/>
    </row>
    <row r="29" spans="1:77" s="3" customFormat="1" ht="13.5" hidden="1" customHeight="1" x14ac:dyDescent="0.25">
      <c r="A29" t="str">
        <f>IF(R29=0,"",COUNTIF(A$13:A28,"&gt;0")+1)</f>
        <v/>
      </c>
      <c r="B29" s="4"/>
      <c r="C29" s="5" t="s">
        <v>22</v>
      </c>
      <c r="D29" s="7" t="s">
        <v>86</v>
      </c>
      <c r="E29" s="31"/>
      <c r="F29" s="31"/>
      <c r="G29" s="6" t="s">
        <v>84</v>
      </c>
      <c r="H29" s="7">
        <f>VLOOKUP(D29,A!B$1:L$1126,3,FALSE)</f>
        <v>0</v>
      </c>
      <c r="I29" s="31">
        <f>VLOOKUP(D29,A!B$1:L$1126,3,FALSE)</f>
        <v>0</v>
      </c>
      <c r="J29" s="92"/>
      <c r="K29" s="63" t="str">
        <f>VLOOKUP(D29,A!B$1:L$1126,6,FALSE)</f>
        <v/>
      </c>
      <c r="L29" s="2"/>
      <c r="M29" s="41" t="s">
        <v>85</v>
      </c>
      <c r="N29" s="94">
        <f>VLOOKUP(D29,A!B$1:L$1125,2,FALSE)</f>
        <v>0</v>
      </c>
      <c r="O29" s="94">
        <f>VLOOKUP(D29,A!B$1:L$1126,4,FALSE)</f>
        <v>0</v>
      </c>
      <c r="P29" s="10">
        <v>10</v>
      </c>
      <c r="Q29" s="10">
        <v>2.69</v>
      </c>
      <c r="R29" s="10">
        <f t="shared" si="26"/>
        <v>0</v>
      </c>
      <c r="S29" s="10">
        <f t="shared" si="27"/>
        <v>0</v>
      </c>
      <c r="T29" s="29" t="s">
        <v>321</v>
      </c>
      <c r="U29" s="145">
        <v>0.33</v>
      </c>
      <c r="V29" s="10" t="str">
        <f>VLOOKUP(D29,A!B$1:T$1125,16,FALSE)</f>
        <v/>
      </c>
      <c r="W29" s="10">
        <f t="shared" si="28"/>
        <v>0</v>
      </c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49" t="e">
        <f>AK28/#REF!</f>
        <v>#REF!</v>
      </c>
      <c r="AL29" s="115"/>
      <c r="AM29" s="115"/>
      <c r="AN29" s="115"/>
      <c r="AO29" s="115"/>
      <c r="AP29" s="115"/>
      <c r="AQ29" s="115"/>
      <c r="AR29" s="150" t="e">
        <f>AR28/#REF!</f>
        <v>#REF!</v>
      </c>
      <c r="AS29" s="115"/>
      <c r="AT29" s="115"/>
      <c r="AU29" s="115"/>
      <c r="AV29" s="149" t="e">
        <f>AV28/#REF!</f>
        <v>#REF!</v>
      </c>
      <c r="AW29" s="115"/>
      <c r="AX29" s="115"/>
      <c r="AY29" s="115"/>
      <c r="AZ29" s="115"/>
      <c r="BA29" s="115"/>
      <c r="BB29" s="115"/>
      <c r="BC29" s="150" t="e">
        <f>BC28/#REF!</f>
        <v>#REF!</v>
      </c>
      <c r="BD29" s="115"/>
      <c r="BE29" s="115"/>
      <c r="BF29" s="115"/>
      <c r="BG29" s="149" t="e">
        <f>BG28/#REF!</f>
        <v>#REF!</v>
      </c>
      <c r="BH29" s="115"/>
      <c r="BI29" s="115"/>
      <c r="BJ29" s="115"/>
      <c r="BK29" s="115"/>
      <c r="BL29" s="115"/>
      <c r="BM29" s="115"/>
      <c r="BN29" s="150" t="e">
        <f>BN28/#REF!</f>
        <v>#REF!</v>
      </c>
      <c r="BO29" s="115"/>
      <c r="BP29"/>
      <c r="BQ29"/>
      <c r="BR29"/>
      <c r="BS29"/>
      <c r="BT29"/>
      <c r="BU29"/>
      <c r="BV29"/>
      <c r="BW29"/>
      <c r="BX29"/>
      <c r="BY29"/>
    </row>
    <row r="30" spans="1:77" s="3" customFormat="1" ht="13.5" hidden="1" customHeight="1" x14ac:dyDescent="0.25">
      <c r="A30" t="str">
        <f>IF(R30=0,"",COUNTIF(A$13:A29,"&gt;0")+1)</f>
        <v/>
      </c>
      <c r="B30" s="4"/>
      <c r="C30" s="5" t="s">
        <v>22</v>
      </c>
      <c r="D30" s="7" t="s">
        <v>1325</v>
      </c>
      <c r="E30" s="31"/>
      <c r="F30" s="31"/>
      <c r="G30" s="6" t="s">
        <v>84</v>
      </c>
      <c r="H30" s="7">
        <f>VLOOKUP(D30,A!B$1:L$1126,3,FALSE)</f>
        <v>0</v>
      </c>
      <c r="I30" s="31">
        <f>VLOOKUP(D30,A!B$1:L$1126,3,FALSE)</f>
        <v>0</v>
      </c>
      <c r="J30" s="92"/>
      <c r="K30" s="63" t="str">
        <f>VLOOKUP(D30,A!B$1:L$1126,6,FALSE)</f>
        <v/>
      </c>
      <c r="L30" s="162"/>
      <c r="M30" s="41" t="s">
        <v>1326</v>
      </c>
      <c r="N30" s="94">
        <f>VLOOKUP(D30,A!B$1:L$1125,2,FALSE)</f>
        <v>0</v>
      </c>
      <c r="O30" s="94">
        <f>VLOOKUP(D30,A!B$1:L$1126,4,FALSE)</f>
        <v>0</v>
      </c>
      <c r="P30" s="10">
        <v>10</v>
      </c>
      <c r="Q30" s="10">
        <v>2.69</v>
      </c>
      <c r="R30" s="10">
        <f t="shared" si="26"/>
        <v>0</v>
      </c>
      <c r="S30" s="10">
        <f t="shared" si="27"/>
        <v>0</v>
      </c>
      <c r="T30" s="29" t="s">
        <v>321</v>
      </c>
      <c r="U30" s="145">
        <v>0.33</v>
      </c>
      <c r="V30" s="10" t="str">
        <f>VLOOKUP(D30,A!B$1:T$1125,16,FALSE)</f>
        <v/>
      </c>
      <c r="W30" s="10">
        <f t="shared" si="28"/>
        <v>0</v>
      </c>
      <c r="X30" s="29"/>
      <c r="Y30" s="29"/>
      <c r="Z30" s="29"/>
      <c r="AA30" s="29"/>
    </row>
    <row r="31" spans="1:77" s="3" customFormat="1" ht="13.5" hidden="1" customHeight="1" x14ac:dyDescent="0.25">
      <c r="A31" t="str">
        <f>IF(R31=0,"",COUNTIF(A$13:A30,"&gt;0")+1)</f>
        <v/>
      </c>
      <c r="B31" s="4"/>
      <c r="C31" s="5" t="s">
        <v>22</v>
      </c>
      <c r="D31" s="7" t="s">
        <v>1327</v>
      </c>
      <c r="E31" s="31"/>
      <c r="F31" s="31"/>
      <c r="G31" s="6" t="s">
        <v>1328</v>
      </c>
      <c r="H31" s="7">
        <f>VLOOKUP(D31,A!B$1:L$1126,3,FALSE)</f>
        <v>0</v>
      </c>
      <c r="I31" s="31">
        <f>VLOOKUP(D31,A!B$1:L$1126,3,FALSE)</f>
        <v>0</v>
      </c>
      <c r="J31" s="92"/>
      <c r="K31" s="63" t="str">
        <f>VLOOKUP(D31,A!B$1:L$1126,6,FALSE)</f>
        <v/>
      </c>
      <c r="L31" s="162"/>
      <c r="M31" s="43" t="s">
        <v>1329</v>
      </c>
      <c r="N31" s="94">
        <f>VLOOKUP(D31,A!B$1:L$1125,2,FALSE)</f>
        <v>0</v>
      </c>
      <c r="O31" s="94">
        <f>VLOOKUP(D31,A!B$1:L$1126,4,FALSE)</f>
        <v>0</v>
      </c>
      <c r="P31" s="10">
        <v>10</v>
      </c>
      <c r="Q31" s="10">
        <v>2.69</v>
      </c>
      <c r="R31" s="10">
        <f t="shared" si="26"/>
        <v>0</v>
      </c>
      <c r="S31" s="10">
        <f t="shared" si="27"/>
        <v>0</v>
      </c>
      <c r="T31" s="29" t="s">
        <v>321</v>
      </c>
      <c r="U31" s="145">
        <v>0.33</v>
      </c>
      <c r="V31" s="10" t="str">
        <f>VLOOKUP(D31,A!B$1:T$1125,16,FALSE)</f>
        <v/>
      </c>
      <c r="W31" s="10">
        <f t="shared" si="28"/>
        <v>0</v>
      </c>
      <c r="X31" s="29"/>
      <c r="Y31" s="29"/>
      <c r="Z31" s="29"/>
      <c r="AA31" s="29"/>
    </row>
    <row r="32" spans="1:77" s="3" customFormat="1" ht="13.5" hidden="1" customHeight="1" x14ac:dyDescent="0.25">
      <c r="A32" t="str">
        <f>IF(R32=0,"",COUNTIF(A$13:A31,"&gt;0")+1)</f>
        <v/>
      </c>
      <c r="B32" s="4"/>
      <c r="C32" s="5" t="s">
        <v>22</v>
      </c>
      <c r="D32" s="7" t="s">
        <v>1330</v>
      </c>
      <c r="E32" s="31"/>
      <c r="F32" s="31"/>
      <c r="G32" s="6" t="s">
        <v>1331</v>
      </c>
      <c r="H32" s="7">
        <f>VLOOKUP(D32,A!B$1:L$1126,3,FALSE)</f>
        <v>0</v>
      </c>
      <c r="I32" s="31">
        <f>VLOOKUP(D32,A!B$1:L$1126,3,FALSE)</f>
        <v>0</v>
      </c>
      <c r="J32" s="92"/>
      <c r="K32" s="63" t="str">
        <f>VLOOKUP(D32,A!B$1:L$1126,6,FALSE)</f>
        <v/>
      </c>
      <c r="L32" s="162"/>
      <c r="M32" s="43" t="s">
        <v>1332</v>
      </c>
      <c r="N32" s="94">
        <f>VLOOKUP(D32,A!B$1:L$1125,2,FALSE)</f>
        <v>0</v>
      </c>
      <c r="O32" s="94">
        <f>VLOOKUP(D32,A!B$1:L$1126,4,FALSE)</f>
        <v>0</v>
      </c>
      <c r="P32" s="10">
        <v>10</v>
      </c>
      <c r="Q32" s="10">
        <v>2.69</v>
      </c>
      <c r="R32" s="10">
        <f t="shared" si="26"/>
        <v>0</v>
      </c>
      <c r="S32" s="10">
        <f t="shared" si="27"/>
        <v>0</v>
      </c>
      <c r="T32" s="29" t="s">
        <v>321</v>
      </c>
      <c r="U32" s="145">
        <v>0.33</v>
      </c>
      <c r="V32" s="10" t="str">
        <f>VLOOKUP(D32,A!B$1:T$1125,16,FALSE)</f>
        <v/>
      </c>
      <c r="W32" s="10">
        <f t="shared" si="28"/>
        <v>0</v>
      </c>
      <c r="X32" s="29"/>
      <c r="Y32" s="29"/>
      <c r="Z32" s="29"/>
      <c r="AA32" s="29"/>
    </row>
    <row r="33" spans="1:77" s="3" customFormat="1" ht="13.5" hidden="1" customHeight="1" x14ac:dyDescent="0.25">
      <c r="A33" t="str">
        <f>IF(R33=0,"",COUNTIF(A$13:A32,"&gt;0")+1)</f>
        <v/>
      </c>
      <c r="B33" s="4"/>
      <c r="C33" s="5" t="s">
        <v>22</v>
      </c>
      <c r="D33" s="7" t="s">
        <v>1330</v>
      </c>
      <c r="E33" s="31"/>
      <c r="F33" s="31"/>
      <c r="G33" s="6" t="s">
        <v>1339</v>
      </c>
      <c r="H33" s="7">
        <f>VLOOKUP(D33,A!B$1:L$1126,3,FALSE)</f>
        <v>0</v>
      </c>
      <c r="I33" s="31">
        <f>VLOOKUP(D33,A!B$1:L$1126,3,FALSE)</f>
        <v>0</v>
      </c>
      <c r="J33" s="92"/>
      <c r="K33" s="63" t="str">
        <f>VLOOKUP(D33,A!B$1:L$1126,6,FALSE)</f>
        <v/>
      </c>
      <c r="L33" s="162"/>
      <c r="M33" s="42" t="s">
        <v>1340</v>
      </c>
      <c r="N33" s="94">
        <f>VLOOKUP(D33,A!B$1:L$1125,2,FALSE)</f>
        <v>0</v>
      </c>
      <c r="O33" s="94">
        <f>VLOOKUP(D33,A!B$1:L$1126,4,FALSE)</f>
        <v>0</v>
      </c>
      <c r="P33" s="10">
        <v>10</v>
      </c>
      <c r="Q33" s="10">
        <v>2.69</v>
      </c>
      <c r="R33" s="10">
        <f t="shared" si="26"/>
        <v>0</v>
      </c>
      <c r="S33" s="10">
        <f t="shared" si="27"/>
        <v>0</v>
      </c>
      <c r="T33" s="29" t="s">
        <v>321</v>
      </c>
      <c r="U33" s="145">
        <v>0.33</v>
      </c>
      <c r="V33" s="10" t="str">
        <f>VLOOKUP(D33,A!B$1:T$1125,16,FALSE)</f>
        <v/>
      </c>
      <c r="W33" s="10">
        <f t="shared" si="28"/>
        <v>0</v>
      </c>
      <c r="X33" s="29"/>
      <c r="Y33" s="29"/>
      <c r="Z33" s="29"/>
      <c r="AA33" s="29"/>
    </row>
    <row r="34" spans="1:77" s="3" customFormat="1" ht="13.5" hidden="1" customHeight="1" x14ac:dyDescent="0.25">
      <c r="A34" t="str">
        <f>IF(R34=0,"",COUNTIF(A$13:A33,"&gt;0")+1)</f>
        <v/>
      </c>
      <c r="B34" s="4"/>
      <c r="C34" s="5" t="s">
        <v>22</v>
      </c>
      <c r="D34" s="7" t="s">
        <v>1333</v>
      </c>
      <c r="E34" s="31"/>
      <c r="F34" s="31"/>
      <c r="G34" s="6" t="s">
        <v>1334</v>
      </c>
      <c r="H34" s="7">
        <f>VLOOKUP(D34,A!B$1:L$1126,3,FALSE)</f>
        <v>0</v>
      </c>
      <c r="I34" s="31">
        <f>VLOOKUP(D34,A!B$1:L$1126,3,FALSE)</f>
        <v>0</v>
      </c>
      <c r="J34" s="92"/>
      <c r="K34" s="63" t="str">
        <f>VLOOKUP(D34,A!B$1:L$1126,6,FALSE)</f>
        <v/>
      </c>
      <c r="L34" s="162"/>
      <c r="M34" s="43" t="s">
        <v>1335</v>
      </c>
      <c r="N34" s="94">
        <f>VLOOKUP(D34,A!B$1:L$1125,2,FALSE)</f>
        <v>0</v>
      </c>
      <c r="O34" s="94">
        <f>VLOOKUP(D34,A!B$1:L$1126,4,FALSE)</f>
        <v>0</v>
      </c>
      <c r="P34" s="10">
        <v>10</v>
      </c>
      <c r="Q34" s="10">
        <v>2.69</v>
      </c>
      <c r="R34" s="10">
        <f t="shared" si="26"/>
        <v>0</v>
      </c>
      <c r="S34" s="10">
        <f t="shared" si="27"/>
        <v>0</v>
      </c>
      <c r="T34" s="29" t="s">
        <v>321</v>
      </c>
      <c r="U34" s="145">
        <v>0.33</v>
      </c>
      <c r="V34" s="10" t="str">
        <f>VLOOKUP(D34,A!B$1:T$1125,16,FALSE)</f>
        <v/>
      </c>
      <c r="W34" s="10">
        <f t="shared" si="28"/>
        <v>0</v>
      </c>
      <c r="X34" s="29"/>
      <c r="Y34" s="29"/>
      <c r="Z34" s="29"/>
      <c r="AA34" s="29"/>
    </row>
    <row r="35" spans="1:77" s="3" customFormat="1" ht="13.5" hidden="1" customHeight="1" x14ac:dyDescent="0.25">
      <c r="A35" t="str">
        <f>IF(R35=0,"",COUNTIF(A$13:A34,"&gt;0")+1)</f>
        <v/>
      </c>
      <c r="B35" s="4"/>
      <c r="C35" s="5" t="s">
        <v>22</v>
      </c>
      <c r="D35" s="7" t="s">
        <v>1336</v>
      </c>
      <c r="E35" s="31"/>
      <c r="F35" s="31"/>
      <c r="G35" s="6" t="s">
        <v>1337</v>
      </c>
      <c r="H35" s="7">
        <f>VLOOKUP(D35,A!B$1:L$1126,3,FALSE)</f>
        <v>0</v>
      </c>
      <c r="I35" s="31">
        <f>VLOOKUP(D35,A!B$1:L$1126,3,FALSE)</f>
        <v>0</v>
      </c>
      <c r="J35" s="92"/>
      <c r="K35" s="63" t="str">
        <f>VLOOKUP(D35,A!B$1:L$1126,6,FALSE)</f>
        <v/>
      </c>
      <c r="L35" s="162"/>
      <c r="M35" s="43" t="s">
        <v>1338</v>
      </c>
      <c r="N35" s="94">
        <f>VLOOKUP(D35,A!B$1:L$1125,2,FALSE)</f>
        <v>0</v>
      </c>
      <c r="O35" s="94">
        <f>VLOOKUP(D35,A!B$1:L$1126,4,FALSE)</f>
        <v>0</v>
      </c>
      <c r="P35" s="10">
        <v>10</v>
      </c>
      <c r="Q35" s="10">
        <v>2.69</v>
      </c>
      <c r="R35" s="10">
        <f t="shared" si="26"/>
        <v>0</v>
      </c>
      <c r="S35" s="10">
        <f t="shared" si="27"/>
        <v>0</v>
      </c>
      <c r="T35" s="29" t="s">
        <v>321</v>
      </c>
      <c r="U35" s="145">
        <v>0.33</v>
      </c>
      <c r="V35" s="10" t="str">
        <f>VLOOKUP(D35,A!B$1:T$1125,16,FALSE)</f>
        <v/>
      </c>
      <c r="W35" s="10">
        <f t="shared" si="28"/>
        <v>0</v>
      </c>
      <c r="X35" s="29"/>
      <c r="Y35" s="29"/>
      <c r="Z35" s="29"/>
      <c r="AA35" s="29"/>
    </row>
    <row r="36" spans="1:77" s="3" customFormat="1" ht="13.5" hidden="1" customHeight="1" x14ac:dyDescent="0.25">
      <c r="A36" t="str">
        <f>IF(R36=0,"",COUNTIF(A$13:A35,"&gt;0")+1)</f>
        <v/>
      </c>
      <c r="B36" s="4"/>
      <c r="C36" s="5" t="s">
        <v>22</v>
      </c>
      <c r="D36" s="7" t="s">
        <v>1341</v>
      </c>
      <c r="E36" s="31"/>
      <c r="F36" s="31"/>
      <c r="G36" s="6" t="s">
        <v>1339</v>
      </c>
      <c r="H36" s="7">
        <f>VLOOKUP(D36,A!B$1:L$1126,3,FALSE)</f>
        <v>0</v>
      </c>
      <c r="I36" s="31">
        <f>VLOOKUP(D36,A!B$1:L$1126,3,FALSE)</f>
        <v>0</v>
      </c>
      <c r="J36" s="92"/>
      <c r="K36" s="63" t="str">
        <f>VLOOKUP(D36,A!B$1:L$1126,6,FALSE)</f>
        <v/>
      </c>
      <c r="L36" s="162"/>
      <c r="M36" s="43" t="s">
        <v>1342</v>
      </c>
      <c r="N36" s="94">
        <f>VLOOKUP(D36,A!B$1:L$1125,2,FALSE)</f>
        <v>0</v>
      </c>
      <c r="O36" s="94">
        <f>VLOOKUP(D36,A!B$1:L$1126,4,FALSE)</f>
        <v>0</v>
      </c>
      <c r="P36" s="10">
        <v>10</v>
      </c>
      <c r="Q36" s="10">
        <v>2.69</v>
      </c>
      <c r="R36" s="10">
        <f t="shared" si="26"/>
        <v>0</v>
      </c>
      <c r="S36" s="10">
        <f t="shared" si="27"/>
        <v>0</v>
      </c>
      <c r="T36" s="29" t="s">
        <v>321</v>
      </c>
      <c r="U36" s="145">
        <v>0.33</v>
      </c>
      <c r="V36" s="10" t="str">
        <f>VLOOKUP(D36,A!B$1:T$1125,16,FALSE)</f>
        <v/>
      </c>
      <c r="W36" s="10">
        <f t="shared" si="28"/>
        <v>0</v>
      </c>
      <c r="X36" s="29"/>
      <c r="Y36" s="29"/>
      <c r="Z36" s="29"/>
      <c r="AA36" s="29"/>
    </row>
    <row r="37" spans="1:77" s="3" customFormat="1" ht="13.5" hidden="1" customHeight="1" x14ac:dyDescent="0.25">
      <c r="A37" t="str">
        <f>IF(R37=0,"",COUNTIF(A$13:A36,"&gt;0")+1)</f>
        <v/>
      </c>
      <c r="B37" s="4"/>
      <c r="C37" s="5" t="s">
        <v>22</v>
      </c>
      <c r="D37" s="7" t="s">
        <v>1343</v>
      </c>
      <c r="E37" s="31"/>
      <c r="F37" s="31"/>
      <c r="G37" s="6" t="s">
        <v>1344</v>
      </c>
      <c r="H37" s="7">
        <f>VLOOKUP(D37,A!B$1:L$1126,3,FALSE)</f>
        <v>0</v>
      </c>
      <c r="I37" s="31">
        <f>VLOOKUP(D37,A!B$1:L$1126,3,FALSE)</f>
        <v>0</v>
      </c>
      <c r="J37" s="92"/>
      <c r="K37" s="63" t="str">
        <f>VLOOKUP(D37,A!B$1:L$1126,6,FALSE)</f>
        <v/>
      </c>
      <c r="L37" s="162"/>
      <c r="M37" s="42" t="s">
        <v>1345</v>
      </c>
      <c r="N37" s="94">
        <f>VLOOKUP(D37,A!B$1:L$1125,2,FALSE)</f>
        <v>0</v>
      </c>
      <c r="O37" s="94">
        <f>VLOOKUP(D37,A!B$1:L$1126,4,FALSE)</f>
        <v>0</v>
      </c>
      <c r="P37" s="10">
        <v>10</v>
      </c>
      <c r="Q37" s="10">
        <v>2.69</v>
      </c>
      <c r="R37" s="10">
        <f t="shared" si="26"/>
        <v>0</v>
      </c>
      <c r="S37" s="10">
        <f t="shared" si="27"/>
        <v>0</v>
      </c>
      <c r="T37" s="29" t="s">
        <v>321</v>
      </c>
      <c r="U37" s="145">
        <v>0.33</v>
      </c>
      <c r="V37" s="10" t="str">
        <f>VLOOKUP(D37,A!B$1:T$1125,16,FALSE)</f>
        <v/>
      </c>
      <c r="W37" s="10">
        <f t="shared" si="28"/>
        <v>0</v>
      </c>
      <c r="X37" s="29"/>
      <c r="Y37" s="29"/>
      <c r="Z37" s="29"/>
      <c r="AA37" s="29"/>
    </row>
    <row r="38" spans="1:77" s="3" customFormat="1" ht="13.5" hidden="1" customHeight="1" x14ac:dyDescent="0.25">
      <c r="A38" t="str">
        <f>IF(R38=0,"",COUNTIF(A$13:A37,"&gt;0")+1)</f>
        <v/>
      </c>
      <c r="B38" s="4"/>
      <c r="C38" s="5" t="s">
        <v>22</v>
      </c>
      <c r="D38" s="7" t="s">
        <v>1346</v>
      </c>
      <c r="E38" s="31"/>
      <c r="F38" s="31"/>
      <c r="G38" s="6" t="s">
        <v>1347</v>
      </c>
      <c r="H38" s="7">
        <f>VLOOKUP(D38,A!B$1:L$1126,3,FALSE)</f>
        <v>0</v>
      </c>
      <c r="I38" s="31">
        <f>VLOOKUP(D38,A!B$1:L$1126,3,FALSE)</f>
        <v>0</v>
      </c>
      <c r="J38" s="92"/>
      <c r="K38" s="63" t="str">
        <f>VLOOKUP(D38,A!B$1:L$1126,6,FALSE)</f>
        <v/>
      </c>
      <c r="L38" s="162"/>
      <c r="M38" s="42" t="s">
        <v>1348</v>
      </c>
      <c r="N38" s="94">
        <f>VLOOKUP(D38,A!B$1:L$1125,2,FALSE)</f>
        <v>0</v>
      </c>
      <c r="O38" s="94">
        <f>VLOOKUP(D38,A!B$1:L$1126,4,FALSE)</f>
        <v>0</v>
      </c>
      <c r="P38" s="10">
        <v>10</v>
      </c>
      <c r="Q38" s="10">
        <v>2.69</v>
      </c>
      <c r="R38" s="10">
        <f t="shared" si="26"/>
        <v>0</v>
      </c>
      <c r="S38" s="10">
        <f t="shared" si="27"/>
        <v>0</v>
      </c>
      <c r="T38" s="29" t="s">
        <v>321</v>
      </c>
      <c r="U38" s="145">
        <v>0.33</v>
      </c>
      <c r="V38" s="10" t="str">
        <f>VLOOKUP(D38,A!B$1:T$1125,16,FALSE)</f>
        <v/>
      </c>
      <c r="W38" s="10">
        <f t="shared" si="28"/>
        <v>0</v>
      </c>
      <c r="X38" s="29"/>
      <c r="Y38" s="29"/>
      <c r="Z38" s="29"/>
      <c r="AA38" s="29"/>
    </row>
    <row r="39" spans="1:77" s="3" customFormat="1" ht="13.5" hidden="1" customHeight="1" x14ac:dyDescent="0.25">
      <c r="A39" t="str">
        <f>IF(R39=0,"",COUNTIF(A$13:A38,"&gt;0")+1)</f>
        <v/>
      </c>
      <c r="B39" s="4"/>
      <c r="C39" s="5" t="s">
        <v>22</v>
      </c>
      <c r="D39" s="7" t="s">
        <v>1349</v>
      </c>
      <c r="E39" s="31"/>
      <c r="F39" s="31"/>
      <c r="G39" s="6" t="s">
        <v>1350</v>
      </c>
      <c r="H39" s="7">
        <f>VLOOKUP(D39,A!B$1:L$1126,3,FALSE)</f>
        <v>0</v>
      </c>
      <c r="I39" s="31">
        <f>VLOOKUP(D39,A!B$1:L$1126,3,FALSE)</f>
        <v>0</v>
      </c>
      <c r="J39" s="92"/>
      <c r="K39" s="63" t="str">
        <f>VLOOKUP(D39,A!B$1:L$1126,6,FALSE)</f>
        <v/>
      </c>
      <c r="L39" s="162"/>
      <c r="M39" s="42" t="s">
        <v>1351</v>
      </c>
      <c r="N39" s="94">
        <f>VLOOKUP(D39,A!B$1:L$1125,2,FALSE)</f>
        <v>0</v>
      </c>
      <c r="O39" s="94">
        <f>VLOOKUP(D39,A!B$1:L$1126,4,FALSE)</f>
        <v>0</v>
      </c>
      <c r="P39" s="10">
        <v>10</v>
      </c>
      <c r="Q39" s="10">
        <v>2.69</v>
      </c>
      <c r="R39" s="10">
        <f t="shared" si="26"/>
        <v>0</v>
      </c>
      <c r="S39" s="10">
        <f t="shared" si="27"/>
        <v>0</v>
      </c>
      <c r="T39" s="29" t="s">
        <v>321</v>
      </c>
      <c r="U39" s="145">
        <v>0.33</v>
      </c>
      <c r="V39" s="10" t="str">
        <f>VLOOKUP(D39,A!B$1:T$1125,16,FALSE)</f>
        <v/>
      </c>
      <c r="W39" s="10">
        <f t="shared" si="28"/>
        <v>0</v>
      </c>
      <c r="X39" s="29"/>
      <c r="Y39" s="29"/>
      <c r="Z39" s="29"/>
      <c r="AA39" s="29"/>
    </row>
    <row r="40" spans="1:77" s="3" customFormat="1" ht="13.5" hidden="1" customHeight="1" x14ac:dyDescent="0.25">
      <c r="A40" t="str">
        <f>IF(R40=0,"",COUNTIF(A$13:A39,"&gt;0")+1)</f>
        <v/>
      </c>
      <c r="B40" s="4"/>
      <c r="C40" s="5" t="s">
        <v>22</v>
      </c>
      <c r="D40" s="7" t="s">
        <v>1352</v>
      </c>
      <c r="E40" s="31"/>
      <c r="F40" s="31"/>
      <c r="G40" s="6" t="s">
        <v>1353</v>
      </c>
      <c r="H40" s="7">
        <f>VLOOKUP(D40,A!B$1:L$1126,3,FALSE)</f>
        <v>0</v>
      </c>
      <c r="I40" s="31">
        <f>VLOOKUP(D40,A!B$1:L$1126,3,FALSE)</f>
        <v>0</v>
      </c>
      <c r="J40" s="92"/>
      <c r="K40" s="63" t="str">
        <f>VLOOKUP(D40,A!B$1:L$1126,6,FALSE)</f>
        <v/>
      </c>
      <c r="L40" s="162"/>
      <c r="M40" s="42" t="s">
        <v>1354</v>
      </c>
      <c r="N40" s="94">
        <f>VLOOKUP(D40,A!B$1:L$1125,2,FALSE)</f>
        <v>0</v>
      </c>
      <c r="O40" s="94">
        <f>VLOOKUP(D40,A!B$1:L$1126,4,FALSE)</f>
        <v>0</v>
      </c>
      <c r="P40" s="10">
        <v>10</v>
      </c>
      <c r="Q40" s="10">
        <v>2.69</v>
      </c>
      <c r="R40" s="10">
        <f t="shared" si="26"/>
        <v>0</v>
      </c>
      <c r="S40" s="10">
        <f t="shared" si="27"/>
        <v>0</v>
      </c>
      <c r="T40" s="29" t="s">
        <v>321</v>
      </c>
      <c r="U40" s="145">
        <v>0.33</v>
      </c>
      <c r="V40" s="10" t="str">
        <f>VLOOKUP(D40,A!B$1:T$1125,16,FALSE)</f>
        <v/>
      </c>
      <c r="W40" s="10">
        <f t="shared" si="28"/>
        <v>0</v>
      </c>
      <c r="X40" s="29"/>
      <c r="Y40" s="29"/>
      <c r="Z40" s="29"/>
      <c r="AA40" s="29"/>
    </row>
    <row r="41" spans="1:77" s="3" customFormat="1" ht="13.5" customHeight="1" x14ac:dyDescent="0.25">
      <c r="A41" t="str">
        <f>IF(R41=0,"",COUNTIF(A$13:A40,"&gt;0")+1)</f>
        <v/>
      </c>
      <c r="B41" s="4"/>
      <c r="C41" s="5" t="s">
        <v>22</v>
      </c>
      <c r="D41" s="7" t="s">
        <v>1355</v>
      </c>
      <c r="E41" s="31"/>
      <c r="F41" s="31"/>
      <c r="G41" s="6" t="s">
        <v>1356</v>
      </c>
      <c r="H41" s="7">
        <f>VLOOKUP(D41,A!B$1:L$1126,3,FALSE)</f>
        <v>1</v>
      </c>
      <c r="I41" s="31">
        <f>VLOOKUP(D41,A!B$1:L$1126,3,FALSE)</f>
        <v>1</v>
      </c>
      <c r="J41" s="92"/>
      <c r="K41" s="63" t="str">
        <f>VLOOKUP(D41,A!B$1:L$1126,6,FALSE)</f>
        <v/>
      </c>
      <c r="L41" s="162"/>
      <c r="M41" s="41" t="s">
        <v>1357</v>
      </c>
      <c r="N41" s="94" t="str">
        <f>VLOOKUP(D41,A!B$1:L$1125,2,FALSE)</f>
        <v>Y</v>
      </c>
      <c r="O41" s="94">
        <f>VLOOKUP(D41,A!B$1:L$1126,4,FALSE)</f>
        <v>1</v>
      </c>
      <c r="P41" s="10">
        <v>10</v>
      </c>
      <c r="Q41" s="10">
        <v>2.69</v>
      </c>
      <c r="R41" s="10">
        <f t="shared" si="26"/>
        <v>0</v>
      </c>
      <c r="S41" s="10">
        <f t="shared" si="27"/>
        <v>0</v>
      </c>
      <c r="T41" s="29" t="s">
        <v>321</v>
      </c>
      <c r="U41" s="145">
        <v>0.33</v>
      </c>
      <c r="V41" s="10" t="str">
        <f>VLOOKUP(D41,A!B$1:T$1125,16,FALSE)</f>
        <v/>
      </c>
      <c r="W41" s="10">
        <f t="shared" si="28"/>
        <v>0</v>
      </c>
      <c r="X41" s="29"/>
      <c r="Y41" s="29"/>
      <c r="Z41" s="29"/>
      <c r="AA41" s="29"/>
    </row>
    <row r="42" spans="1:77" s="3" customFormat="1" ht="13.5" hidden="1" customHeight="1" x14ac:dyDescent="0.25">
      <c r="A42" t="str">
        <f>IF(R42=0,"",COUNTIF(A$13:A41,"&gt;0")+1)</f>
        <v/>
      </c>
      <c r="B42" s="4"/>
      <c r="C42" s="5" t="s">
        <v>22</v>
      </c>
      <c r="D42" s="7" t="s">
        <v>1358</v>
      </c>
      <c r="E42" s="31"/>
      <c r="F42" s="31"/>
      <c r="G42" s="6" t="s">
        <v>1359</v>
      </c>
      <c r="H42" s="7">
        <f>VLOOKUP(D42,A!B$1:L$1126,3,FALSE)</f>
        <v>0</v>
      </c>
      <c r="I42" s="31">
        <f>VLOOKUP(D42,A!B$1:L$1126,3,FALSE)</f>
        <v>0</v>
      </c>
      <c r="J42" s="92"/>
      <c r="K42" s="63" t="str">
        <f>VLOOKUP(D42,A!B$1:L$1126,6,FALSE)</f>
        <v/>
      </c>
      <c r="L42" s="162"/>
      <c r="M42" s="41" t="s">
        <v>1360</v>
      </c>
      <c r="N42" s="94">
        <f>VLOOKUP(D42,A!B$1:L$1125,2,FALSE)</f>
        <v>0</v>
      </c>
      <c r="O42" s="94">
        <f>VLOOKUP(D42,A!B$1:L$1126,4,FALSE)</f>
        <v>0</v>
      </c>
      <c r="P42" s="10">
        <v>10</v>
      </c>
      <c r="Q42" s="10">
        <v>2.69</v>
      </c>
      <c r="R42" s="10">
        <f t="shared" si="26"/>
        <v>0</v>
      </c>
      <c r="S42" s="10">
        <f t="shared" si="27"/>
        <v>0</v>
      </c>
      <c r="T42" s="29" t="s">
        <v>321</v>
      </c>
      <c r="U42" s="145">
        <v>0.33</v>
      </c>
      <c r="V42" s="10" t="str">
        <f>VLOOKUP(D42,A!B$1:T$1125,16,FALSE)</f>
        <v/>
      </c>
      <c r="W42" s="10">
        <f t="shared" si="28"/>
        <v>0</v>
      </c>
      <c r="X42" s="29"/>
      <c r="Y42" s="29"/>
      <c r="Z42" s="29"/>
      <c r="AA42" s="29"/>
    </row>
    <row r="43" spans="1:77" s="3" customFormat="1" ht="13.5" hidden="1" customHeight="1" x14ac:dyDescent="0.25">
      <c r="A43" t="str">
        <f>IF(R43=0,"",COUNTIF(A$13:A42,"&gt;0")+1)</f>
        <v/>
      </c>
      <c r="B43" s="4"/>
      <c r="C43" s="5" t="s">
        <v>22</v>
      </c>
      <c r="D43" s="7" t="s">
        <v>1361</v>
      </c>
      <c r="E43" s="31"/>
      <c r="F43" s="31"/>
      <c r="G43" s="6" t="s">
        <v>1362</v>
      </c>
      <c r="H43" s="7">
        <f>VLOOKUP(D43,A!B$1:L$1126,3,FALSE)</f>
        <v>0</v>
      </c>
      <c r="I43" s="31">
        <f>VLOOKUP(D43,A!B$1:L$1126,3,FALSE)</f>
        <v>0</v>
      </c>
      <c r="J43" s="92"/>
      <c r="K43" s="63" t="str">
        <f>VLOOKUP(D43,A!B$1:L$1126,6,FALSE)</f>
        <v/>
      </c>
      <c r="L43" s="162"/>
      <c r="M43" s="41" t="s">
        <v>1363</v>
      </c>
      <c r="N43" s="94">
        <f>VLOOKUP(D43,A!B$1:L$1125,2,FALSE)</f>
        <v>0</v>
      </c>
      <c r="O43" s="94">
        <f>VLOOKUP(D43,A!B$1:L$1126,4,FALSE)</f>
        <v>0</v>
      </c>
      <c r="P43" s="10">
        <v>10</v>
      </c>
      <c r="Q43" s="10">
        <v>2.69</v>
      </c>
      <c r="R43" s="10">
        <f t="shared" si="26"/>
        <v>0</v>
      </c>
      <c r="S43" s="10">
        <f t="shared" si="27"/>
        <v>0</v>
      </c>
      <c r="T43" s="29" t="s">
        <v>321</v>
      </c>
      <c r="U43" s="145">
        <v>0.33</v>
      </c>
      <c r="V43" s="10" t="str">
        <f>VLOOKUP(D43,A!B$1:T$1125,16,FALSE)</f>
        <v/>
      </c>
      <c r="W43" s="10">
        <f t="shared" si="28"/>
        <v>0</v>
      </c>
      <c r="X43" s="29"/>
      <c r="Y43" s="29"/>
      <c r="Z43" s="29"/>
      <c r="AA43" s="29"/>
    </row>
    <row r="44" spans="1:77" s="3" customFormat="1" ht="13.5" hidden="1" customHeight="1" x14ac:dyDescent="0.25">
      <c r="A44" t="str">
        <f>IF(R44=0,"",COUNTIF(A$13:A43,"&gt;0")+1)</f>
        <v/>
      </c>
      <c r="B44" s="4"/>
      <c r="C44" s="5" t="s">
        <v>22</v>
      </c>
      <c r="D44" s="7" t="s">
        <v>1364</v>
      </c>
      <c r="E44" s="31"/>
      <c r="F44" s="31"/>
      <c r="G44" s="6" t="s">
        <v>1365</v>
      </c>
      <c r="H44" s="7">
        <f>VLOOKUP(D44,A!B$1:L$1126,3,FALSE)</f>
        <v>0</v>
      </c>
      <c r="I44" s="31">
        <f>VLOOKUP(D44,A!B$1:L$1126,3,FALSE)</f>
        <v>0</v>
      </c>
      <c r="J44" s="92"/>
      <c r="K44" s="63" t="str">
        <f>VLOOKUP(D44,A!B$1:L$1126,6,FALSE)</f>
        <v/>
      </c>
      <c r="L44" s="162"/>
      <c r="M44" s="41" t="s">
        <v>1366</v>
      </c>
      <c r="N44" s="94">
        <f>VLOOKUP(D44,A!B$1:L$1125,2,FALSE)</f>
        <v>0</v>
      </c>
      <c r="O44" s="94">
        <f>VLOOKUP(D44,A!B$1:L$1126,4,FALSE)</f>
        <v>0</v>
      </c>
      <c r="P44" s="10">
        <v>10</v>
      </c>
      <c r="Q44" s="10">
        <v>2.69</v>
      </c>
      <c r="R44" s="10">
        <f t="shared" si="26"/>
        <v>0</v>
      </c>
      <c r="S44" s="10">
        <f t="shared" si="27"/>
        <v>0</v>
      </c>
      <c r="T44" s="29" t="s">
        <v>321</v>
      </c>
      <c r="U44" s="145">
        <v>0.33</v>
      </c>
      <c r="V44" s="10" t="str">
        <f>VLOOKUP(D44,A!B$1:T$1125,16,FALSE)</f>
        <v/>
      </c>
      <c r="W44" s="10">
        <f t="shared" si="28"/>
        <v>0</v>
      </c>
      <c r="X44" s="29"/>
      <c r="Y44" s="29"/>
      <c r="Z44" s="29"/>
      <c r="AA44" s="29"/>
    </row>
    <row r="45" spans="1:77" s="3" customFormat="1" ht="13.5" hidden="1" customHeight="1" x14ac:dyDescent="0.25">
      <c r="A45" t="str">
        <f>IF(R45=0,"",COUNTIF(A$13:A44,"&gt;0")+1)</f>
        <v/>
      </c>
      <c r="B45" s="4"/>
      <c r="C45" s="5" t="s">
        <v>22</v>
      </c>
      <c r="D45" s="7" t="s">
        <v>1367</v>
      </c>
      <c r="E45" s="31"/>
      <c r="F45" s="31"/>
      <c r="G45" s="6" t="s">
        <v>1368</v>
      </c>
      <c r="H45" s="7">
        <f>VLOOKUP(D45,A!B$1:L$1126,3,FALSE)</f>
        <v>0</v>
      </c>
      <c r="I45" s="31">
        <f>VLOOKUP(D45,A!B$1:L$1126,3,FALSE)</f>
        <v>0</v>
      </c>
      <c r="J45" s="92"/>
      <c r="K45" s="63" t="str">
        <f>VLOOKUP(D45,A!B$1:L$1126,6,FALSE)</f>
        <v/>
      </c>
      <c r="L45" s="162"/>
      <c r="M45" s="41" t="s">
        <v>1369</v>
      </c>
      <c r="N45" s="94">
        <f>VLOOKUP(D45,A!B$1:L$1125,2,FALSE)</f>
        <v>0</v>
      </c>
      <c r="O45" s="94">
        <f>VLOOKUP(D45,A!B$1:L$1126,4,FALSE)</f>
        <v>0</v>
      </c>
      <c r="P45" s="10">
        <v>10</v>
      </c>
      <c r="Q45" s="10">
        <v>2.69</v>
      </c>
      <c r="R45" s="10">
        <f t="shared" si="26"/>
        <v>0</v>
      </c>
      <c r="S45" s="10">
        <f t="shared" si="27"/>
        <v>0</v>
      </c>
      <c r="T45" s="29" t="s">
        <v>321</v>
      </c>
      <c r="U45" s="145">
        <v>0.33</v>
      </c>
      <c r="V45" s="10" t="str">
        <f>VLOOKUP(D45,A!B$1:T$1125,16,FALSE)</f>
        <v/>
      </c>
      <c r="W45" s="10">
        <f t="shared" si="28"/>
        <v>0</v>
      </c>
      <c r="X45" s="29"/>
      <c r="Y45" s="29"/>
      <c r="Z45" s="29"/>
      <c r="AA45" s="29"/>
    </row>
    <row r="46" spans="1:77" s="3" customFormat="1" ht="13.5" hidden="1" customHeight="1" x14ac:dyDescent="0.25">
      <c r="A46" t="str">
        <f>IF(R46=0,"",COUNTIF(A$13:A45,"&gt;0")+1)</f>
        <v/>
      </c>
      <c r="B46" s="4"/>
      <c r="C46" s="5" t="s">
        <v>22</v>
      </c>
      <c r="D46" s="7" t="s">
        <v>1370</v>
      </c>
      <c r="E46" s="31"/>
      <c r="F46" s="31"/>
      <c r="G46" s="6" t="s">
        <v>1371</v>
      </c>
      <c r="H46" s="7">
        <f>VLOOKUP(D46,A!B$1:L$1126,3,FALSE)</f>
        <v>0</v>
      </c>
      <c r="I46" s="31">
        <f>VLOOKUP(D46,A!B$1:L$1126,3,FALSE)</f>
        <v>0</v>
      </c>
      <c r="J46" s="92"/>
      <c r="K46" s="63" t="str">
        <f>VLOOKUP(D46,A!B$1:L$1126,6,FALSE)</f>
        <v/>
      </c>
      <c r="L46" s="162"/>
      <c r="M46" s="43" t="s">
        <v>1372</v>
      </c>
      <c r="N46" s="94">
        <f>VLOOKUP(D46,A!B$1:L$1125,2,FALSE)</f>
        <v>0</v>
      </c>
      <c r="O46" s="94">
        <f>VLOOKUP(D46,A!B$1:L$1126,4,FALSE)</f>
        <v>0</v>
      </c>
      <c r="P46" s="10">
        <v>10</v>
      </c>
      <c r="Q46" s="10">
        <v>2.69</v>
      </c>
      <c r="R46" s="10">
        <f t="shared" si="26"/>
        <v>0</v>
      </c>
      <c r="S46" s="10">
        <f t="shared" si="27"/>
        <v>0</v>
      </c>
      <c r="T46" s="29" t="s">
        <v>321</v>
      </c>
      <c r="U46" s="145">
        <v>0.33</v>
      </c>
      <c r="V46" s="10" t="str">
        <f>VLOOKUP(D46,A!B$1:T$1125,16,FALSE)</f>
        <v/>
      </c>
      <c r="W46" s="10">
        <f t="shared" si="28"/>
        <v>0</v>
      </c>
      <c r="X46" s="29"/>
      <c r="Y46" s="29"/>
      <c r="Z46" s="29"/>
      <c r="AA46" s="29"/>
    </row>
    <row r="47" spans="1:77" s="3" customFormat="1" ht="13.5" hidden="1" customHeight="1" x14ac:dyDescent="0.25">
      <c r="A47" t="str">
        <f>IF(R47=0,"",COUNTIF(A$13:A46,"&gt;0")+1)</f>
        <v/>
      </c>
      <c r="B47" s="4"/>
      <c r="C47" s="5" t="s">
        <v>22</v>
      </c>
      <c r="D47" s="7" t="s">
        <v>1373</v>
      </c>
      <c r="E47" s="31"/>
      <c r="F47" s="31"/>
      <c r="G47" s="6" t="s">
        <v>1374</v>
      </c>
      <c r="H47" s="7">
        <f>VLOOKUP(D47,A!B$1:L$1126,3,FALSE)</f>
        <v>0</v>
      </c>
      <c r="I47" s="31">
        <f>VLOOKUP(D47,A!B$1:L$1126,3,FALSE)</f>
        <v>0</v>
      </c>
      <c r="J47" s="92"/>
      <c r="K47" s="63" t="str">
        <f>VLOOKUP(D47,A!B$1:L$1126,6,FALSE)</f>
        <v/>
      </c>
      <c r="L47" s="162"/>
      <c r="M47" s="43" t="s">
        <v>1375</v>
      </c>
      <c r="N47" s="94">
        <f>VLOOKUP(D47,A!B$1:L$1125,2,FALSE)</f>
        <v>0</v>
      </c>
      <c r="O47" s="94">
        <f>VLOOKUP(D47,A!B$1:L$1126,4,FALSE)</f>
        <v>0</v>
      </c>
      <c r="P47" s="10">
        <v>10</v>
      </c>
      <c r="Q47" s="10">
        <v>2.69</v>
      </c>
      <c r="R47" s="10">
        <f t="shared" si="26"/>
        <v>0</v>
      </c>
      <c r="S47" s="10">
        <f t="shared" si="27"/>
        <v>0</v>
      </c>
      <c r="T47" s="29" t="s">
        <v>321</v>
      </c>
      <c r="U47" s="145">
        <v>0.33</v>
      </c>
      <c r="V47" s="10" t="str">
        <f>VLOOKUP(D47,A!B$1:T$1125,16,FALSE)</f>
        <v/>
      </c>
      <c r="W47" s="10">
        <f t="shared" si="28"/>
        <v>0</v>
      </c>
      <c r="X47" s="29"/>
      <c r="Y47" s="29"/>
      <c r="Z47" s="29"/>
      <c r="AA47" s="29"/>
    </row>
    <row r="48" spans="1:77" s="3" customFormat="1" ht="13.5" customHeight="1" x14ac:dyDescent="0.25">
      <c r="A48" t="str">
        <f>IF(R48=0,"",COUNTIF(A$13:A47,"&gt;0")+1)</f>
        <v/>
      </c>
      <c r="B48" s="4"/>
      <c r="C48" s="5" t="s">
        <v>22</v>
      </c>
      <c r="D48" s="18" t="s">
        <v>233</v>
      </c>
      <c r="E48" s="87"/>
      <c r="F48" s="87"/>
      <c r="G48" s="6" t="s">
        <v>234</v>
      </c>
      <c r="H48" s="7">
        <f>VLOOKUP(D48,A!B$1:L$1126,3,FALSE)</f>
        <v>1</v>
      </c>
      <c r="I48" s="31">
        <f>VLOOKUP(D48,A!B$1:L$1126,3,FALSE)</f>
        <v>1</v>
      </c>
      <c r="J48" s="92"/>
      <c r="K48" s="63" t="str">
        <f>VLOOKUP(D48,A!B$1:L$1126,6,FALSE)</f>
        <v/>
      </c>
      <c r="L48" s="79"/>
      <c r="M48" s="42" t="s">
        <v>235</v>
      </c>
      <c r="N48" s="94" t="str">
        <f>VLOOKUP(D48,A!B$1:L$1125,2,FALSE)</f>
        <v>y</v>
      </c>
      <c r="O48" s="94">
        <f>VLOOKUP(D48,A!B$1:L$1126,4,FALSE)</f>
        <v>1</v>
      </c>
      <c r="P48" s="10">
        <v>10</v>
      </c>
      <c r="Q48" s="10">
        <v>2.69</v>
      </c>
      <c r="R48" s="10">
        <f t="shared" si="26"/>
        <v>0</v>
      </c>
      <c r="S48" s="10">
        <f t="shared" si="27"/>
        <v>0</v>
      </c>
      <c r="T48" s="29" t="s">
        <v>321</v>
      </c>
      <c r="U48" s="145">
        <v>0.33</v>
      </c>
      <c r="V48" s="10" t="str">
        <f>VLOOKUP(D48,A!B$1:T$1125,16,FALSE)</f>
        <v/>
      </c>
      <c r="W48" s="10">
        <f t="shared" si="28"/>
        <v>0</v>
      </c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/>
      <c r="BQ48"/>
      <c r="BR48"/>
      <c r="BS48"/>
      <c r="BT48"/>
      <c r="BU48"/>
      <c r="BV48"/>
      <c r="BW48"/>
      <c r="BX48"/>
      <c r="BY48"/>
    </row>
    <row r="49" spans="1:27" s="3" customFormat="1" ht="13.5" hidden="1" customHeight="1" x14ac:dyDescent="0.25">
      <c r="A49" t="str">
        <f>IF(R49=0,"",COUNTIF(A$13:A48,"&gt;0")+1)</f>
        <v/>
      </c>
      <c r="B49" s="4"/>
      <c r="C49" s="5" t="s">
        <v>22</v>
      </c>
      <c r="D49" s="18" t="s">
        <v>1376</v>
      </c>
      <c r="E49" s="87"/>
      <c r="F49" s="87"/>
      <c r="G49" s="6" t="s">
        <v>1377</v>
      </c>
      <c r="H49" s="7">
        <f>VLOOKUP(D49,A!B$1:L$1126,3,FALSE)</f>
        <v>0</v>
      </c>
      <c r="I49" s="31">
        <f>VLOOKUP(D49,A!B$1:L$1126,3,FALSE)</f>
        <v>0</v>
      </c>
      <c r="J49" s="92"/>
      <c r="K49" s="63" t="str">
        <f>VLOOKUP(D49,A!B$1:L$1126,6,FALSE)</f>
        <v/>
      </c>
      <c r="L49" s="165"/>
      <c r="M49" s="42" t="s">
        <v>1378</v>
      </c>
      <c r="N49" s="94">
        <f>VLOOKUP(D49,A!B$1:L$1125,2,FALSE)</f>
        <v>0</v>
      </c>
      <c r="O49" s="94">
        <f>VLOOKUP(D49,A!B$1:L$1126,4,FALSE)</f>
        <v>0</v>
      </c>
      <c r="P49" s="10">
        <v>10</v>
      </c>
      <c r="Q49" s="10">
        <v>2.69</v>
      </c>
      <c r="R49" s="10">
        <f t="shared" si="26"/>
        <v>0</v>
      </c>
      <c r="S49" s="10">
        <f t="shared" si="27"/>
        <v>0</v>
      </c>
      <c r="T49" s="29" t="s">
        <v>321</v>
      </c>
      <c r="U49" s="145">
        <v>0.33</v>
      </c>
      <c r="V49" s="10" t="str">
        <f>VLOOKUP(D49,A!B$1:T$1125,16,FALSE)</f>
        <v/>
      </c>
      <c r="W49" s="10">
        <f t="shared" si="28"/>
        <v>0</v>
      </c>
      <c r="X49" s="29"/>
      <c r="Y49" s="29"/>
      <c r="Z49" s="29"/>
      <c r="AA49" s="29"/>
    </row>
    <row r="50" spans="1:27" s="3" customFormat="1" ht="13.5" hidden="1" customHeight="1" x14ac:dyDescent="0.25">
      <c r="A50" t="str">
        <f>IF(R50=0,"",COUNTIF(A$13:A49,"&gt;0")+1)</f>
        <v/>
      </c>
      <c r="B50" s="4"/>
      <c r="C50" s="5" t="s">
        <v>22</v>
      </c>
      <c r="D50" s="7" t="s">
        <v>1380</v>
      </c>
      <c r="E50" s="31"/>
      <c r="F50" s="31"/>
      <c r="G50" s="6" t="s">
        <v>1381</v>
      </c>
      <c r="H50" s="7">
        <f>VLOOKUP(D50,A!B$1:L$1126,3,FALSE)</f>
        <v>0</v>
      </c>
      <c r="I50" s="31">
        <f>VLOOKUP(D50,A!B$1:L$1126,3,FALSE)</f>
        <v>0</v>
      </c>
      <c r="J50" s="92"/>
      <c r="K50" s="63" t="str">
        <f>VLOOKUP(D50,A!B$1:L$1126,6,FALSE)</f>
        <v/>
      </c>
      <c r="L50" s="162"/>
      <c r="M50" s="43" t="s">
        <v>1382</v>
      </c>
      <c r="N50" s="94">
        <f>VLOOKUP(D50,A!B$1:L$1125,2,FALSE)</f>
        <v>0</v>
      </c>
      <c r="O50" s="94">
        <f>VLOOKUP(D50,A!B$1:L$1126,4,FALSE)</f>
        <v>0</v>
      </c>
      <c r="P50" s="10">
        <v>10</v>
      </c>
      <c r="Q50" s="10">
        <v>2.69</v>
      </c>
      <c r="R50" s="10">
        <f t="shared" si="26"/>
        <v>0</v>
      </c>
      <c r="S50" s="10">
        <f t="shared" si="27"/>
        <v>0</v>
      </c>
      <c r="T50" s="29" t="s">
        <v>321</v>
      </c>
      <c r="U50" s="145">
        <v>0.33</v>
      </c>
      <c r="V50" s="10" t="str">
        <f>VLOOKUP(D50,A!B$1:T$1125,16,FALSE)</f>
        <v/>
      </c>
      <c r="W50" s="10">
        <f t="shared" si="28"/>
        <v>0</v>
      </c>
      <c r="X50" s="29"/>
      <c r="Y50" s="29"/>
      <c r="Z50" s="29"/>
      <c r="AA50" s="29"/>
    </row>
    <row r="51" spans="1:27" s="3" customFormat="1" ht="13.5" hidden="1" customHeight="1" x14ac:dyDescent="0.25">
      <c r="A51" t="str">
        <f>IF(R51=0,"",COUNTIF(A$13:A50,"&gt;0")+1)</f>
        <v/>
      </c>
      <c r="B51" s="4"/>
      <c r="C51" s="5" t="s">
        <v>22</v>
      </c>
      <c r="D51" s="7" t="s">
        <v>1383</v>
      </c>
      <c r="E51" s="31"/>
      <c r="F51" s="31"/>
      <c r="G51" s="6" t="s">
        <v>1381</v>
      </c>
      <c r="H51" s="7">
        <f>VLOOKUP(D51,A!B$1:L$1126,3,FALSE)</f>
        <v>0</v>
      </c>
      <c r="I51" s="31">
        <f>VLOOKUP(D51,A!B$1:L$1126,3,FALSE)</f>
        <v>0</v>
      </c>
      <c r="J51" s="92"/>
      <c r="K51" s="63" t="str">
        <f>VLOOKUP(D51,A!B$1:L$1126,6,FALSE)</f>
        <v/>
      </c>
      <c r="L51" s="162"/>
      <c r="M51" s="43" t="s">
        <v>1384</v>
      </c>
      <c r="N51" s="94">
        <f>VLOOKUP(D51,A!B$1:L$1125,2,FALSE)</f>
        <v>0</v>
      </c>
      <c r="O51" s="94">
        <f>VLOOKUP(D51,A!B$1:L$1126,4,FALSE)</f>
        <v>0</v>
      </c>
      <c r="P51" s="10">
        <v>10</v>
      </c>
      <c r="Q51" s="10">
        <v>2.69</v>
      </c>
      <c r="R51" s="10">
        <f t="shared" si="26"/>
        <v>0</v>
      </c>
      <c r="S51" s="10">
        <f t="shared" si="27"/>
        <v>0</v>
      </c>
      <c r="T51" s="29" t="s">
        <v>321</v>
      </c>
      <c r="U51" s="145">
        <v>0.33</v>
      </c>
      <c r="V51" s="10" t="str">
        <f>VLOOKUP(D51,A!B$1:T$1125,16,FALSE)</f>
        <v/>
      </c>
      <c r="W51" s="10">
        <f t="shared" si="28"/>
        <v>0</v>
      </c>
      <c r="X51" s="29"/>
      <c r="Y51" s="29"/>
      <c r="Z51" s="29"/>
      <c r="AA51" s="29"/>
    </row>
    <row r="52" spans="1:27" s="3" customFormat="1" ht="13.5" hidden="1" customHeight="1" x14ac:dyDescent="0.25">
      <c r="A52" t="str">
        <f>IF(R52=0,"",COUNTIF(A$13:A51,"&gt;0")+1)</f>
        <v/>
      </c>
      <c r="B52" s="4"/>
      <c r="C52" s="5" t="s">
        <v>22</v>
      </c>
      <c r="D52" s="7" t="s">
        <v>1385</v>
      </c>
      <c r="E52" s="31"/>
      <c r="F52" s="31"/>
      <c r="G52" s="6" t="s">
        <v>1381</v>
      </c>
      <c r="H52" s="7">
        <f>VLOOKUP(D52,A!B$1:L$1126,3,FALSE)</f>
        <v>0</v>
      </c>
      <c r="I52" s="31">
        <f>VLOOKUP(D52,A!B$1:L$1126,3,FALSE)</f>
        <v>0</v>
      </c>
      <c r="J52" s="92"/>
      <c r="K52" s="63" t="str">
        <f>VLOOKUP(D52,A!B$1:L$1126,6,FALSE)</f>
        <v/>
      </c>
      <c r="L52" s="162"/>
      <c r="M52" s="43" t="s">
        <v>1386</v>
      </c>
      <c r="N52" s="94">
        <f>VLOOKUP(D52,A!B$1:L$1125,2,FALSE)</f>
        <v>0</v>
      </c>
      <c r="O52" s="94">
        <f>VLOOKUP(D52,A!B$1:L$1126,4,FALSE)</f>
        <v>0</v>
      </c>
      <c r="P52" s="10">
        <v>10</v>
      </c>
      <c r="Q52" s="10">
        <v>2.69</v>
      </c>
      <c r="R52" s="10">
        <f t="shared" si="26"/>
        <v>0</v>
      </c>
      <c r="S52" s="10">
        <f t="shared" si="27"/>
        <v>0</v>
      </c>
      <c r="T52" s="29" t="s">
        <v>321</v>
      </c>
      <c r="U52" s="145">
        <v>0.33</v>
      </c>
      <c r="V52" s="10" t="str">
        <f>VLOOKUP(D52,A!B$1:T$1125,16,FALSE)</f>
        <v/>
      </c>
      <c r="W52" s="10">
        <f t="shared" si="28"/>
        <v>0</v>
      </c>
      <c r="X52" s="29"/>
      <c r="Y52" s="29"/>
      <c r="Z52" s="29"/>
      <c r="AA52" s="29"/>
    </row>
    <row r="53" spans="1:27" s="3" customFormat="1" ht="13.5" hidden="1" customHeight="1" x14ac:dyDescent="0.25">
      <c r="A53" t="str">
        <f>IF(R53=0,"",COUNTIF(A$13:A52,"&gt;0")+1)</f>
        <v/>
      </c>
      <c r="B53" s="4"/>
      <c r="C53" s="5" t="s">
        <v>22</v>
      </c>
      <c r="D53" s="7" t="s">
        <v>1387</v>
      </c>
      <c r="E53" s="31"/>
      <c r="F53" s="31"/>
      <c r="G53" s="6" t="s">
        <v>1381</v>
      </c>
      <c r="H53" s="7">
        <f>VLOOKUP(D53,A!B$1:L$1126,3,FALSE)</f>
        <v>0</v>
      </c>
      <c r="I53" s="31">
        <f>VLOOKUP(D53,A!B$1:L$1126,3,FALSE)</f>
        <v>0</v>
      </c>
      <c r="J53" s="92"/>
      <c r="K53" s="63" t="str">
        <f>VLOOKUP(D53,A!B$1:L$1126,6,FALSE)</f>
        <v/>
      </c>
      <c r="L53" s="162"/>
      <c r="M53" s="43" t="s">
        <v>1388</v>
      </c>
      <c r="N53" s="94">
        <f>VLOOKUP(D53,A!B$1:L$1125,2,FALSE)</f>
        <v>0</v>
      </c>
      <c r="O53" s="94">
        <f>VLOOKUP(D53,A!B$1:L$1126,4,FALSE)</f>
        <v>0</v>
      </c>
      <c r="P53" s="10">
        <v>10</v>
      </c>
      <c r="Q53" s="10">
        <v>2.69</v>
      </c>
      <c r="R53" s="10">
        <f t="shared" si="26"/>
        <v>0</v>
      </c>
      <c r="S53" s="10">
        <f t="shared" si="27"/>
        <v>0</v>
      </c>
      <c r="T53" s="29" t="s">
        <v>321</v>
      </c>
      <c r="U53" s="145">
        <v>0.33</v>
      </c>
      <c r="V53" s="10" t="str">
        <f>VLOOKUP(D53,A!B$1:T$1125,16,FALSE)</f>
        <v/>
      </c>
      <c r="W53" s="10">
        <f t="shared" si="28"/>
        <v>0</v>
      </c>
      <c r="X53" s="29"/>
      <c r="Y53" s="29"/>
      <c r="Z53" s="29"/>
      <c r="AA53" s="29"/>
    </row>
    <row r="54" spans="1:27" s="3" customFormat="1" ht="13.5" hidden="1" customHeight="1" x14ac:dyDescent="0.25">
      <c r="A54" t="str">
        <f>IF(R54=0,"",COUNTIF(A$13:A53,"&gt;0")+1)</f>
        <v/>
      </c>
      <c r="B54" s="4"/>
      <c r="C54" s="5" t="s">
        <v>22</v>
      </c>
      <c r="D54" s="7" t="s">
        <v>1389</v>
      </c>
      <c r="E54" s="31"/>
      <c r="F54" s="31"/>
      <c r="G54" s="6" t="s">
        <v>1381</v>
      </c>
      <c r="H54" s="7">
        <f>VLOOKUP(D54,A!B$1:L$1126,3,FALSE)</f>
        <v>0</v>
      </c>
      <c r="I54" s="31">
        <f>VLOOKUP(D54,A!B$1:L$1126,3,FALSE)</f>
        <v>0</v>
      </c>
      <c r="J54" s="92"/>
      <c r="K54" s="63" t="str">
        <f>VLOOKUP(D54,A!B$1:L$1126,6,FALSE)</f>
        <v/>
      </c>
      <c r="L54" s="162"/>
      <c r="M54" s="43" t="s">
        <v>1390</v>
      </c>
      <c r="N54" s="94">
        <f>VLOOKUP(D54,A!B$1:L$1125,2,FALSE)</f>
        <v>0</v>
      </c>
      <c r="O54" s="94">
        <f>VLOOKUP(D54,A!B$1:L$1126,4,FALSE)</f>
        <v>0</v>
      </c>
      <c r="P54" s="10">
        <v>10</v>
      </c>
      <c r="Q54" s="10">
        <v>2.69</v>
      </c>
      <c r="R54" s="10">
        <f t="shared" si="26"/>
        <v>0</v>
      </c>
      <c r="S54" s="10">
        <f t="shared" si="27"/>
        <v>0</v>
      </c>
      <c r="T54" s="29" t="s">
        <v>321</v>
      </c>
      <c r="U54" s="145">
        <v>0.33</v>
      </c>
      <c r="V54" s="10" t="str">
        <f>VLOOKUP(D54,A!B$1:T$1125,16,FALSE)</f>
        <v/>
      </c>
      <c r="W54" s="10">
        <f t="shared" si="28"/>
        <v>0</v>
      </c>
      <c r="X54" s="29"/>
      <c r="Y54" s="29"/>
      <c r="Z54" s="29"/>
      <c r="AA54" s="29"/>
    </row>
    <row r="55" spans="1:27" s="3" customFormat="1" ht="13.5" hidden="1" customHeight="1" x14ac:dyDescent="0.25">
      <c r="A55" t="str">
        <f>IF(R55=0,"",COUNTIF(A$13:A54,"&gt;0")+1)</f>
        <v/>
      </c>
      <c r="B55" s="4"/>
      <c r="C55" s="5" t="s">
        <v>22</v>
      </c>
      <c r="D55" s="7" t="s">
        <v>1391</v>
      </c>
      <c r="E55" s="31"/>
      <c r="F55" s="31"/>
      <c r="G55" s="6" t="s">
        <v>1381</v>
      </c>
      <c r="H55" s="7">
        <f>VLOOKUP(D55,A!B$1:L$1126,3,FALSE)</f>
        <v>0</v>
      </c>
      <c r="I55" s="31">
        <f>VLOOKUP(D55,A!B$1:L$1126,3,FALSE)</f>
        <v>0</v>
      </c>
      <c r="J55" s="92"/>
      <c r="K55" s="63" t="str">
        <f>VLOOKUP(D55,A!B$1:L$1126,6,FALSE)</f>
        <v/>
      </c>
      <c r="L55" s="162"/>
      <c r="M55" s="43" t="s">
        <v>1392</v>
      </c>
      <c r="N55" s="94">
        <f>VLOOKUP(D55,A!B$1:L$1125,2,FALSE)</f>
        <v>0</v>
      </c>
      <c r="O55" s="94">
        <f>VLOOKUP(D55,A!B$1:L$1126,4,FALSE)</f>
        <v>0</v>
      </c>
      <c r="P55" s="10">
        <v>10</v>
      </c>
      <c r="Q55" s="10">
        <v>2.69</v>
      </c>
      <c r="R55" s="10">
        <f t="shared" si="26"/>
        <v>0</v>
      </c>
      <c r="S55" s="10">
        <f t="shared" si="27"/>
        <v>0</v>
      </c>
      <c r="T55" s="29" t="s">
        <v>321</v>
      </c>
      <c r="U55" s="145">
        <v>0.33</v>
      </c>
      <c r="V55" s="10" t="str">
        <f>VLOOKUP(D55,A!B$1:T$1125,16,FALSE)</f>
        <v/>
      </c>
      <c r="W55" s="10">
        <f t="shared" si="28"/>
        <v>0</v>
      </c>
      <c r="X55" s="29"/>
      <c r="Y55" s="29"/>
      <c r="Z55" s="29"/>
      <c r="AA55" s="29"/>
    </row>
    <row r="56" spans="1:27" s="3" customFormat="1" ht="13.5" hidden="1" customHeight="1" x14ac:dyDescent="0.25">
      <c r="A56" t="str">
        <f>IF(R56=0,"",COUNTIF(A$13:A55,"&gt;0")+1)</f>
        <v/>
      </c>
      <c r="B56" s="4"/>
      <c r="C56" s="5" t="s">
        <v>22</v>
      </c>
      <c r="D56" s="7" t="s">
        <v>1393</v>
      </c>
      <c r="E56" s="31"/>
      <c r="F56" s="31"/>
      <c r="G56" s="6" t="s">
        <v>1381</v>
      </c>
      <c r="H56" s="7">
        <f>VLOOKUP(D56,A!B$1:L$1126,3,FALSE)</f>
        <v>0</v>
      </c>
      <c r="I56" s="31">
        <f>VLOOKUP(D56,A!B$1:L$1126,3,FALSE)</f>
        <v>0</v>
      </c>
      <c r="J56" s="92"/>
      <c r="K56" s="63" t="str">
        <f>VLOOKUP(D56,A!B$1:L$1126,6,FALSE)</f>
        <v/>
      </c>
      <c r="L56" s="162"/>
      <c r="M56" s="43" t="s">
        <v>1394</v>
      </c>
      <c r="N56" s="94">
        <f>VLOOKUP(D56,A!B$1:L$1125,2,FALSE)</f>
        <v>0</v>
      </c>
      <c r="O56" s="94">
        <f>VLOOKUP(D56,A!B$1:L$1126,4,FALSE)</f>
        <v>0</v>
      </c>
      <c r="P56" s="10">
        <v>10</v>
      </c>
      <c r="Q56" s="10">
        <v>2.69</v>
      </c>
      <c r="R56" s="10">
        <f t="shared" si="26"/>
        <v>0</v>
      </c>
      <c r="S56" s="10">
        <f t="shared" si="27"/>
        <v>0</v>
      </c>
      <c r="T56" s="29" t="s">
        <v>321</v>
      </c>
      <c r="U56" s="145">
        <v>0.33</v>
      </c>
      <c r="V56" s="10" t="str">
        <f>VLOOKUP(D56,A!B$1:T$1125,16,FALSE)</f>
        <v/>
      </c>
      <c r="W56" s="10">
        <f t="shared" si="28"/>
        <v>0</v>
      </c>
      <c r="X56" s="29"/>
      <c r="Y56" s="29"/>
      <c r="Z56" s="29"/>
      <c r="AA56" s="29"/>
    </row>
    <row r="57" spans="1:27" s="3" customFormat="1" ht="13.5" hidden="1" customHeight="1" x14ac:dyDescent="0.25">
      <c r="A57" t="str">
        <f>IF(R57=0,"",COUNTIF(A$13:A56,"&gt;0")+1)</f>
        <v/>
      </c>
      <c r="B57" s="4"/>
      <c r="C57" s="5" t="s">
        <v>22</v>
      </c>
      <c r="D57" s="7" t="s">
        <v>1395</v>
      </c>
      <c r="E57" s="31"/>
      <c r="F57" s="31"/>
      <c r="G57" s="6" t="s">
        <v>1381</v>
      </c>
      <c r="H57" s="7">
        <f>VLOOKUP(D57,A!B$1:L$1126,3,FALSE)</f>
        <v>0</v>
      </c>
      <c r="I57" s="31">
        <f>VLOOKUP(D57,A!B$1:L$1126,3,FALSE)</f>
        <v>0</v>
      </c>
      <c r="J57" s="92"/>
      <c r="K57" s="63" t="str">
        <f>VLOOKUP(D57,A!B$1:L$1126,6,FALSE)</f>
        <v/>
      </c>
      <c r="L57" s="162"/>
      <c r="M57" s="43" t="s">
        <v>1396</v>
      </c>
      <c r="N57" s="94">
        <f>VLOOKUP(D57,A!B$1:L$1125,2,FALSE)</f>
        <v>0</v>
      </c>
      <c r="O57" s="94">
        <f>VLOOKUP(D57,A!B$1:L$1126,4,FALSE)</f>
        <v>0</v>
      </c>
      <c r="P57" s="10">
        <v>10</v>
      </c>
      <c r="Q57" s="10">
        <v>2.69</v>
      </c>
      <c r="R57" s="10">
        <f t="shared" si="26"/>
        <v>0</v>
      </c>
      <c r="S57" s="10">
        <f t="shared" si="27"/>
        <v>0</v>
      </c>
      <c r="T57" s="29" t="s">
        <v>321</v>
      </c>
      <c r="U57" s="145">
        <v>0.33</v>
      </c>
      <c r="V57" s="10" t="str">
        <f>VLOOKUP(D57,A!B$1:T$1125,16,FALSE)</f>
        <v/>
      </c>
      <c r="W57" s="10">
        <f t="shared" si="28"/>
        <v>0</v>
      </c>
      <c r="X57" s="29"/>
      <c r="Y57" s="29"/>
      <c r="Z57" s="29"/>
      <c r="AA57" s="29"/>
    </row>
    <row r="58" spans="1:27" s="3" customFormat="1" ht="13.5" hidden="1" customHeight="1" x14ac:dyDescent="0.25">
      <c r="A58" t="str">
        <f>IF(R58=0,"",COUNTIF(A$13:A57,"&gt;0")+1)</f>
        <v/>
      </c>
      <c r="B58" s="4"/>
      <c r="C58" s="5" t="s">
        <v>22</v>
      </c>
      <c r="D58" s="7" t="s">
        <v>1397</v>
      </c>
      <c r="E58" s="31"/>
      <c r="F58" s="31"/>
      <c r="G58" s="6" t="s">
        <v>1381</v>
      </c>
      <c r="H58" s="7">
        <f>VLOOKUP(D58,A!B$1:L$1126,3,FALSE)</f>
        <v>0</v>
      </c>
      <c r="I58" s="31">
        <f>VLOOKUP(D58,A!B$1:L$1126,3,FALSE)</f>
        <v>0</v>
      </c>
      <c r="J58" s="92"/>
      <c r="K58" s="63" t="str">
        <f>VLOOKUP(D58,A!B$1:L$1126,6,FALSE)</f>
        <v/>
      </c>
      <c r="L58" s="162"/>
      <c r="M58" s="43" t="s">
        <v>1398</v>
      </c>
      <c r="N58" s="94">
        <f>VLOOKUP(D58,A!B$1:L$1125,2,FALSE)</f>
        <v>0</v>
      </c>
      <c r="O58" s="94">
        <f>VLOOKUP(D58,A!B$1:L$1126,4,FALSE)</f>
        <v>0</v>
      </c>
      <c r="P58" s="10">
        <v>10</v>
      </c>
      <c r="Q58" s="10">
        <v>2.69</v>
      </c>
      <c r="R58" s="10">
        <f t="shared" si="26"/>
        <v>0</v>
      </c>
      <c r="S58" s="10">
        <f t="shared" si="27"/>
        <v>0</v>
      </c>
      <c r="T58" s="29" t="s">
        <v>321</v>
      </c>
      <c r="U58" s="145">
        <v>0.33</v>
      </c>
      <c r="V58" s="10" t="str">
        <f>VLOOKUP(D58,A!B$1:T$1125,16,FALSE)</f>
        <v/>
      </c>
      <c r="W58" s="10">
        <f t="shared" si="28"/>
        <v>0</v>
      </c>
      <c r="X58" s="29"/>
      <c r="Y58" s="29"/>
      <c r="Z58" s="29"/>
      <c r="AA58" s="29"/>
    </row>
    <row r="59" spans="1:27" s="3" customFormat="1" ht="13.5" hidden="1" customHeight="1" x14ac:dyDescent="0.25">
      <c r="A59" t="str">
        <f>IF(R59=0,"",COUNTIF(A$13:A58,"&gt;0")+1)</f>
        <v/>
      </c>
      <c r="B59" s="4"/>
      <c r="C59" s="5" t="s">
        <v>22</v>
      </c>
      <c r="D59" s="7" t="s">
        <v>1399</v>
      </c>
      <c r="E59" s="31"/>
      <c r="F59" s="31"/>
      <c r="G59" s="6" t="s">
        <v>1381</v>
      </c>
      <c r="H59" s="7">
        <f>VLOOKUP(D59,A!B$1:L$1126,3,FALSE)</f>
        <v>0</v>
      </c>
      <c r="I59" s="31">
        <f>VLOOKUP(D59,A!B$1:L$1126,3,FALSE)</f>
        <v>0</v>
      </c>
      <c r="J59" s="92"/>
      <c r="K59" s="63" t="str">
        <f>VLOOKUP(D59,A!B$1:L$1126,6,FALSE)</f>
        <v/>
      </c>
      <c r="L59" s="162"/>
      <c r="M59" s="43" t="s">
        <v>1400</v>
      </c>
      <c r="N59" s="94">
        <f>VLOOKUP(D59,A!B$1:L$1125,2,FALSE)</f>
        <v>0</v>
      </c>
      <c r="O59" s="94">
        <f>VLOOKUP(D59,A!B$1:L$1126,4,FALSE)</f>
        <v>0</v>
      </c>
      <c r="P59" s="10">
        <v>10</v>
      </c>
      <c r="Q59" s="10">
        <v>2.69</v>
      </c>
      <c r="R59" s="10">
        <f t="shared" si="26"/>
        <v>0</v>
      </c>
      <c r="S59" s="10">
        <f t="shared" si="27"/>
        <v>0</v>
      </c>
      <c r="T59" s="29" t="s">
        <v>321</v>
      </c>
      <c r="U59" s="145">
        <v>0.33</v>
      </c>
      <c r="V59" s="10" t="str">
        <f>VLOOKUP(D59,A!B$1:T$1125,16,FALSE)</f>
        <v/>
      </c>
      <c r="W59" s="10">
        <f t="shared" si="28"/>
        <v>0</v>
      </c>
      <c r="X59" s="29"/>
      <c r="Y59" s="29"/>
      <c r="Z59" s="29"/>
      <c r="AA59" s="29"/>
    </row>
    <row r="60" spans="1:27" s="3" customFormat="1" ht="13.5" hidden="1" customHeight="1" x14ac:dyDescent="0.25">
      <c r="A60" t="str">
        <f>IF(R60=0,"",COUNTIF(A$13:A59,"&gt;0")+1)</f>
        <v/>
      </c>
      <c r="B60" s="4"/>
      <c r="C60" s="5" t="s">
        <v>22</v>
      </c>
      <c r="D60" s="7" t="s">
        <v>1401</v>
      </c>
      <c r="E60" s="31"/>
      <c r="F60" s="31"/>
      <c r="G60" s="6" t="s">
        <v>1381</v>
      </c>
      <c r="H60" s="7">
        <f>VLOOKUP(D60,A!B$1:L$1126,3,FALSE)</f>
        <v>0</v>
      </c>
      <c r="I60" s="31">
        <f>VLOOKUP(D60,A!B$1:L$1126,3,FALSE)</f>
        <v>0</v>
      </c>
      <c r="J60" s="92"/>
      <c r="K60" s="63" t="str">
        <f>VLOOKUP(D60,A!B$1:L$1126,6,FALSE)</f>
        <v/>
      </c>
      <c r="L60" s="162"/>
      <c r="M60" s="43" t="s">
        <v>1402</v>
      </c>
      <c r="N60" s="94">
        <f>VLOOKUP(D60,A!B$1:L$1125,2,FALSE)</f>
        <v>0</v>
      </c>
      <c r="O60" s="94">
        <f>VLOOKUP(D60,A!B$1:L$1126,4,FALSE)</f>
        <v>0</v>
      </c>
      <c r="P60" s="10">
        <v>10</v>
      </c>
      <c r="Q60" s="10">
        <v>2.69</v>
      </c>
      <c r="R60" s="10">
        <f t="shared" si="26"/>
        <v>0</v>
      </c>
      <c r="S60" s="10">
        <f t="shared" si="27"/>
        <v>0</v>
      </c>
      <c r="T60" s="29" t="s">
        <v>321</v>
      </c>
      <c r="U60" s="145">
        <v>0.33</v>
      </c>
      <c r="V60" s="10" t="str">
        <f>VLOOKUP(D60,A!B$1:T$1125,16,FALSE)</f>
        <v/>
      </c>
      <c r="W60" s="10">
        <f t="shared" si="28"/>
        <v>0</v>
      </c>
      <c r="X60" s="29"/>
      <c r="Y60" s="29"/>
      <c r="Z60" s="29"/>
      <c r="AA60" s="29"/>
    </row>
    <row r="61" spans="1:27" s="3" customFormat="1" ht="13.5" hidden="1" customHeight="1" x14ac:dyDescent="0.25">
      <c r="A61" t="str">
        <f>IF(R61=0,"",COUNTIF(A$13:A60,"&gt;0")+1)</f>
        <v/>
      </c>
      <c r="B61" s="4"/>
      <c r="C61" s="5" t="s">
        <v>22</v>
      </c>
      <c r="D61" s="7" t="s">
        <v>1403</v>
      </c>
      <c r="E61" s="31"/>
      <c r="F61" s="31"/>
      <c r="G61" s="6" t="s">
        <v>1381</v>
      </c>
      <c r="H61" s="7">
        <f>VLOOKUP(D61,A!B$1:L$1126,3,FALSE)</f>
        <v>0</v>
      </c>
      <c r="I61" s="31">
        <f>VLOOKUP(D61,A!B$1:L$1126,3,FALSE)</f>
        <v>0</v>
      </c>
      <c r="J61" s="92"/>
      <c r="K61" s="63" t="str">
        <f>VLOOKUP(D61,A!B$1:L$1126,6,FALSE)</f>
        <v/>
      </c>
      <c r="L61" s="162"/>
      <c r="M61" s="43" t="s">
        <v>1404</v>
      </c>
      <c r="N61" s="94">
        <f>VLOOKUP(D61,A!B$1:L$1125,2,FALSE)</f>
        <v>0</v>
      </c>
      <c r="O61" s="94">
        <f>VLOOKUP(D61,A!B$1:L$1126,4,FALSE)</f>
        <v>0</v>
      </c>
      <c r="P61" s="10">
        <v>10</v>
      </c>
      <c r="Q61" s="10">
        <v>2.69</v>
      </c>
      <c r="R61" s="10">
        <f t="shared" si="26"/>
        <v>0</v>
      </c>
      <c r="S61" s="10">
        <f t="shared" si="27"/>
        <v>0</v>
      </c>
      <c r="T61" s="29" t="s">
        <v>321</v>
      </c>
      <c r="U61" s="145">
        <v>0.33</v>
      </c>
      <c r="V61" s="10" t="str">
        <f>VLOOKUP(D61,A!B$1:T$1125,16,FALSE)</f>
        <v/>
      </c>
      <c r="W61" s="10">
        <f t="shared" si="28"/>
        <v>0</v>
      </c>
      <c r="X61" s="29"/>
      <c r="Y61" s="29"/>
      <c r="Z61" s="29"/>
      <c r="AA61" s="29"/>
    </row>
    <row r="62" spans="1:27" s="3" customFormat="1" ht="13.5" hidden="1" customHeight="1" x14ac:dyDescent="0.25">
      <c r="A62" t="str">
        <f>IF(R62=0,"",COUNTIF(A$13:A61,"&gt;0")+1)</f>
        <v/>
      </c>
      <c r="B62" s="4"/>
      <c r="C62" s="5" t="s">
        <v>22</v>
      </c>
      <c r="D62" s="7" t="s">
        <v>1405</v>
      </c>
      <c r="E62" s="31"/>
      <c r="F62" s="31"/>
      <c r="G62" s="6" t="s">
        <v>1381</v>
      </c>
      <c r="H62" s="7">
        <f>VLOOKUP(D62,A!B$1:L$1126,3,FALSE)</f>
        <v>0</v>
      </c>
      <c r="I62" s="31">
        <f>VLOOKUP(D62,A!B$1:L$1126,3,FALSE)</f>
        <v>0</v>
      </c>
      <c r="J62" s="92"/>
      <c r="K62" s="63" t="str">
        <f>VLOOKUP(D62,A!B$1:L$1126,6,FALSE)</f>
        <v/>
      </c>
      <c r="L62" s="162"/>
      <c r="M62" s="43" t="s">
        <v>1406</v>
      </c>
      <c r="N62" s="94">
        <f>VLOOKUP(D62,A!B$1:L$1125,2,FALSE)</f>
        <v>0</v>
      </c>
      <c r="O62" s="94">
        <f>VLOOKUP(D62,A!B$1:L$1126,4,FALSE)</f>
        <v>0</v>
      </c>
      <c r="P62" s="10">
        <v>10</v>
      </c>
      <c r="Q62" s="10">
        <v>2.69</v>
      </c>
      <c r="R62" s="10">
        <f t="shared" si="26"/>
        <v>0</v>
      </c>
      <c r="S62" s="10">
        <f t="shared" si="27"/>
        <v>0</v>
      </c>
      <c r="T62" s="29" t="s">
        <v>321</v>
      </c>
      <c r="U62" s="145">
        <v>0.33</v>
      </c>
      <c r="V62" s="10" t="str">
        <f>VLOOKUP(D62,A!B$1:T$1125,16,FALSE)</f>
        <v/>
      </c>
      <c r="W62" s="10">
        <f t="shared" si="28"/>
        <v>0</v>
      </c>
      <c r="X62" s="29"/>
      <c r="Y62" s="29"/>
      <c r="Z62" s="29"/>
      <c r="AA62" s="29"/>
    </row>
    <row r="63" spans="1:27" s="3" customFormat="1" ht="13.5" hidden="1" customHeight="1" x14ac:dyDescent="0.25">
      <c r="A63" t="str">
        <f>IF(R63=0,"",COUNTIF(A$13:A62,"&gt;0")+1)</f>
        <v/>
      </c>
      <c r="B63" s="4"/>
      <c r="C63" s="5" t="s">
        <v>22</v>
      </c>
      <c r="D63" s="7" t="s">
        <v>1407</v>
      </c>
      <c r="E63" s="31"/>
      <c r="F63" s="31"/>
      <c r="G63" s="6" t="s">
        <v>1381</v>
      </c>
      <c r="H63" s="7">
        <f>VLOOKUP(D63,A!B$1:L$1126,3,FALSE)</f>
        <v>0</v>
      </c>
      <c r="I63" s="31">
        <f>VLOOKUP(D63,A!B$1:L$1126,3,FALSE)</f>
        <v>0</v>
      </c>
      <c r="J63" s="92"/>
      <c r="K63" s="63" t="str">
        <f>VLOOKUP(D63,A!B$1:L$1126,6,FALSE)</f>
        <v/>
      </c>
      <c r="L63" s="162"/>
      <c r="M63" s="43" t="s">
        <v>1408</v>
      </c>
      <c r="N63" s="94">
        <f>VLOOKUP(D63,A!B$1:L$1125,2,FALSE)</f>
        <v>0</v>
      </c>
      <c r="O63" s="94">
        <f>VLOOKUP(D63,A!B$1:L$1126,4,FALSE)</f>
        <v>0</v>
      </c>
      <c r="P63" s="10">
        <v>10</v>
      </c>
      <c r="Q63" s="10">
        <v>2.69</v>
      </c>
      <c r="R63" s="10">
        <f t="shared" si="26"/>
        <v>0</v>
      </c>
      <c r="S63" s="10">
        <f t="shared" si="27"/>
        <v>0</v>
      </c>
      <c r="T63" s="29" t="s">
        <v>321</v>
      </c>
      <c r="U63" s="145">
        <v>0.33</v>
      </c>
      <c r="V63" s="10" t="str">
        <f>VLOOKUP(D63,A!B$1:T$1125,16,FALSE)</f>
        <v/>
      </c>
      <c r="W63" s="10">
        <f t="shared" si="28"/>
        <v>0</v>
      </c>
      <c r="X63" s="29"/>
      <c r="Y63" s="29"/>
      <c r="Z63" s="29"/>
      <c r="AA63" s="29"/>
    </row>
    <row r="64" spans="1:27" s="3" customFormat="1" ht="13.5" hidden="1" customHeight="1" x14ac:dyDescent="0.25">
      <c r="A64" t="str">
        <f>IF(R64=0,"",COUNTIF(A$13:A63,"&gt;0")+1)</f>
        <v/>
      </c>
      <c r="B64" s="4"/>
      <c r="C64" s="5" t="s">
        <v>22</v>
      </c>
      <c r="D64" s="7" t="s">
        <v>1409</v>
      </c>
      <c r="E64" s="31"/>
      <c r="F64" s="31"/>
      <c r="G64" s="6" t="s">
        <v>1381</v>
      </c>
      <c r="H64" s="7">
        <f>VLOOKUP(D64,A!B$1:L$1126,3,FALSE)</f>
        <v>0</v>
      </c>
      <c r="I64" s="31">
        <f>VLOOKUP(D64,A!B$1:L$1126,3,FALSE)</f>
        <v>0</v>
      </c>
      <c r="J64" s="92"/>
      <c r="K64" s="63" t="str">
        <f>VLOOKUP(D64,A!B$1:L$1126,6,FALSE)</f>
        <v/>
      </c>
      <c r="L64" s="162"/>
      <c r="M64" s="43" t="s">
        <v>1410</v>
      </c>
      <c r="N64" s="94">
        <f>VLOOKUP(D64,A!B$1:L$1125,2,FALSE)</f>
        <v>0</v>
      </c>
      <c r="O64" s="94">
        <f>VLOOKUP(D64,A!B$1:L$1126,4,FALSE)</f>
        <v>0</v>
      </c>
      <c r="P64" s="10">
        <v>10</v>
      </c>
      <c r="Q64" s="10">
        <v>2.69</v>
      </c>
      <c r="R64" s="10">
        <f t="shared" si="26"/>
        <v>0</v>
      </c>
      <c r="S64" s="10">
        <f t="shared" si="27"/>
        <v>0</v>
      </c>
      <c r="T64" s="29" t="s">
        <v>321</v>
      </c>
      <c r="U64" s="145">
        <v>0.33</v>
      </c>
      <c r="V64" s="10" t="str">
        <f>VLOOKUP(D64,A!B$1:T$1125,16,FALSE)</f>
        <v/>
      </c>
      <c r="W64" s="10">
        <f t="shared" si="28"/>
        <v>0</v>
      </c>
      <c r="X64" s="29"/>
      <c r="Y64" s="29"/>
      <c r="Z64" s="29"/>
      <c r="AA64" s="29"/>
    </row>
    <row r="65" spans="1:27" s="3" customFormat="1" ht="13.5" hidden="1" customHeight="1" x14ac:dyDescent="0.25">
      <c r="A65" t="str">
        <f>IF(R65=0,"",COUNTIF(A$13:A64,"&gt;0")+1)</f>
        <v/>
      </c>
      <c r="B65" s="4"/>
      <c r="C65" s="5" t="s">
        <v>22</v>
      </c>
      <c r="D65" s="7" t="s">
        <v>1411</v>
      </c>
      <c r="E65" s="31"/>
      <c r="F65" s="31"/>
      <c r="G65" s="6" t="s">
        <v>1381</v>
      </c>
      <c r="H65" s="7">
        <f>VLOOKUP(D65,A!B$1:L$1126,3,FALSE)</f>
        <v>0</v>
      </c>
      <c r="I65" s="31">
        <f>VLOOKUP(D65,A!B$1:L$1126,3,FALSE)</f>
        <v>0</v>
      </c>
      <c r="J65" s="92"/>
      <c r="K65" s="63" t="str">
        <f>VLOOKUP(D65,A!B$1:L$1126,6,FALSE)</f>
        <v/>
      </c>
      <c r="L65" s="162"/>
      <c r="M65" s="43" t="s">
        <v>1412</v>
      </c>
      <c r="N65" s="94">
        <f>VLOOKUP(D65,A!B$1:L$1125,2,FALSE)</f>
        <v>0</v>
      </c>
      <c r="O65" s="94">
        <f>VLOOKUP(D65,A!B$1:L$1126,4,FALSE)</f>
        <v>0</v>
      </c>
      <c r="P65" s="10">
        <v>10</v>
      </c>
      <c r="Q65" s="10">
        <v>2.69</v>
      </c>
      <c r="R65" s="10">
        <f t="shared" si="26"/>
        <v>0</v>
      </c>
      <c r="S65" s="10">
        <f t="shared" si="27"/>
        <v>0</v>
      </c>
      <c r="T65" s="29" t="s">
        <v>321</v>
      </c>
      <c r="U65" s="145">
        <v>0.33</v>
      </c>
      <c r="V65" s="10" t="str">
        <f>VLOOKUP(D65,A!B$1:T$1125,16,FALSE)</f>
        <v/>
      </c>
      <c r="W65" s="10">
        <f t="shared" si="28"/>
        <v>0</v>
      </c>
      <c r="X65" s="29"/>
      <c r="Y65" s="29"/>
      <c r="Z65" s="29"/>
      <c r="AA65" s="29"/>
    </row>
    <row r="66" spans="1:27" s="3" customFormat="1" ht="13.5" hidden="1" customHeight="1" x14ac:dyDescent="0.25">
      <c r="A66" t="str">
        <f>IF(R66=0,"",COUNTIF(A$13:A65,"&gt;0")+1)</f>
        <v/>
      </c>
      <c r="B66" s="4"/>
      <c r="C66" s="5" t="s">
        <v>22</v>
      </c>
      <c r="D66" s="7" t="s">
        <v>1413</v>
      </c>
      <c r="E66" s="31"/>
      <c r="F66" s="31"/>
      <c r="G66" s="6" t="s">
        <v>1381</v>
      </c>
      <c r="H66" s="7">
        <f>VLOOKUP(D66,A!B$1:L$1126,3,FALSE)</f>
        <v>0</v>
      </c>
      <c r="I66" s="31">
        <f>VLOOKUP(D66,A!B$1:L$1126,3,FALSE)</f>
        <v>0</v>
      </c>
      <c r="J66" s="92"/>
      <c r="K66" s="63" t="str">
        <f>VLOOKUP(D66,A!B$1:L$1126,6,FALSE)</f>
        <v/>
      </c>
      <c r="L66" s="162"/>
      <c r="M66" s="43" t="s">
        <v>1414</v>
      </c>
      <c r="N66" s="94">
        <f>VLOOKUP(D66,A!B$1:L$1125,2,FALSE)</f>
        <v>0</v>
      </c>
      <c r="O66" s="94">
        <f>VLOOKUP(D66,A!B$1:L$1126,4,FALSE)</f>
        <v>0</v>
      </c>
      <c r="P66" s="10">
        <v>10</v>
      </c>
      <c r="Q66" s="10">
        <v>2.69</v>
      </c>
      <c r="R66" s="10">
        <f t="shared" si="26"/>
        <v>0</v>
      </c>
      <c r="S66" s="10">
        <f t="shared" si="27"/>
        <v>0</v>
      </c>
      <c r="T66" s="29" t="s">
        <v>321</v>
      </c>
      <c r="U66" s="145">
        <v>0.33</v>
      </c>
      <c r="V66" s="10" t="str">
        <f>VLOOKUP(D66,A!B$1:T$1125,16,FALSE)</f>
        <v/>
      </c>
      <c r="W66" s="10">
        <f t="shared" si="28"/>
        <v>0</v>
      </c>
      <c r="X66" s="29"/>
      <c r="Y66" s="29"/>
      <c r="Z66" s="29"/>
      <c r="AA66" s="29"/>
    </row>
    <row r="67" spans="1:27" s="3" customFormat="1" ht="13.5" hidden="1" customHeight="1" x14ac:dyDescent="0.25">
      <c r="A67" t="str">
        <f>IF(R67=0,"",COUNTIF(A$13:A66,"&gt;0")+1)</f>
        <v/>
      </c>
      <c r="B67" s="4"/>
      <c r="C67" s="5" t="s">
        <v>22</v>
      </c>
      <c r="D67" s="7" t="s">
        <v>1415</v>
      </c>
      <c r="E67" s="31"/>
      <c r="F67" s="31"/>
      <c r="G67" s="6" t="s">
        <v>1381</v>
      </c>
      <c r="H67" s="7">
        <f>VLOOKUP(D67,A!B$1:L$1126,3,FALSE)</f>
        <v>0</v>
      </c>
      <c r="I67" s="31">
        <f>VLOOKUP(D67,A!B$1:L$1126,3,FALSE)</f>
        <v>0</v>
      </c>
      <c r="J67" s="92"/>
      <c r="K67" s="63" t="str">
        <f>VLOOKUP(D67,A!B$1:L$1126,6,FALSE)</f>
        <v/>
      </c>
      <c r="L67" s="162"/>
      <c r="M67" s="43" t="s">
        <v>1416</v>
      </c>
      <c r="N67" s="94">
        <f>VLOOKUP(D67,A!B$1:L$1125,2,FALSE)</f>
        <v>0</v>
      </c>
      <c r="O67" s="94">
        <f>VLOOKUP(D67,A!B$1:L$1126,4,FALSE)</f>
        <v>0</v>
      </c>
      <c r="P67" s="10">
        <v>10</v>
      </c>
      <c r="Q67" s="10">
        <v>2.69</v>
      </c>
      <c r="R67" s="10">
        <f t="shared" si="26"/>
        <v>0</v>
      </c>
      <c r="S67" s="10">
        <f t="shared" si="27"/>
        <v>0</v>
      </c>
      <c r="T67" s="29" t="s">
        <v>321</v>
      </c>
      <c r="U67" s="145">
        <v>0.33</v>
      </c>
      <c r="V67" s="10" t="str">
        <f>VLOOKUP(D67,A!B$1:T$1125,16,FALSE)</f>
        <v/>
      </c>
      <c r="W67" s="10">
        <f t="shared" si="28"/>
        <v>0</v>
      </c>
      <c r="X67" s="29"/>
      <c r="Y67" s="29"/>
      <c r="Z67" s="29"/>
      <c r="AA67" s="29"/>
    </row>
    <row r="68" spans="1:27" s="3" customFormat="1" ht="13.5" hidden="1" customHeight="1" x14ac:dyDescent="0.25">
      <c r="A68" t="str">
        <f>IF(R68=0,"",COUNTIF(A$13:A67,"&gt;0")+1)</f>
        <v/>
      </c>
      <c r="B68" s="4"/>
      <c r="C68" s="5" t="s">
        <v>22</v>
      </c>
      <c r="D68" s="7" t="s">
        <v>1417</v>
      </c>
      <c r="E68" s="31"/>
      <c r="F68" s="31"/>
      <c r="G68" s="6" t="s">
        <v>1381</v>
      </c>
      <c r="H68" s="7">
        <f>VLOOKUP(D68,A!B$1:L$1126,3,FALSE)</f>
        <v>0</v>
      </c>
      <c r="I68" s="31">
        <f>VLOOKUP(D68,A!B$1:L$1126,3,FALSE)</f>
        <v>0</v>
      </c>
      <c r="J68" s="92"/>
      <c r="K68" s="63" t="str">
        <f>VLOOKUP(D68,A!B$1:L$1126,6,FALSE)</f>
        <v/>
      </c>
      <c r="L68" s="162"/>
      <c r="M68" s="43" t="s">
        <v>1418</v>
      </c>
      <c r="N68" s="94">
        <f>VLOOKUP(D68,A!B$1:L$1125,2,FALSE)</f>
        <v>0</v>
      </c>
      <c r="O68" s="94">
        <f>VLOOKUP(D68,A!B$1:L$1126,4,FALSE)</f>
        <v>0</v>
      </c>
      <c r="P68" s="10">
        <v>10</v>
      </c>
      <c r="Q68" s="10">
        <v>2.69</v>
      </c>
      <c r="R68" s="10">
        <f t="shared" si="26"/>
        <v>0</v>
      </c>
      <c r="S68" s="10">
        <f t="shared" si="27"/>
        <v>0</v>
      </c>
      <c r="T68" s="29" t="s">
        <v>321</v>
      </c>
      <c r="U68" s="145">
        <v>0.33</v>
      </c>
      <c r="V68" s="10" t="str">
        <f>VLOOKUP(D68,A!B$1:T$1125,16,FALSE)</f>
        <v/>
      </c>
      <c r="W68" s="10">
        <f t="shared" si="28"/>
        <v>0</v>
      </c>
      <c r="X68" s="29"/>
      <c r="Y68" s="29"/>
      <c r="Z68" s="29"/>
      <c r="AA68" s="29"/>
    </row>
    <row r="69" spans="1:27" s="3" customFormat="1" ht="13.5" hidden="1" customHeight="1" x14ac:dyDescent="0.25">
      <c r="A69" t="str">
        <f>IF(R69=0,"",COUNTIF(A$13:A68,"&gt;0")+1)</f>
        <v/>
      </c>
      <c r="B69" s="4"/>
      <c r="C69" s="5" t="s">
        <v>22</v>
      </c>
      <c r="D69" s="7" t="s">
        <v>1419</v>
      </c>
      <c r="E69" s="31"/>
      <c r="F69" s="31"/>
      <c r="G69" s="6" t="s">
        <v>1381</v>
      </c>
      <c r="H69" s="7">
        <f>VLOOKUP(D69,A!B$1:L$1126,3,FALSE)</f>
        <v>0</v>
      </c>
      <c r="I69" s="31">
        <f>VLOOKUP(D69,A!B$1:L$1126,3,FALSE)</f>
        <v>0</v>
      </c>
      <c r="J69" s="92"/>
      <c r="K69" s="63" t="str">
        <f>VLOOKUP(D69,A!B$1:L$1126,6,FALSE)</f>
        <v/>
      </c>
      <c r="L69" s="162"/>
      <c r="M69" s="43" t="s">
        <v>1420</v>
      </c>
      <c r="N69" s="94">
        <f>VLOOKUP(D69,A!B$1:L$1125,2,FALSE)</f>
        <v>0</v>
      </c>
      <c r="O69" s="94">
        <f>VLOOKUP(D69,A!B$1:L$1126,4,FALSE)</f>
        <v>0</v>
      </c>
      <c r="P69" s="10">
        <v>10</v>
      </c>
      <c r="Q69" s="10">
        <v>2.69</v>
      </c>
      <c r="R69" s="10">
        <f t="shared" si="26"/>
        <v>0</v>
      </c>
      <c r="S69" s="10">
        <f t="shared" si="27"/>
        <v>0</v>
      </c>
      <c r="T69" s="29" t="s">
        <v>321</v>
      </c>
      <c r="U69" s="145">
        <v>0.33</v>
      </c>
      <c r="V69" s="10" t="str">
        <f>VLOOKUP(D69,A!B$1:T$1125,16,FALSE)</f>
        <v/>
      </c>
      <c r="W69" s="10">
        <f t="shared" si="28"/>
        <v>0</v>
      </c>
      <c r="X69" s="29"/>
      <c r="Y69" s="29"/>
      <c r="Z69" s="29"/>
      <c r="AA69" s="29"/>
    </row>
    <row r="70" spans="1:27" s="3" customFormat="1" ht="13.5" hidden="1" customHeight="1" x14ac:dyDescent="0.25">
      <c r="A70" t="str">
        <f>IF(R70=0,"",COUNTIF(A$13:A69,"&gt;0")+1)</f>
        <v/>
      </c>
      <c r="B70" s="4"/>
      <c r="C70" s="5" t="s">
        <v>22</v>
      </c>
      <c r="D70" s="7" t="s">
        <v>1421</v>
      </c>
      <c r="E70" s="31"/>
      <c r="F70" s="31"/>
      <c r="G70" s="6" t="s">
        <v>1381</v>
      </c>
      <c r="H70" s="7">
        <f>VLOOKUP(D70,A!B$1:L$1126,3,FALSE)</f>
        <v>0</v>
      </c>
      <c r="I70" s="31">
        <f>VLOOKUP(D70,A!B$1:L$1126,3,FALSE)</f>
        <v>0</v>
      </c>
      <c r="J70" s="92"/>
      <c r="K70" s="63" t="str">
        <f>VLOOKUP(D70,A!B$1:L$1126,6,FALSE)</f>
        <v/>
      </c>
      <c r="L70" s="162"/>
      <c r="M70" s="43" t="s">
        <v>1422</v>
      </c>
      <c r="N70" s="94">
        <f>VLOOKUP(D70,A!B$1:L$1125,2,FALSE)</f>
        <v>0</v>
      </c>
      <c r="O70" s="94">
        <f>VLOOKUP(D70,A!B$1:L$1126,4,FALSE)</f>
        <v>0</v>
      </c>
      <c r="P70" s="10">
        <v>10</v>
      </c>
      <c r="Q70" s="10">
        <v>2.69</v>
      </c>
      <c r="R70" s="10">
        <f t="shared" si="26"/>
        <v>0</v>
      </c>
      <c r="S70" s="10">
        <f t="shared" si="27"/>
        <v>0</v>
      </c>
      <c r="T70" s="29" t="s">
        <v>321</v>
      </c>
      <c r="U70" s="145">
        <v>0.33</v>
      </c>
      <c r="V70" s="10" t="str">
        <f>VLOOKUP(D70,A!B$1:T$1125,16,FALSE)</f>
        <v/>
      </c>
      <c r="W70" s="10">
        <f t="shared" si="28"/>
        <v>0</v>
      </c>
      <c r="X70" s="29"/>
      <c r="Y70" s="29"/>
      <c r="Z70" s="29"/>
      <c r="AA70" s="29"/>
    </row>
    <row r="71" spans="1:27" s="3" customFormat="1" ht="13.5" hidden="1" customHeight="1" x14ac:dyDescent="0.25">
      <c r="A71" t="str">
        <f>IF(R71=0,"",COUNTIF(A$13:A70,"&gt;0")+1)</f>
        <v/>
      </c>
      <c r="B71" s="4"/>
      <c r="C71" s="5" t="s">
        <v>22</v>
      </c>
      <c r="D71" s="7" t="s">
        <v>1423</v>
      </c>
      <c r="E71" s="31"/>
      <c r="F71" s="31"/>
      <c r="G71" s="6" t="s">
        <v>1381</v>
      </c>
      <c r="H71" s="7">
        <f>VLOOKUP(D71,A!B$1:L$1126,3,FALSE)</f>
        <v>0</v>
      </c>
      <c r="I71" s="31">
        <f>VLOOKUP(D71,A!B$1:L$1126,3,FALSE)</f>
        <v>0</v>
      </c>
      <c r="J71" s="92"/>
      <c r="K71" s="63" t="str">
        <f>VLOOKUP(D71,A!B$1:L$1126,6,FALSE)</f>
        <v/>
      </c>
      <c r="L71" s="162"/>
      <c r="M71" s="43" t="s">
        <v>1424</v>
      </c>
      <c r="N71" s="94">
        <f>VLOOKUP(D71,A!B$1:L$1125,2,FALSE)</f>
        <v>0</v>
      </c>
      <c r="O71" s="94">
        <f>VLOOKUP(D71,A!B$1:L$1126,4,FALSE)</f>
        <v>0</v>
      </c>
      <c r="P71" s="10">
        <v>10</v>
      </c>
      <c r="Q71" s="10">
        <v>2.69</v>
      </c>
      <c r="R71" s="10">
        <f t="shared" si="26"/>
        <v>0</v>
      </c>
      <c r="S71" s="10">
        <f t="shared" si="27"/>
        <v>0</v>
      </c>
      <c r="T71" s="29" t="s">
        <v>321</v>
      </c>
      <c r="U71" s="145">
        <v>0.33</v>
      </c>
      <c r="V71" s="10" t="str">
        <f>VLOOKUP(D71,A!B$1:T$1125,16,FALSE)</f>
        <v/>
      </c>
      <c r="W71" s="10">
        <f t="shared" si="28"/>
        <v>0</v>
      </c>
      <c r="X71" s="29"/>
      <c r="Y71" s="29"/>
      <c r="Z71" s="29"/>
      <c r="AA71" s="29"/>
    </row>
    <row r="72" spans="1:27" s="3" customFormat="1" ht="13.5" hidden="1" customHeight="1" x14ac:dyDescent="0.25">
      <c r="A72" t="str">
        <f>IF(R72=0,"",COUNTIF(A$13:A71,"&gt;0")+1)</f>
        <v/>
      </c>
      <c r="B72" s="4"/>
      <c r="C72" s="5" t="s">
        <v>22</v>
      </c>
      <c r="D72" s="7" t="s">
        <v>1425</v>
      </c>
      <c r="E72" s="31"/>
      <c r="F72" s="31"/>
      <c r="G72" s="6" t="s">
        <v>1381</v>
      </c>
      <c r="H72" s="7">
        <f>VLOOKUP(D72,A!B$1:L$1126,3,FALSE)</f>
        <v>0</v>
      </c>
      <c r="I72" s="31">
        <f>VLOOKUP(D72,A!B$1:L$1126,3,FALSE)</f>
        <v>0</v>
      </c>
      <c r="J72" s="92"/>
      <c r="K72" s="63" t="str">
        <f>VLOOKUP(D72,A!B$1:L$1126,6,FALSE)</f>
        <v/>
      </c>
      <c r="L72" s="162"/>
      <c r="M72" s="43" t="s">
        <v>1426</v>
      </c>
      <c r="N72" s="94">
        <f>VLOOKUP(D72,A!B$1:L$1125,2,FALSE)</f>
        <v>0</v>
      </c>
      <c r="O72" s="94">
        <f>VLOOKUP(D72,A!B$1:L$1126,4,FALSE)</f>
        <v>0</v>
      </c>
      <c r="P72" s="10">
        <v>10</v>
      </c>
      <c r="Q72" s="10">
        <v>2.69</v>
      </c>
      <c r="R72" s="10">
        <f t="shared" si="26"/>
        <v>0</v>
      </c>
      <c r="S72" s="10">
        <f t="shared" si="27"/>
        <v>0</v>
      </c>
      <c r="T72" s="29" t="s">
        <v>321</v>
      </c>
      <c r="U72" s="145">
        <v>0.33</v>
      </c>
      <c r="V72" s="10" t="str">
        <f>VLOOKUP(D72,A!B$1:T$1125,16,FALSE)</f>
        <v/>
      </c>
      <c r="W72" s="10">
        <f t="shared" si="28"/>
        <v>0</v>
      </c>
      <c r="X72" s="29"/>
      <c r="Y72" s="29"/>
      <c r="Z72" s="29"/>
      <c r="AA72" s="29"/>
    </row>
    <row r="73" spans="1:27" s="3" customFormat="1" ht="13.5" hidden="1" customHeight="1" x14ac:dyDescent="0.25">
      <c r="A73" t="str">
        <f>IF(R73=0,"",COUNTIF(A$13:A72,"&gt;0")+1)</f>
        <v/>
      </c>
      <c r="B73" s="4"/>
      <c r="C73" s="5" t="s">
        <v>22</v>
      </c>
      <c r="D73" s="7" t="s">
        <v>1427</v>
      </c>
      <c r="E73" s="31"/>
      <c r="F73" s="31"/>
      <c r="G73" s="6" t="s">
        <v>1381</v>
      </c>
      <c r="H73" s="7">
        <f>VLOOKUP(D73,A!B$1:L$1126,3,FALSE)</f>
        <v>0</v>
      </c>
      <c r="I73" s="31">
        <f>VLOOKUP(D73,A!B$1:L$1126,3,FALSE)</f>
        <v>0</v>
      </c>
      <c r="J73" s="92"/>
      <c r="K73" s="63" t="str">
        <f>VLOOKUP(D73,A!B$1:L$1126,6,FALSE)</f>
        <v/>
      </c>
      <c r="L73" s="162"/>
      <c r="M73" s="43" t="s">
        <v>825</v>
      </c>
      <c r="N73" s="94">
        <f>VLOOKUP(D73,A!B$1:L$1125,2,FALSE)</f>
        <v>0</v>
      </c>
      <c r="O73" s="94">
        <f>VLOOKUP(D73,A!B$1:L$1126,4,FALSE)</f>
        <v>0</v>
      </c>
      <c r="P73" s="10">
        <v>10</v>
      </c>
      <c r="Q73" s="10">
        <v>2.69</v>
      </c>
      <c r="R73" s="10">
        <f t="shared" si="26"/>
        <v>0</v>
      </c>
      <c r="S73" s="10">
        <f t="shared" si="27"/>
        <v>0</v>
      </c>
      <c r="T73" s="29" t="s">
        <v>321</v>
      </c>
      <c r="U73" s="145">
        <v>0.33</v>
      </c>
      <c r="V73" s="10" t="str">
        <f>VLOOKUP(D73,A!B$1:T$1125,16,FALSE)</f>
        <v/>
      </c>
      <c r="W73" s="10">
        <f t="shared" si="28"/>
        <v>0</v>
      </c>
      <c r="X73" s="29"/>
      <c r="Y73" s="29"/>
      <c r="Z73" s="29"/>
      <c r="AA73" s="29"/>
    </row>
    <row r="74" spans="1:27" s="3" customFormat="1" ht="13.5" hidden="1" customHeight="1" x14ac:dyDescent="0.25">
      <c r="A74" t="str">
        <f>IF(R74=0,"",COUNTIF(A$13:A73,"&gt;0")+1)</f>
        <v/>
      </c>
      <c r="B74" s="4"/>
      <c r="C74" s="5" t="s">
        <v>22</v>
      </c>
      <c r="D74" s="7" t="s">
        <v>1428</v>
      </c>
      <c r="E74" s="31"/>
      <c r="F74" s="31"/>
      <c r="G74" s="6" t="s">
        <v>1429</v>
      </c>
      <c r="H74" s="7">
        <f>VLOOKUP(D74,A!B$1:L$1126,3,FALSE)</f>
        <v>0</v>
      </c>
      <c r="I74" s="31">
        <f>VLOOKUP(D74,A!B$1:L$1126,3,FALSE)</f>
        <v>0</v>
      </c>
      <c r="J74" s="92"/>
      <c r="K74" s="63" t="str">
        <f>VLOOKUP(D74,A!B$1:L$1126,6,FALSE)</f>
        <v/>
      </c>
      <c r="L74" s="162"/>
      <c r="M74" s="43" t="s">
        <v>1430</v>
      </c>
      <c r="N74" s="94">
        <f>VLOOKUP(D74,A!B$1:L$1125,2,FALSE)</f>
        <v>0</v>
      </c>
      <c r="O74" s="94">
        <f>VLOOKUP(D74,A!B$1:L$1126,4,FALSE)</f>
        <v>0</v>
      </c>
      <c r="P74" s="10">
        <v>10</v>
      </c>
      <c r="Q74" s="10">
        <v>2.69</v>
      </c>
      <c r="R74" s="10">
        <f t="shared" si="26"/>
        <v>0</v>
      </c>
      <c r="S74" s="10">
        <f t="shared" si="27"/>
        <v>0</v>
      </c>
      <c r="T74" s="29" t="s">
        <v>321</v>
      </c>
      <c r="U74" s="145">
        <v>0.33</v>
      </c>
      <c r="V74" s="10" t="str">
        <f>VLOOKUP(D74,A!B$1:T$1125,16,FALSE)</f>
        <v/>
      </c>
      <c r="W74" s="10">
        <f t="shared" si="28"/>
        <v>0</v>
      </c>
      <c r="X74" s="29"/>
      <c r="Y74" s="29"/>
      <c r="Z74" s="29"/>
      <c r="AA74" s="29"/>
    </row>
    <row r="75" spans="1:27" s="3" customFormat="1" ht="13.5" hidden="1" customHeight="1" x14ac:dyDescent="0.25">
      <c r="A75" t="str">
        <f>IF(R75=0,"",COUNTIF(A$13:A74,"&gt;0")+1)</f>
        <v/>
      </c>
      <c r="B75" s="4"/>
      <c r="C75" s="5" t="s">
        <v>22</v>
      </c>
      <c r="D75" s="7" t="s">
        <v>1431</v>
      </c>
      <c r="E75" s="31"/>
      <c r="F75" s="31"/>
      <c r="G75" s="6" t="s">
        <v>1362</v>
      </c>
      <c r="H75" s="7">
        <f>VLOOKUP(D75,A!B$1:L$1126,3,FALSE)</f>
        <v>0</v>
      </c>
      <c r="I75" s="31">
        <f>VLOOKUP(D75,A!B$1:L$1126,3,FALSE)</f>
        <v>0</v>
      </c>
      <c r="J75" s="92"/>
      <c r="K75" s="63" t="str">
        <f>VLOOKUP(D75,A!B$1:L$1126,6,FALSE)</f>
        <v/>
      </c>
      <c r="L75" s="162"/>
      <c r="M75" s="43" t="s">
        <v>1432</v>
      </c>
      <c r="N75" s="94">
        <f>VLOOKUP(D75,A!B$1:L$1125,2,FALSE)</f>
        <v>0</v>
      </c>
      <c r="O75" s="94">
        <f>VLOOKUP(D75,A!B$1:L$1126,4,FALSE)</f>
        <v>0</v>
      </c>
      <c r="P75" s="10">
        <v>10</v>
      </c>
      <c r="Q75" s="10">
        <v>2.69</v>
      </c>
      <c r="R75" s="10">
        <f t="shared" si="26"/>
        <v>0</v>
      </c>
      <c r="S75" s="10">
        <f t="shared" si="27"/>
        <v>0</v>
      </c>
      <c r="T75" s="29" t="s">
        <v>321</v>
      </c>
      <c r="U75" s="145">
        <v>0.33</v>
      </c>
      <c r="V75" s="10" t="str">
        <f>VLOOKUP(D75,A!B$1:T$1125,16,FALSE)</f>
        <v/>
      </c>
      <c r="W75" s="10">
        <f t="shared" si="28"/>
        <v>0</v>
      </c>
      <c r="X75" s="29"/>
      <c r="Y75" s="29"/>
      <c r="Z75" s="29"/>
      <c r="AA75" s="29"/>
    </row>
    <row r="76" spans="1:27" s="3" customFormat="1" ht="13.5" hidden="1" customHeight="1" x14ac:dyDescent="0.25">
      <c r="A76" t="str">
        <f>IF(R76=0,"",COUNTIF(A$13:A75,"&gt;0")+1)</f>
        <v/>
      </c>
      <c r="B76" s="4"/>
      <c r="C76" s="5" t="s">
        <v>22</v>
      </c>
      <c r="D76" s="7" t="s">
        <v>1433</v>
      </c>
      <c r="E76" s="31"/>
      <c r="F76" s="31"/>
      <c r="G76" s="6" t="s">
        <v>1434</v>
      </c>
      <c r="H76" s="7">
        <f>VLOOKUP(D76,A!B$1:L$1126,3,FALSE)</f>
        <v>0</v>
      </c>
      <c r="I76" s="31">
        <f>VLOOKUP(D76,A!B$1:L$1126,3,FALSE)</f>
        <v>0</v>
      </c>
      <c r="J76" s="92"/>
      <c r="K76" s="63" t="str">
        <f>VLOOKUP(D76,A!B$1:L$1126,6,FALSE)</f>
        <v/>
      </c>
      <c r="L76" s="162"/>
      <c r="M76" s="43" t="s">
        <v>1435</v>
      </c>
      <c r="N76" s="94">
        <f>VLOOKUP(D76,A!B$1:L$1125,2,FALSE)</f>
        <v>0</v>
      </c>
      <c r="O76" s="94">
        <f>VLOOKUP(D76,A!B$1:L$1126,4,FALSE)</f>
        <v>0</v>
      </c>
      <c r="P76" s="10">
        <v>10</v>
      </c>
      <c r="Q76" s="10">
        <v>2.69</v>
      </c>
      <c r="R76" s="10">
        <f t="shared" si="26"/>
        <v>0</v>
      </c>
      <c r="S76" s="10">
        <f t="shared" si="27"/>
        <v>0</v>
      </c>
      <c r="T76" s="29" t="s">
        <v>321</v>
      </c>
      <c r="U76" s="145">
        <v>0.33</v>
      </c>
      <c r="V76" s="10" t="str">
        <f>VLOOKUP(D76,A!B$1:T$1125,16,FALSE)</f>
        <v/>
      </c>
      <c r="W76" s="10">
        <f t="shared" si="28"/>
        <v>0</v>
      </c>
      <c r="X76" s="29"/>
      <c r="Y76" s="29"/>
      <c r="Z76" s="29"/>
      <c r="AA76" s="29"/>
    </row>
    <row r="77" spans="1:27" s="3" customFormat="1" ht="13.5" hidden="1" customHeight="1" x14ac:dyDescent="0.25">
      <c r="A77" t="str">
        <f>IF(R77=0,"",COUNTIF(A$13:A76,"&gt;0")+1)</f>
        <v/>
      </c>
      <c r="B77" s="4"/>
      <c r="C77" s="5" t="s">
        <v>22</v>
      </c>
      <c r="D77" s="172" t="s">
        <v>1436</v>
      </c>
      <c r="E77" s="173"/>
      <c r="F77" s="173"/>
      <c r="G77" s="6" t="s">
        <v>83</v>
      </c>
      <c r="H77" s="7">
        <f>VLOOKUP(D77,A!B$1:L$1126,3,FALSE)</f>
        <v>0</v>
      </c>
      <c r="I77" s="31">
        <f>VLOOKUP(D77,A!B$1:L$1126,3,FALSE)</f>
        <v>0</v>
      </c>
      <c r="J77" s="92"/>
      <c r="K77" s="63" t="str">
        <f>VLOOKUP(D77,A!B$1:L$1126,6,FALSE)</f>
        <v/>
      </c>
      <c r="L77" s="162"/>
      <c r="M77" s="43" t="s">
        <v>1437</v>
      </c>
      <c r="N77" s="94">
        <f>VLOOKUP(D77,A!B$1:L$1125,2,FALSE)</f>
        <v>0</v>
      </c>
      <c r="O77" s="94">
        <f>VLOOKUP(D77,A!B$1:L$1126,4,FALSE)</f>
        <v>0</v>
      </c>
      <c r="P77" s="10">
        <v>10</v>
      </c>
      <c r="Q77" s="10">
        <v>2.69</v>
      </c>
      <c r="R77" s="10">
        <f t="shared" si="26"/>
        <v>0</v>
      </c>
      <c r="S77" s="10">
        <f t="shared" si="27"/>
        <v>0</v>
      </c>
      <c r="T77" s="29" t="s">
        <v>321</v>
      </c>
      <c r="U77" s="145">
        <v>0.33</v>
      </c>
      <c r="V77" s="10" t="str">
        <f>VLOOKUP(D77,A!B$1:T$1125,16,FALSE)</f>
        <v/>
      </c>
      <c r="W77" s="10">
        <f t="shared" si="28"/>
        <v>0</v>
      </c>
      <c r="X77" s="29"/>
      <c r="Y77" s="29"/>
      <c r="Z77" s="29"/>
      <c r="AA77" s="29"/>
    </row>
    <row r="78" spans="1:27" s="3" customFormat="1" ht="13.5" hidden="1" customHeight="1" x14ac:dyDescent="0.25">
      <c r="A78" t="str">
        <f>IF(R78=0,"",COUNTIF(A$13:A77,"&gt;0")+1)</f>
        <v/>
      </c>
      <c r="B78" s="4"/>
      <c r="C78" s="5" t="s">
        <v>22</v>
      </c>
      <c r="D78" s="7" t="s">
        <v>1438</v>
      </c>
      <c r="E78" s="31"/>
      <c r="F78" s="31"/>
      <c r="G78" s="6" t="s">
        <v>1434</v>
      </c>
      <c r="H78" s="7">
        <f>VLOOKUP(D78,A!B$1:L$1126,3,FALSE)</f>
        <v>0</v>
      </c>
      <c r="I78" s="31">
        <f>VLOOKUP(D78,A!B$1:L$1126,3,FALSE)</f>
        <v>0</v>
      </c>
      <c r="J78" s="92"/>
      <c r="K78" s="63" t="str">
        <f>VLOOKUP(D78,A!B$1:L$1126,6,FALSE)</f>
        <v/>
      </c>
      <c r="L78" s="162"/>
      <c r="M78" s="43" t="s">
        <v>1439</v>
      </c>
      <c r="N78" s="94">
        <f>VLOOKUP(D78,A!B$1:L$1125,2,FALSE)</f>
        <v>0</v>
      </c>
      <c r="O78" s="94">
        <f>VLOOKUP(D78,A!B$1:L$1126,4,FALSE)</f>
        <v>0</v>
      </c>
      <c r="P78" s="10">
        <v>10</v>
      </c>
      <c r="Q78" s="10">
        <v>2.69</v>
      </c>
      <c r="R78" s="10">
        <f t="shared" si="26"/>
        <v>0</v>
      </c>
      <c r="S78" s="10">
        <f t="shared" si="27"/>
        <v>0</v>
      </c>
      <c r="T78" s="29" t="s">
        <v>321</v>
      </c>
      <c r="U78" s="145">
        <v>0.33</v>
      </c>
      <c r="V78" s="10" t="str">
        <f>VLOOKUP(D78,A!B$1:T$1125,16,FALSE)</f>
        <v/>
      </c>
      <c r="W78" s="10">
        <f t="shared" si="28"/>
        <v>0</v>
      </c>
      <c r="X78" s="29"/>
      <c r="Y78" s="29"/>
      <c r="Z78" s="29"/>
      <c r="AA78" s="29"/>
    </row>
    <row r="79" spans="1:27" s="3" customFormat="1" ht="13.5" hidden="1" customHeight="1" x14ac:dyDescent="0.25">
      <c r="A79" t="str">
        <f>IF(R79=0,"",COUNTIF(A$13:A78,"&gt;0")+1)</f>
        <v/>
      </c>
      <c r="B79" s="4"/>
      <c r="C79" s="5" t="s">
        <v>22</v>
      </c>
      <c r="D79" s="7" t="s">
        <v>1440</v>
      </c>
      <c r="E79" s="31"/>
      <c r="F79" s="31"/>
      <c r="G79" s="6" t="s">
        <v>1441</v>
      </c>
      <c r="H79" s="7">
        <f>VLOOKUP(D79,A!B$1:L$1126,3,FALSE)</f>
        <v>0</v>
      </c>
      <c r="I79" s="31">
        <f>VLOOKUP(D79,A!B$1:L$1126,3,FALSE)</f>
        <v>0</v>
      </c>
      <c r="J79" s="92"/>
      <c r="K79" s="63" t="str">
        <f>VLOOKUP(D79,A!B$1:L$1126,6,FALSE)</f>
        <v/>
      </c>
      <c r="L79" s="162"/>
      <c r="M79" s="43" t="s">
        <v>1442</v>
      </c>
      <c r="N79" s="94">
        <f>VLOOKUP(D79,A!B$1:L$1125,2,FALSE)</f>
        <v>0</v>
      </c>
      <c r="O79" s="94">
        <f>VLOOKUP(D79,A!B$1:L$1126,4,FALSE)</f>
        <v>0</v>
      </c>
      <c r="P79" s="10">
        <v>10</v>
      </c>
      <c r="Q79" s="10">
        <v>2.69</v>
      </c>
      <c r="R79" s="10">
        <f t="shared" ref="R79:R143" si="32">B79*P79</f>
        <v>0</v>
      </c>
      <c r="S79" s="10">
        <f t="shared" ref="S79:S143" si="33">R79*Q79</f>
        <v>0</v>
      </c>
      <c r="T79" s="29" t="s">
        <v>321</v>
      </c>
      <c r="U79" s="145">
        <v>0.33</v>
      </c>
      <c r="V79" s="10" t="str">
        <f>VLOOKUP(D79,A!B$1:T$1125,16,FALSE)</f>
        <v/>
      </c>
      <c r="W79" s="10">
        <f t="shared" ref="W79:W143" si="34">U79*B79</f>
        <v>0</v>
      </c>
      <c r="X79" s="29"/>
      <c r="Y79" s="29"/>
      <c r="Z79" s="29"/>
      <c r="AA79" s="29"/>
    </row>
    <row r="80" spans="1:27" s="3" customFormat="1" ht="13.5" hidden="1" customHeight="1" x14ac:dyDescent="0.25">
      <c r="A80" t="str">
        <f>IF(R80=0,"",COUNTIF(A$13:A79,"&gt;0")+1)</f>
        <v/>
      </c>
      <c r="B80" s="4"/>
      <c r="C80" s="5" t="s">
        <v>22</v>
      </c>
      <c r="D80" s="7" t="s">
        <v>1443</v>
      </c>
      <c r="E80" s="31"/>
      <c r="F80" s="31"/>
      <c r="G80" s="6" t="s">
        <v>1441</v>
      </c>
      <c r="H80" s="7">
        <f>VLOOKUP(D80,A!B$1:L$1126,3,FALSE)</f>
        <v>0</v>
      </c>
      <c r="I80" s="31">
        <f>VLOOKUP(D80,A!B$1:L$1126,3,FALSE)</f>
        <v>0</v>
      </c>
      <c r="J80" s="92"/>
      <c r="K80" s="63" t="str">
        <f>VLOOKUP(D80,A!B$1:L$1126,6,FALSE)</f>
        <v/>
      </c>
      <c r="L80" s="162"/>
      <c r="M80" s="43" t="s">
        <v>1444</v>
      </c>
      <c r="N80" s="94">
        <f>VLOOKUP(D80,A!B$1:L$1125,2,FALSE)</f>
        <v>0</v>
      </c>
      <c r="O80" s="94">
        <f>VLOOKUP(D80,A!B$1:L$1126,4,FALSE)</f>
        <v>0</v>
      </c>
      <c r="P80" s="10">
        <v>10</v>
      </c>
      <c r="Q80" s="10">
        <v>2.69</v>
      </c>
      <c r="R80" s="10">
        <f t="shared" si="32"/>
        <v>0</v>
      </c>
      <c r="S80" s="10">
        <f t="shared" si="33"/>
        <v>0</v>
      </c>
      <c r="T80" s="29" t="s">
        <v>321</v>
      </c>
      <c r="U80" s="145">
        <v>0.33</v>
      </c>
      <c r="V80" s="10" t="str">
        <f>VLOOKUP(D80,A!B$1:T$1125,16,FALSE)</f>
        <v/>
      </c>
      <c r="W80" s="10">
        <f t="shared" si="34"/>
        <v>0</v>
      </c>
      <c r="X80" s="29"/>
      <c r="Y80" s="29"/>
      <c r="Z80" s="29"/>
      <c r="AA80" s="29"/>
    </row>
    <row r="81" spans="1:77" s="3" customFormat="1" ht="13.5" hidden="1" customHeight="1" x14ac:dyDescent="0.25">
      <c r="A81" t="str">
        <f>IF(R81=0,"",COUNTIF(A$13:A80,"&gt;0")+1)</f>
        <v/>
      </c>
      <c r="B81" s="4"/>
      <c r="C81" s="5" t="s">
        <v>22</v>
      </c>
      <c r="D81" s="7" t="s">
        <v>1445</v>
      </c>
      <c r="E81" s="31"/>
      <c r="F81" s="31"/>
      <c r="G81" s="6" t="s">
        <v>1441</v>
      </c>
      <c r="H81" s="7">
        <f>VLOOKUP(D81,A!B$1:L$1126,3,FALSE)</f>
        <v>0</v>
      </c>
      <c r="I81" s="31">
        <f>VLOOKUP(D81,A!B$1:L$1126,3,FALSE)</f>
        <v>0</v>
      </c>
      <c r="J81" s="92"/>
      <c r="K81" s="63" t="str">
        <f>VLOOKUP(D81,A!B$1:L$1126,6,FALSE)</f>
        <v/>
      </c>
      <c r="L81" s="162"/>
      <c r="M81" s="43" t="s">
        <v>1446</v>
      </c>
      <c r="N81" s="94">
        <f>VLOOKUP(D81,A!B$1:L$1125,2,FALSE)</f>
        <v>0</v>
      </c>
      <c r="O81" s="94">
        <f>VLOOKUP(D81,A!B$1:L$1126,4,FALSE)</f>
        <v>0</v>
      </c>
      <c r="P81" s="10">
        <v>10</v>
      </c>
      <c r="Q81" s="10">
        <v>2.69</v>
      </c>
      <c r="R81" s="10">
        <f t="shared" si="32"/>
        <v>0</v>
      </c>
      <c r="S81" s="10">
        <f t="shared" si="33"/>
        <v>0</v>
      </c>
      <c r="T81" s="29" t="s">
        <v>321</v>
      </c>
      <c r="U81" s="145">
        <v>0.33</v>
      </c>
      <c r="V81" s="10" t="str">
        <f>VLOOKUP(D81,A!B$1:T$1125,16,FALSE)</f>
        <v/>
      </c>
      <c r="W81" s="10">
        <f t="shared" si="34"/>
        <v>0</v>
      </c>
      <c r="X81" s="29"/>
      <c r="Y81" s="29"/>
      <c r="Z81" s="29"/>
      <c r="AA81" s="29"/>
    </row>
    <row r="82" spans="1:77" s="3" customFormat="1" ht="13.5" hidden="1" customHeight="1" x14ac:dyDescent="0.25">
      <c r="A82" t="str">
        <f>IF(R82=0,"",COUNTIF(A$13:A81,"&gt;0")+1)</f>
        <v/>
      </c>
      <c r="B82" s="4"/>
      <c r="C82" s="5" t="s">
        <v>22</v>
      </c>
      <c r="D82" s="7" t="s">
        <v>1447</v>
      </c>
      <c r="E82" s="31"/>
      <c r="F82" s="31"/>
      <c r="G82" s="6" t="s">
        <v>1441</v>
      </c>
      <c r="H82" s="7">
        <f>VLOOKUP(D82,A!B$1:L$1126,3,FALSE)</f>
        <v>0</v>
      </c>
      <c r="I82" s="31">
        <f>VLOOKUP(D82,A!B$1:L$1126,3,FALSE)</f>
        <v>0</v>
      </c>
      <c r="J82" s="92"/>
      <c r="K82" s="63" t="str">
        <f>VLOOKUP(D82,A!B$1:L$1126,6,FALSE)</f>
        <v/>
      </c>
      <c r="L82" s="162"/>
      <c r="M82" s="43" t="s">
        <v>1448</v>
      </c>
      <c r="N82" s="94">
        <f>VLOOKUP(D82,A!B$1:L$1125,2,FALSE)</f>
        <v>0</v>
      </c>
      <c r="O82" s="94">
        <f>VLOOKUP(D82,A!B$1:L$1126,4,FALSE)</f>
        <v>0</v>
      </c>
      <c r="P82" s="10">
        <v>10</v>
      </c>
      <c r="Q82" s="10">
        <v>2.69</v>
      </c>
      <c r="R82" s="10">
        <f t="shared" si="32"/>
        <v>0</v>
      </c>
      <c r="S82" s="10">
        <f t="shared" si="33"/>
        <v>0</v>
      </c>
      <c r="T82" s="29" t="s">
        <v>321</v>
      </c>
      <c r="U82" s="145">
        <v>0.33</v>
      </c>
      <c r="V82" s="10" t="str">
        <f>VLOOKUP(D82,A!B$1:T$1125,16,FALSE)</f>
        <v/>
      </c>
      <c r="W82" s="10">
        <f t="shared" si="34"/>
        <v>0</v>
      </c>
      <c r="X82" s="29"/>
      <c r="Y82" s="29"/>
      <c r="Z82" s="29"/>
      <c r="AA82" s="29"/>
    </row>
    <row r="83" spans="1:77" s="3" customFormat="1" ht="13.5" hidden="1" customHeight="1" x14ac:dyDescent="0.25">
      <c r="A83" t="str">
        <f>IF(R83=0,"",COUNTIF(A$13:A82,"&gt;0")+1)</f>
        <v/>
      </c>
      <c r="B83" s="4"/>
      <c r="C83" s="5" t="s">
        <v>22</v>
      </c>
      <c r="D83" s="7" t="s">
        <v>1449</v>
      </c>
      <c r="E83" s="31"/>
      <c r="F83" s="31"/>
      <c r="G83" s="6" t="s">
        <v>1441</v>
      </c>
      <c r="H83" s="7">
        <f>VLOOKUP(D83,A!B$1:L$1126,3,FALSE)</f>
        <v>0</v>
      </c>
      <c r="I83" s="31">
        <f>VLOOKUP(D83,A!B$1:L$1126,3,FALSE)</f>
        <v>0</v>
      </c>
      <c r="J83" s="92"/>
      <c r="K83" s="63" t="str">
        <f>VLOOKUP(D83,A!B$1:L$1126,6,FALSE)</f>
        <v/>
      </c>
      <c r="L83" s="162"/>
      <c r="M83" s="43" t="s">
        <v>1450</v>
      </c>
      <c r="N83" s="94">
        <f>VLOOKUP(D83,A!B$1:L$1125,2,FALSE)</f>
        <v>0</v>
      </c>
      <c r="O83" s="94">
        <f>VLOOKUP(D83,A!B$1:L$1126,4,FALSE)</f>
        <v>0</v>
      </c>
      <c r="P83" s="10">
        <v>10</v>
      </c>
      <c r="Q83" s="10">
        <v>2.69</v>
      </c>
      <c r="R83" s="10">
        <f t="shared" si="32"/>
        <v>0</v>
      </c>
      <c r="S83" s="10">
        <f t="shared" si="33"/>
        <v>0</v>
      </c>
      <c r="T83" s="29" t="s">
        <v>321</v>
      </c>
      <c r="U83" s="145">
        <v>0.33</v>
      </c>
      <c r="V83" s="10" t="str">
        <f>VLOOKUP(D83,A!B$1:T$1125,16,FALSE)</f>
        <v/>
      </c>
      <c r="W83" s="10">
        <f t="shared" si="34"/>
        <v>0</v>
      </c>
      <c r="X83" s="29"/>
      <c r="Y83" s="29"/>
      <c r="Z83" s="29"/>
      <c r="AA83" s="29"/>
    </row>
    <row r="84" spans="1:77" s="3" customFormat="1" ht="13.5" hidden="1" customHeight="1" x14ac:dyDescent="0.25">
      <c r="A84" t="str">
        <f>IF(R84=0,"",COUNTIF(A$13:A83,"&gt;0")+1)</f>
        <v/>
      </c>
      <c r="B84" s="4"/>
      <c r="C84" s="5" t="s">
        <v>22</v>
      </c>
      <c r="D84" s="7" t="s">
        <v>126</v>
      </c>
      <c r="E84" s="31"/>
      <c r="F84" s="31"/>
      <c r="G84" s="6" t="s">
        <v>136</v>
      </c>
      <c r="H84" s="7">
        <f>VLOOKUP(D84,A!B$1:L$1126,3,FALSE)</f>
        <v>0</v>
      </c>
      <c r="I84" s="31">
        <f>VLOOKUP(D84,A!B$1:L$1126,3,FALSE)</f>
        <v>0</v>
      </c>
      <c r="J84" s="92"/>
      <c r="K84" s="63" t="str">
        <f>VLOOKUP(D84,A!B$1:L$1126,6,FALSE)</f>
        <v/>
      </c>
      <c r="L84" s="2"/>
      <c r="M84" s="43" t="s">
        <v>137</v>
      </c>
      <c r="N84" s="94">
        <f>VLOOKUP(D84,A!B$1:L$1125,2,FALSE)</f>
        <v>0</v>
      </c>
      <c r="O84" s="94">
        <f>VLOOKUP(D84,A!B$1:L$1126,4,FALSE)</f>
        <v>0</v>
      </c>
      <c r="P84" s="10">
        <v>10</v>
      </c>
      <c r="Q84" s="10">
        <v>2.69</v>
      </c>
      <c r="R84" s="10">
        <f t="shared" si="32"/>
        <v>0</v>
      </c>
      <c r="S84" s="10">
        <f t="shared" si="33"/>
        <v>0</v>
      </c>
      <c r="T84" s="29" t="s">
        <v>321</v>
      </c>
      <c r="U84" s="145">
        <v>0.33</v>
      </c>
      <c r="V84" s="10" t="str">
        <f>VLOOKUP(D84,A!B$1:T$1125,16,FALSE)</f>
        <v/>
      </c>
      <c r="W84" s="10">
        <f t="shared" si="34"/>
        <v>0</v>
      </c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</row>
    <row r="85" spans="1:77" s="3" customFormat="1" ht="13.5" hidden="1" customHeight="1" x14ac:dyDescent="0.25">
      <c r="A85" t="str">
        <f>IF(R85=0,"",COUNTIF(A$13:A84,"&gt;0")+1)</f>
        <v/>
      </c>
      <c r="B85" s="4"/>
      <c r="C85" s="5" t="s">
        <v>22</v>
      </c>
      <c r="D85" s="7" t="s">
        <v>1451</v>
      </c>
      <c r="E85" s="31"/>
      <c r="F85" s="31"/>
      <c r="G85" s="6" t="s">
        <v>1452</v>
      </c>
      <c r="H85" s="7">
        <f>VLOOKUP(D85,A!B$1:L$1126,3,FALSE)</f>
        <v>0</v>
      </c>
      <c r="I85" s="31">
        <f>VLOOKUP(D85,A!B$1:L$1126,3,FALSE)</f>
        <v>0</v>
      </c>
      <c r="J85" s="92"/>
      <c r="K85" s="63" t="str">
        <f>VLOOKUP(D85,A!B$1:L$1126,6,FALSE)</f>
        <v/>
      </c>
      <c r="L85" s="162"/>
      <c r="M85" s="41" t="s">
        <v>1453</v>
      </c>
      <c r="N85" s="94">
        <f>VLOOKUP(D85,A!B$1:L$1125,2,FALSE)</f>
        <v>0</v>
      </c>
      <c r="O85" s="94">
        <f>VLOOKUP(D85,A!B$1:L$1126,4,FALSE)</f>
        <v>0</v>
      </c>
      <c r="P85" s="10">
        <v>10</v>
      </c>
      <c r="Q85" s="10">
        <v>2.69</v>
      </c>
      <c r="R85" s="10">
        <f t="shared" si="32"/>
        <v>0</v>
      </c>
      <c r="S85" s="10">
        <f t="shared" si="33"/>
        <v>0</v>
      </c>
      <c r="T85" s="29" t="s">
        <v>321</v>
      </c>
      <c r="U85" s="145">
        <v>0.33</v>
      </c>
      <c r="V85" s="10" t="str">
        <f>VLOOKUP(D85,A!B$1:T$1125,16,FALSE)</f>
        <v/>
      </c>
      <c r="W85" s="10">
        <f t="shared" si="34"/>
        <v>0</v>
      </c>
      <c r="X85" s="29"/>
      <c r="Y85" s="29"/>
      <c r="Z85" s="29"/>
      <c r="AA85" s="29"/>
    </row>
    <row r="86" spans="1:77" s="178" customFormat="1" ht="13.5" hidden="1" customHeight="1" x14ac:dyDescent="0.25">
      <c r="A86" t="str">
        <f>IF(R86=0,"",COUNTIF(A$13:A85,"&gt;0")+1)</f>
        <v/>
      </c>
      <c r="B86" s="4"/>
      <c r="C86" s="5" t="s">
        <v>22</v>
      </c>
      <c r="D86" s="7" t="s">
        <v>1454</v>
      </c>
      <c r="E86" s="31"/>
      <c r="F86" s="31"/>
      <c r="G86" s="6" t="s">
        <v>1455</v>
      </c>
      <c r="H86" s="7">
        <f>VLOOKUP(D86,A!B$1:L$1126,3,FALSE)</f>
        <v>0</v>
      </c>
      <c r="I86" s="31">
        <f>VLOOKUP(D86,A!B$1:L$1126,3,FALSE)</f>
        <v>0</v>
      </c>
      <c r="J86" s="92"/>
      <c r="K86" s="63" t="str">
        <f>VLOOKUP(D86,A!B$1:L$1126,6,FALSE)</f>
        <v/>
      </c>
      <c r="L86" s="162"/>
      <c r="M86" s="41" t="s">
        <v>1456</v>
      </c>
      <c r="N86" s="94">
        <f>VLOOKUP(D86,A!B$1:L$1125,2,FALSE)</f>
        <v>0</v>
      </c>
      <c r="O86" s="94">
        <f>VLOOKUP(D86,A!B$1:L$1126,4,FALSE)</f>
        <v>0</v>
      </c>
      <c r="P86" s="10">
        <v>10</v>
      </c>
      <c r="Q86" s="10">
        <v>2.69</v>
      </c>
      <c r="R86" s="10">
        <f t="shared" si="32"/>
        <v>0</v>
      </c>
      <c r="S86" s="10">
        <f t="shared" si="33"/>
        <v>0</v>
      </c>
      <c r="T86" s="29" t="s">
        <v>321</v>
      </c>
      <c r="U86" s="145">
        <v>0.33</v>
      </c>
      <c r="V86" s="10" t="str">
        <f>VLOOKUP(D86,A!B$1:T$1125,16,FALSE)</f>
        <v/>
      </c>
      <c r="W86" s="10">
        <f t="shared" si="34"/>
        <v>0</v>
      </c>
      <c r="X86" s="29"/>
      <c r="Y86" s="29"/>
      <c r="Z86" s="29"/>
      <c r="AA86" s="29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</row>
    <row r="87" spans="1:77" s="178" customFormat="1" ht="13.5" hidden="1" customHeight="1" x14ac:dyDescent="0.25">
      <c r="A87" t="str">
        <f>IF(R87=0,"",COUNTIF(A$13:A86,"&gt;0")+1)</f>
        <v/>
      </c>
      <c r="B87" s="4"/>
      <c r="C87" s="5" t="s">
        <v>22</v>
      </c>
      <c r="D87" s="7" t="s">
        <v>271</v>
      </c>
      <c r="E87" s="31"/>
      <c r="F87" s="31"/>
      <c r="G87" s="6" t="s">
        <v>125</v>
      </c>
      <c r="H87" s="7">
        <f>VLOOKUP(D87,A!B$1:L$1126,3,FALSE)</f>
        <v>0</v>
      </c>
      <c r="I87" s="31">
        <f>VLOOKUP(D87,A!B$1:L$1126,3,FALSE)</f>
        <v>0</v>
      </c>
      <c r="J87" s="92"/>
      <c r="K87" s="63" t="str">
        <f>VLOOKUP(D87,A!B$1:L$1126,6,FALSE)</f>
        <v/>
      </c>
      <c r="L87" s="2"/>
      <c r="M87" s="41" t="s">
        <v>272</v>
      </c>
      <c r="N87" s="94">
        <f>VLOOKUP(D87,A!B$1:L$1125,2,FALSE)</f>
        <v>0</v>
      </c>
      <c r="O87" s="94">
        <f>VLOOKUP(D87,A!B$1:L$1126,4,FALSE)</f>
        <v>0</v>
      </c>
      <c r="P87" s="10">
        <v>10</v>
      </c>
      <c r="Q87" s="10">
        <v>2.69</v>
      </c>
      <c r="R87" s="10">
        <f t="shared" si="32"/>
        <v>0</v>
      </c>
      <c r="S87" s="10">
        <f t="shared" si="33"/>
        <v>0</v>
      </c>
      <c r="T87" s="29" t="s">
        <v>321</v>
      </c>
      <c r="U87" s="145">
        <v>0.33</v>
      </c>
      <c r="V87" s="10" t="str">
        <f>VLOOKUP(D87,A!B$1:T$1125,16,FALSE)</f>
        <v/>
      </c>
      <c r="W87" s="10">
        <f t="shared" si="34"/>
        <v>0</v>
      </c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3"/>
      <c r="BQ87" s="3"/>
      <c r="BR87" s="3"/>
      <c r="BS87" s="3"/>
      <c r="BT87" s="3"/>
      <c r="BU87" s="3"/>
      <c r="BV87" s="3"/>
      <c r="BW87" s="3"/>
      <c r="BX87" s="3"/>
      <c r="BY87" s="3"/>
    </row>
    <row r="88" spans="1:77" s="178" customFormat="1" ht="13.5" hidden="1" customHeight="1" x14ac:dyDescent="0.25">
      <c r="A88" t="str">
        <f>IF(R88=0,"",COUNTIF(A$13:A87,"&gt;0")+1)</f>
        <v/>
      </c>
      <c r="B88" s="4"/>
      <c r="C88" s="5" t="s">
        <v>22</v>
      </c>
      <c r="D88" s="7" t="s">
        <v>1457</v>
      </c>
      <c r="E88" s="31"/>
      <c r="F88" s="31"/>
      <c r="G88" s="6" t="s">
        <v>125</v>
      </c>
      <c r="H88" s="7">
        <f>VLOOKUP(D88,A!B$1:L$1126,3,FALSE)</f>
        <v>0</v>
      </c>
      <c r="I88" s="31">
        <f>VLOOKUP(D88,A!B$1:L$1126,3,FALSE)</f>
        <v>0</v>
      </c>
      <c r="J88" s="92"/>
      <c r="K88" s="63" t="str">
        <f>VLOOKUP(D88,A!B$1:L$1126,6,FALSE)</f>
        <v/>
      </c>
      <c r="L88" s="162"/>
      <c r="M88" s="41" t="s">
        <v>1458</v>
      </c>
      <c r="N88" s="94">
        <f>VLOOKUP(D88,A!B$1:L$1125,2,FALSE)</f>
        <v>0</v>
      </c>
      <c r="O88" s="94">
        <f>VLOOKUP(D88,A!B$1:L$1126,4,FALSE)</f>
        <v>0</v>
      </c>
      <c r="P88" s="10">
        <v>10</v>
      </c>
      <c r="Q88" s="10">
        <v>2.69</v>
      </c>
      <c r="R88" s="10">
        <f t="shared" si="32"/>
        <v>0</v>
      </c>
      <c r="S88" s="10">
        <f t="shared" si="33"/>
        <v>0</v>
      </c>
      <c r="T88" s="29" t="s">
        <v>321</v>
      </c>
      <c r="U88" s="145">
        <v>0.33</v>
      </c>
      <c r="V88" s="10" t="str">
        <f>VLOOKUP(D88,A!B$1:T$1125,16,FALSE)</f>
        <v/>
      </c>
      <c r="W88" s="10">
        <f t="shared" si="34"/>
        <v>0</v>
      </c>
      <c r="X88" s="29"/>
      <c r="Y88" s="29"/>
      <c r="Z88" s="29"/>
      <c r="AA88" s="29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</row>
    <row r="89" spans="1:77" s="3" customFormat="1" ht="13.5" hidden="1" customHeight="1" x14ac:dyDescent="0.25">
      <c r="A89" t="str">
        <f>IF(R89=0,"",COUNTIF(A$13:A88,"&gt;0")+1)</f>
        <v/>
      </c>
      <c r="B89" s="4"/>
      <c r="C89" s="5" t="s">
        <v>22</v>
      </c>
      <c r="D89" s="7" t="s">
        <v>248</v>
      </c>
      <c r="E89" s="31"/>
      <c r="F89" s="31"/>
      <c r="G89" s="6" t="s">
        <v>200</v>
      </c>
      <c r="H89" s="7">
        <f>VLOOKUP(D89,A!B$1:L$1126,3,FALSE)</f>
        <v>0</v>
      </c>
      <c r="I89" s="31">
        <f>VLOOKUP(D89,A!B$1:L$1126,3,FALSE)</f>
        <v>0</v>
      </c>
      <c r="J89" s="92"/>
      <c r="K89" s="63" t="str">
        <f>VLOOKUP(D89,A!B$1:L$1126,6,FALSE)</f>
        <v/>
      </c>
      <c r="L89" s="2"/>
      <c r="M89" s="41" t="s">
        <v>91</v>
      </c>
      <c r="N89" s="94">
        <f>VLOOKUP(D89,A!B$1:L$1125,2,FALSE)</f>
        <v>0</v>
      </c>
      <c r="O89" s="94">
        <f>VLOOKUP(D89,A!B$1:L$1126,4,FALSE)</f>
        <v>0</v>
      </c>
      <c r="P89" s="10">
        <v>10</v>
      </c>
      <c r="Q89" s="10">
        <v>2.69</v>
      </c>
      <c r="R89" s="10">
        <f t="shared" si="32"/>
        <v>0</v>
      </c>
      <c r="S89" s="10">
        <f t="shared" si="33"/>
        <v>0</v>
      </c>
      <c r="T89" s="29" t="s">
        <v>321</v>
      </c>
      <c r="U89" s="145">
        <v>0.33</v>
      </c>
      <c r="V89" s="10" t="str">
        <f>VLOOKUP(D89,A!B$1:T$1125,16,FALSE)</f>
        <v/>
      </c>
      <c r="W89" s="10">
        <f t="shared" si="34"/>
        <v>0</v>
      </c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</row>
    <row r="90" spans="1:77" s="3" customFormat="1" ht="13.5" hidden="1" customHeight="1" x14ac:dyDescent="0.25">
      <c r="A90" t="str">
        <f>IF(R90=0,"",COUNTIF(A$13:A89,"&gt;0")+1)</f>
        <v/>
      </c>
      <c r="B90" s="4"/>
      <c r="C90" s="5" t="s">
        <v>22</v>
      </c>
      <c r="D90" s="7" t="s">
        <v>1459</v>
      </c>
      <c r="E90" s="31"/>
      <c r="F90" s="31"/>
      <c r="G90" s="6" t="s">
        <v>1460</v>
      </c>
      <c r="H90" s="7">
        <f>VLOOKUP(D90,A!B$1:L$1126,3,FALSE)</f>
        <v>0</v>
      </c>
      <c r="I90" s="31">
        <f>VLOOKUP(D90,A!B$1:L$1126,3,FALSE)</f>
        <v>0</v>
      </c>
      <c r="J90" s="92"/>
      <c r="K90" s="63" t="str">
        <f>VLOOKUP(D90,A!B$1:L$1126,6,FALSE)</f>
        <v/>
      </c>
      <c r="L90" s="162"/>
      <c r="M90" s="43" t="s">
        <v>1461</v>
      </c>
      <c r="N90" s="94">
        <f>VLOOKUP(D90,A!B$1:L$1125,2,FALSE)</f>
        <v>0</v>
      </c>
      <c r="O90" s="94">
        <f>VLOOKUP(D90,A!B$1:L$1126,4,FALSE)</f>
        <v>0</v>
      </c>
      <c r="P90" s="10">
        <v>10</v>
      </c>
      <c r="Q90" s="10">
        <v>2.69</v>
      </c>
      <c r="R90" s="10">
        <f t="shared" si="32"/>
        <v>0</v>
      </c>
      <c r="S90" s="10">
        <f t="shared" si="33"/>
        <v>0</v>
      </c>
      <c r="T90" s="29" t="s">
        <v>321</v>
      </c>
      <c r="U90" s="145">
        <v>0.33</v>
      </c>
      <c r="V90" s="10" t="str">
        <f>VLOOKUP(D90,A!B$1:T$1125,16,FALSE)</f>
        <v/>
      </c>
      <c r="W90" s="10">
        <f t="shared" si="34"/>
        <v>0</v>
      </c>
      <c r="X90" s="226"/>
      <c r="Y90" s="226"/>
      <c r="Z90" s="226"/>
      <c r="AA90" s="226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8"/>
      <c r="BR90" s="178"/>
      <c r="BS90" s="178"/>
      <c r="BT90" s="178"/>
      <c r="BU90" s="178"/>
      <c r="BV90" s="178"/>
      <c r="BW90" s="178"/>
      <c r="BX90" s="178"/>
      <c r="BY90" s="178"/>
    </row>
    <row r="91" spans="1:77" s="3" customFormat="1" ht="13.5" hidden="1" customHeight="1" x14ac:dyDescent="0.25">
      <c r="A91" t="str">
        <f>IF(R91=0,"",COUNTIF(A$13:A90,"&gt;0")+1)</f>
        <v/>
      </c>
      <c r="B91" s="4"/>
      <c r="C91" s="5" t="s">
        <v>22</v>
      </c>
      <c r="D91" s="7" t="s">
        <v>1465</v>
      </c>
      <c r="E91" s="31"/>
      <c r="F91" s="31"/>
      <c r="G91" s="6" t="s">
        <v>1463</v>
      </c>
      <c r="H91" s="7">
        <f>VLOOKUP(D91,A!B$1:L$1126,3,FALSE)</f>
        <v>0</v>
      </c>
      <c r="I91" s="31">
        <f>VLOOKUP(D91,A!B$1:L$1126,3,FALSE)</f>
        <v>0</v>
      </c>
      <c r="J91" s="92"/>
      <c r="K91" s="63" t="str">
        <f>VLOOKUP(D91,A!B$1:L$1126,6,FALSE)</f>
        <v/>
      </c>
      <c r="L91" s="162"/>
      <c r="M91" s="43" t="s">
        <v>1466</v>
      </c>
      <c r="N91" s="94">
        <f>VLOOKUP(D91,A!B$1:L$1125,2,FALSE)</f>
        <v>0</v>
      </c>
      <c r="O91" s="94">
        <f>VLOOKUP(D91,A!B$1:L$1126,4,FALSE)</f>
        <v>0</v>
      </c>
      <c r="P91" s="10">
        <v>10</v>
      </c>
      <c r="Q91" s="10">
        <v>2.69</v>
      </c>
      <c r="R91" s="10">
        <f t="shared" si="32"/>
        <v>0</v>
      </c>
      <c r="S91" s="10">
        <f t="shared" si="33"/>
        <v>0</v>
      </c>
      <c r="T91" s="29" t="s">
        <v>321</v>
      </c>
      <c r="U91" s="145">
        <v>0.33</v>
      </c>
      <c r="V91" s="10" t="str">
        <f>VLOOKUP(D91,A!B$1:T$1125,16,FALSE)</f>
        <v/>
      </c>
      <c r="W91" s="10">
        <f t="shared" si="34"/>
        <v>0</v>
      </c>
      <c r="X91" s="226"/>
      <c r="Y91" s="226"/>
      <c r="Z91" s="226"/>
      <c r="AA91" s="226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8"/>
      <c r="BN91" s="178"/>
      <c r="BO91" s="178"/>
      <c r="BP91" s="178"/>
      <c r="BQ91" s="178"/>
      <c r="BR91" s="178"/>
      <c r="BS91" s="178"/>
      <c r="BT91" s="178"/>
      <c r="BU91" s="178"/>
      <c r="BV91" s="178"/>
      <c r="BW91" s="178"/>
      <c r="BX91" s="178"/>
      <c r="BY91" s="178"/>
    </row>
    <row r="92" spans="1:77" s="3" customFormat="1" ht="13.5" hidden="1" customHeight="1" x14ac:dyDescent="0.25">
      <c r="A92" t="str">
        <f>IF(R92=0,"",COUNTIF(A$13:A91,"&gt;0")+1)</f>
        <v/>
      </c>
      <c r="B92" s="4"/>
      <c r="C92" s="5" t="s">
        <v>22</v>
      </c>
      <c r="D92" s="7" t="s">
        <v>1462</v>
      </c>
      <c r="E92" s="31"/>
      <c r="F92" s="31"/>
      <c r="G92" s="6" t="s">
        <v>1463</v>
      </c>
      <c r="H92" s="7">
        <f>VLOOKUP(D92,A!B$1:L$1126,3,FALSE)</f>
        <v>0</v>
      </c>
      <c r="I92" s="31">
        <f>VLOOKUP(D92,A!B$1:L$1126,3,FALSE)</f>
        <v>0</v>
      </c>
      <c r="J92" s="92"/>
      <c r="K92" s="63" t="str">
        <f>VLOOKUP(D92,A!B$1:L$1126,6,FALSE)</f>
        <v/>
      </c>
      <c r="L92" s="162"/>
      <c r="M92" s="43" t="s">
        <v>1464</v>
      </c>
      <c r="N92" s="94">
        <f>VLOOKUP(D92,A!B$1:L$1125,2,FALSE)</f>
        <v>0</v>
      </c>
      <c r="O92" s="94">
        <f>VLOOKUP(D92,A!B$1:L$1126,4,FALSE)</f>
        <v>0</v>
      </c>
      <c r="P92" s="10">
        <v>10</v>
      </c>
      <c r="Q92" s="10">
        <v>2.69</v>
      </c>
      <c r="R92" s="10">
        <f t="shared" si="32"/>
        <v>0</v>
      </c>
      <c r="S92" s="10">
        <f t="shared" si="33"/>
        <v>0</v>
      </c>
      <c r="T92" s="29" t="s">
        <v>321</v>
      </c>
      <c r="U92" s="145">
        <v>0.33</v>
      </c>
      <c r="V92" s="10" t="str">
        <f>VLOOKUP(D92,A!B$1:T$1125,16,FALSE)</f>
        <v/>
      </c>
      <c r="W92" s="10">
        <f t="shared" si="34"/>
        <v>0</v>
      </c>
      <c r="X92" s="226"/>
      <c r="Y92" s="226"/>
      <c r="Z92" s="226"/>
      <c r="AA92" s="226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8"/>
      <c r="BO92" s="178"/>
      <c r="BP92" s="178"/>
      <c r="BQ92" s="178"/>
      <c r="BR92" s="178"/>
      <c r="BS92" s="178"/>
      <c r="BT92" s="178"/>
      <c r="BU92" s="178"/>
      <c r="BV92" s="178"/>
      <c r="BW92" s="178"/>
      <c r="BX92" s="178"/>
      <c r="BY92" s="178"/>
    </row>
    <row r="93" spans="1:77" s="3" customFormat="1" ht="13.5" hidden="1" customHeight="1" x14ac:dyDescent="0.25">
      <c r="A93" t="str">
        <f>IF(R93=0,"",COUNTIF(A$13:A92,"&gt;0")+1)</f>
        <v/>
      </c>
      <c r="B93" s="4"/>
      <c r="C93" s="5" t="s">
        <v>22</v>
      </c>
      <c r="D93" s="7" t="s">
        <v>1467</v>
      </c>
      <c r="E93" s="31"/>
      <c r="F93" s="31"/>
      <c r="G93" s="6" t="s">
        <v>1463</v>
      </c>
      <c r="H93" s="7">
        <f>VLOOKUP(D93,A!B$1:L$1126,3,FALSE)</f>
        <v>0</v>
      </c>
      <c r="I93" s="31">
        <f>VLOOKUP(D93,A!B$1:L$1126,3,FALSE)</f>
        <v>0</v>
      </c>
      <c r="J93" s="92"/>
      <c r="K93" s="63" t="str">
        <f>VLOOKUP(D93,A!B$1:L$1126,6,FALSE)</f>
        <v/>
      </c>
      <c r="L93" s="162"/>
      <c r="M93" s="43" t="s">
        <v>1468</v>
      </c>
      <c r="N93" s="94">
        <f>VLOOKUP(D93,A!B$1:L$1125,2,FALSE)</f>
        <v>0</v>
      </c>
      <c r="O93" s="94">
        <f>VLOOKUP(D93,A!B$1:L$1126,4,FALSE)</f>
        <v>0</v>
      </c>
      <c r="P93" s="10">
        <v>10</v>
      </c>
      <c r="Q93" s="10">
        <v>2.69</v>
      </c>
      <c r="R93" s="10">
        <f t="shared" si="32"/>
        <v>0</v>
      </c>
      <c r="S93" s="10">
        <f t="shared" si="33"/>
        <v>0</v>
      </c>
      <c r="T93" s="29" t="s">
        <v>321</v>
      </c>
      <c r="U93" s="145">
        <v>0.33</v>
      </c>
      <c r="V93" s="10" t="str">
        <f>VLOOKUP(D93,A!B$1:T$1125,16,FALSE)</f>
        <v/>
      </c>
      <c r="W93" s="10">
        <f t="shared" si="34"/>
        <v>0</v>
      </c>
      <c r="X93" s="29"/>
      <c r="Y93" s="29"/>
      <c r="Z93" s="29"/>
      <c r="AA93" s="29"/>
    </row>
    <row r="94" spans="1:77" s="3" customFormat="1" ht="13.5" hidden="1" customHeight="1" x14ac:dyDescent="0.25">
      <c r="A94" t="str">
        <f>IF(R94=0,"",COUNTIF(A$13:A93,"&gt;0")+1)</f>
        <v/>
      </c>
      <c r="B94" s="4"/>
      <c r="C94" s="5" t="s">
        <v>22</v>
      </c>
      <c r="D94" s="7" t="s">
        <v>1469</v>
      </c>
      <c r="E94" s="31"/>
      <c r="F94" s="31"/>
      <c r="G94" s="6" t="s">
        <v>1463</v>
      </c>
      <c r="H94" s="7">
        <f>VLOOKUP(D94,A!B$1:L$1126,3,FALSE)</f>
        <v>0</v>
      </c>
      <c r="I94" s="31">
        <f>VLOOKUP(D94,A!B$1:L$1126,3,FALSE)</f>
        <v>0</v>
      </c>
      <c r="J94" s="92"/>
      <c r="K94" s="63" t="str">
        <f>VLOOKUP(D94,A!B$1:L$1126,6,FALSE)</f>
        <v/>
      </c>
      <c r="L94" s="162"/>
      <c r="M94" s="43" t="s">
        <v>1470</v>
      </c>
      <c r="N94" s="94">
        <f>VLOOKUP(D94,A!B$1:L$1125,2,FALSE)</f>
        <v>0</v>
      </c>
      <c r="O94" s="94">
        <f>VLOOKUP(D94,A!B$1:L$1126,4,FALSE)</f>
        <v>0</v>
      </c>
      <c r="P94" s="10">
        <v>10</v>
      </c>
      <c r="Q94" s="10">
        <v>2.69</v>
      </c>
      <c r="R94" s="10">
        <f t="shared" si="32"/>
        <v>0</v>
      </c>
      <c r="S94" s="10">
        <f t="shared" si="33"/>
        <v>0</v>
      </c>
      <c r="T94" s="29" t="s">
        <v>321</v>
      </c>
      <c r="U94" s="145">
        <v>0.33</v>
      </c>
      <c r="V94" s="10" t="str">
        <f>VLOOKUP(D94,A!B$1:T$1125,16,FALSE)</f>
        <v/>
      </c>
      <c r="W94" s="10">
        <f t="shared" si="34"/>
        <v>0</v>
      </c>
      <c r="X94" s="29"/>
      <c r="Y94" s="29"/>
      <c r="Z94" s="29"/>
      <c r="AA94" s="29"/>
    </row>
    <row r="95" spans="1:77" s="3" customFormat="1" ht="13.5" hidden="1" customHeight="1" x14ac:dyDescent="0.25">
      <c r="A95" t="str">
        <f>IF(R95=0,"",COUNTIF(A$13:A94,"&gt;0")+1)</f>
        <v/>
      </c>
      <c r="B95" s="4"/>
      <c r="C95" s="5" t="s">
        <v>22</v>
      </c>
      <c r="D95" s="22" t="s">
        <v>1471</v>
      </c>
      <c r="E95" s="89"/>
      <c r="F95" s="89"/>
      <c r="G95" s="23" t="s">
        <v>1472</v>
      </c>
      <c r="H95" s="7">
        <f>VLOOKUP(D95,A!B$1:L$1126,3,FALSE)</f>
        <v>0</v>
      </c>
      <c r="I95" s="31">
        <f>VLOOKUP(D95,A!B$1:L$1126,3,FALSE)</f>
        <v>0</v>
      </c>
      <c r="J95" s="92"/>
      <c r="K95" s="63" t="str">
        <f>VLOOKUP(D95,A!B$1:L$1126,6,FALSE)</f>
        <v/>
      </c>
      <c r="L95" s="162"/>
      <c r="M95" s="44" t="s">
        <v>1473</v>
      </c>
      <c r="N95" s="94">
        <f>VLOOKUP(D95,A!B$1:L$1125,2,FALSE)</f>
        <v>0</v>
      </c>
      <c r="O95" s="94">
        <f>VLOOKUP(D95,A!B$1:L$1126,4,FALSE)</f>
        <v>0</v>
      </c>
      <c r="P95" s="10">
        <v>10</v>
      </c>
      <c r="Q95" s="10">
        <v>2.69</v>
      </c>
      <c r="R95" s="10">
        <f t="shared" si="32"/>
        <v>0</v>
      </c>
      <c r="S95" s="10">
        <f t="shared" si="33"/>
        <v>0</v>
      </c>
      <c r="T95" s="29" t="s">
        <v>321</v>
      </c>
      <c r="U95" s="145">
        <v>0.33</v>
      </c>
      <c r="V95" s="10" t="str">
        <f>VLOOKUP(D95,A!B$1:T$1125,16,FALSE)</f>
        <v/>
      </c>
      <c r="W95" s="10">
        <f t="shared" si="34"/>
        <v>0</v>
      </c>
      <c r="X95" s="29"/>
      <c r="Y95" s="29"/>
      <c r="Z95" s="29"/>
      <c r="AA95" s="29"/>
    </row>
    <row r="96" spans="1:77" s="3" customFormat="1" ht="13.5" hidden="1" customHeight="1" x14ac:dyDescent="0.25">
      <c r="A96" t="str">
        <f>IF(R96=0,"",COUNTIF(A$13:A95,"&gt;0")+1)</f>
        <v/>
      </c>
      <c r="B96" s="4"/>
      <c r="C96" s="5" t="s">
        <v>22</v>
      </c>
      <c r="D96" s="172" t="s">
        <v>1474</v>
      </c>
      <c r="E96" s="173"/>
      <c r="F96" s="173"/>
      <c r="G96" s="6" t="s">
        <v>1475</v>
      </c>
      <c r="H96" s="7">
        <f>VLOOKUP(D96,A!B$1:L$1126,3,FALSE)</f>
        <v>0</v>
      </c>
      <c r="I96" s="31">
        <f>VLOOKUP(D96,A!B$1:L$1126,3,FALSE)</f>
        <v>0</v>
      </c>
      <c r="J96" s="92"/>
      <c r="K96" s="63" t="str">
        <f>VLOOKUP(D96,A!B$1:L$1126,6,FALSE)</f>
        <v/>
      </c>
      <c r="L96" s="162"/>
      <c r="M96" s="43" t="s">
        <v>1476</v>
      </c>
      <c r="N96" s="94">
        <f>VLOOKUP(D96,A!B$1:L$1125,2,FALSE)</f>
        <v>0</v>
      </c>
      <c r="O96" s="94">
        <f>VLOOKUP(D96,A!B$1:L$1126,4,FALSE)</f>
        <v>0</v>
      </c>
      <c r="P96" s="10">
        <v>10</v>
      </c>
      <c r="Q96" s="10">
        <v>2.69</v>
      </c>
      <c r="R96" s="10">
        <f t="shared" si="32"/>
        <v>0</v>
      </c>
      <c r="S96" s="10">
        <f t="shared" si="33"/>
        <v>0</v>
      </c>
      <c r="T96" s="29" t="s">
        <v>321</v>
      </c>
      <c r="U96" s="145">
        <v>0.33</v>
      </c>
      <c r="V96" s="10" t="str">
        <f>VLOOKUP(D96,A!B$1:T$1125,16,FALSE)</f>
        <v/>
      </c>
      <c r="W96" s="10">
        <f t="shared" si="34"/>
        <v>0</v>
      </c>
      <c r="X96" s="29"/>
      <c r="Y96" s="29"/>
      <c r="Z96" s="29"/>
      <c r="AA96" s="29"/>
    </row>
    <row r="97" spans="1:67" s="3" customFormat="1" ht="13.5" hidden="1" customHeight="1" x14ac:dyDescent="0.25">
      <c r="A97" t="str">
        <f>IF(R97=0,"",COUNTIF(A$13:A96,"&gt;0")+1)</f>
        <v/>
      </c>
      <c r="B97" s="4"/>
      <c r="C97" s="5" t="s">
        <v>22</v>
      </c>
      <c r="D97" s="7" t="s">
        <v>1477</v>
      </c>
      <c r="E97" s="31"/>
      <c r="F97" s="31"/>
      <c r="G97" s="6" t="s">
        <v>30</v>
      </c>
      <c r="H97" s="7">
        <f>VLOOKUP(D97,A!B$1:L$1126,3,FALSE)</f>
        <v>0</v>
      </c>
      <c r="I97" s="31">
        <f>VLOOKUP(D97,A!B$1:L$1126,3,FALSE)</f>
        <v>0</v>
      </c>
      <c r="J97" s="92"/>
      <c r="K97" s="63" t="str">
        <f>VLOOKUP(D97,A!B$1:L$1126,6,FALSE)</f>
        <v/>
      </c>
      <c r="L97" s="162"/>
      <c r="M97" s="43" t="s">
        <v>1478</v>
      </c>
      <c r="N97" s="94">
        <f>VLOOKUP(D97,A!B$1:L$1125,2,FALSE)</f>
        <v>0</v>
      </c>
      <c r="O97" s="94">
        <f>VLOOKUP(D97,A!B$1:L$1126,4,FALSE)</f>
        <v>0</v>
      </c>
      <c r="P97" s="10">
        <v>10</v>
      </c>
      <c r="Q97" s="10">
        <v>2.69</v>
      </c>
      <c r="R97" s="10">
        <f t="shared" si="32"/>
        <v>0</v>
      </c>
      <c r="S97" s="10">
        <f t="shared" si="33"/>
        <v>0</v>
      </c>
      <c r="T97" s="29" t="s">
        <v>321</v>
      </c>
      <c r="U97" s="145">
        <v>0.33</v>
      </c>
      <c r="V97" s="10" t="str">
        <f>VLOOKUP(D97,A!B$1:T$1125,16,FALSE)</f>
        <v/>
      </c>
      <c r="W97" s="10">
        <f t="shared" si="34"/>
        <v>0</v>
      </c>
      <c r="X97" s="29"/>
      <c r="Y97" s="29"/>
      <c r="Z97" s="29"/>
      <c r="AA97" s="29"/>
    </row>
    <row r="98" spans="1:67" s="3" customFormat="1" ht="13.5" hidden="1" customHeight="1" x14ac:dyDescent="0.25">
      <c r="A98" t="str">
        <f>IF(R98=0,"",COUNTIF(A$13:A97,"&gt;0")+1)</f>
        <v/>
      </c>
      <c r="B98" s="4"/>
      <c r="C98" s="5" t="s">
        <v>22</v>
      </c>
      <c r="D98" s="7" t="s">
        <v>1479</v>
      </c>
      <c r="E98" s="31"/>
      <c r="F98" s="31"/>
      <c r="G98" s="6" t="s">
        <v>30</v>
      </c>
      <c r="H98" s="7">
        <f>VLOOKUP(D98,A!B$1:L$1126,3,FALSE)</f>
        <v>0</v>
      </c>
      <c r="I98" s="31">
        <f>VLOOKUP(D98,A!B$1:L$1126,3,FALSE)</f>
        <v>0</v>
      </c>
      <c r="J98" s="92"/>
      <c r="K98" s="63" t="str">
        <f>VLOOKUP(D98,A!B$1:L$1126,6,FALSE)</f>
        <v/>
      </c>
      <c r="L98" s="162"/>
      <c r="M98" s="43" t="s">
        <v>1480</v>
      </c>
      <c r="N98" s="94">
        <f>VLOOKUP(D98,A!B$1:L$1125,2,FALSE)</f>
        <v>0</v>
      </c>
      <c r="O98" s="94">
        <f>VLOOKUP(D98,A!B$1:L$1126,4,FALSE)</f>
        <v>0</v>
      </c>
      <c r="P98" s="10">
        <v>10</v>
      </c>
      <c r="Q98" s="10">
        <v>2.69</v>
      </c>
      <c r="R98" s="10">
        <f t="shared" si="32"/>
        <v>0</v>
      </c>
      <c r="S98" s="10">
        <f t="shared" si="33"/>
        <v>0</v>
      </c>
      <c r="T98" s="29" t="s">
        <v>321</v>
      </c>
      <c r="U98" s="145">
        <v>0.33</v>
      </c>
      <c r="V98" s="10" t="str">
        <f>VLOOKUP(D98,A!B$1:T$1125,16,FALSE)</f>
        <v/>
      </c>
      <c r="W98" s="10">
        <f t="shared" si="34"/>
        <v>0</v>
      </c>
      <c r="X98" s="29"/>
      <c r="Y98" s="29"/>
      <c r="Z98" s="29"/>
      <c r="AA98" s="29"/>
    </row>
    <row r="99" spans="1:67" s="3" customFormat="1" ht="13.5" hidden="1" customHeight="1" x14ac:dyDescent="0.25">
      <c r="A99" t="str">
        <f>IF(R99=0,"",COUNTIF(A$13:A98,"&gt;0")+1)</f>
        <v/>
      </c>
      <c r="B99" s="4"/>
      <c r="C99" s="5" t="s">
        <v>22</v>
      </c>
      <c r="D99" s="7" t="s">
        <v>1481</v>
      </c>
      <c r="E99" s="31"/>
      <c r="F99" s="31"/>
      <c r="G99" s="6" t="s">
        <v>30</v>
      </c>
      <c r="H99" s="7">
        <f>VLOOKUP(D99,A!B$1:L$1126,3,FALSE)</f>
        <v>0</v>
      </c>
      <c r="I99" s="31">
        <f>VLOOKUP(D99,A!B$1:L$1126,3,FALSE)</f>
        <v>0</v>
      </c>
      <c r="J99" s="92"/>
      <c r="K99" s="63" t="str">
        <f>VLOOKUP(D99,A!B$1:L$1126,6,FALSE)</f>
        <v/>
      </c>
      <c r="L99" s="162"/>
      <c r="M99" s="43" t="s">
        <v>1482</v>
      </c>
      <c r="N99" s="94">
        <f>VLOOKUP(D99,A!B$1:L$1125,2,FALSE)</f>
        <v>0</v>
      </c>
      <c r="O99" s="94">
        <f>VLOOKUP(D99,A!B$1:L$1126,4,FALSE)</f>
        <v>0</v>
      </c>
      <c r="P99" s="10">
        <v>10</v>
      </c>
      <c r="Q99" s="10">
        <v>2.69</v>
      </c>
      <c r="R99" s="10">
        <f t="shared" si="32"/>
        <v>0</v>
      </c>
      <c r="S99" s="10">
        <f t="shared" si="33"/>
        <v>0</v>
      </c>
      <c r="T99" s="29" t="s">
        <v>321</v>
      </c>
      <c r="U99" s="145">
        <v>0.33</v>
      </c>
      <c r="V99" s="10" t="str">
        <f>VLOOKUP(D99,A!B$1:T$1125,16,FALSE)</f>
        <v/>
      </c>
      <c r="W99" s="10">
        <f t="shared" si="34"/>
        <v>0</v>
      </c>
      <c r="X99" s="29"/>
      <c r="Y99" s="29"/>
      <c r="Z99" s="29"/>
      <c r="AA99" s="29"/>
    </row>
    <row r="100" spans="1:67" s="3" customFormat="1" ht="13.5" hidden="1" customHeight="1" x14ac:dyDescent="0.25">
      <c r="A100" t="str">
        <f>IF(R100=0,"",COUNTIF(A$13:A99,"&gt;0")+1)</f>
        <v/>
      </c>
      <c r="B100" s="4"/>
      <c r="C100" s="5" t="s">
        <v>22</v>
      </c>
      <c r="D100" s="7" t="s">
        <v>1483</v>
      </c>
      <c r="E100" s="31"/>
      <c r="F100" s="31"/>
      <c r="G100" s="6" t="s">
        <v>30</v>
      </c>
      <c r="H100" s="7">
        <f>VLOOKUP(D100,A!B$1:L$1126,3,FALSE)</f>
        <v>0</v>
      </c>
      <c r="I100" s="31">
        <f>VLOOKUP(D100,A!B$1:L$1126,3,FALSE)</f>
        <v>0</v>
      </c>
      <c r="J100" s="92"/>
      <c r="K100" s="63" t="str">
        <f>VLOOKUP(D100,A!B$1:L$1126,6,FALSE)</f>
        <v/>
      </c>
      <c r="L100" s="162"/>
      <c r="M100" s="43" t="s">
        <v>1484</v>
      </c>
      <c r="N100" s="94">
        <f>VLOOKUP(D100,A!B$1:L$1125,2,FALSE)</f>
        <v>0</v>
      </c>
      <c r="O100" s="94">
        <f>VLOOKUP(D100,A!B$1:L$1126,4,FALSE)</f>
        <v>0</v>
      </c>
      <c r="P100" s="10">
        <v>10</v>
      </c>
      <c r="Q100" s="10">
        <v>2.69</v>
      </c>
      <c r="R100" s="10">
        <f t="shared" si="32"/>
        <v>0</v>
      </c>
      <c r="S100" s="10">
        <f t="shared" si="33"/>
        <v>0</v>
      </c>
      <c r="T100" s="29" t="s">
        <v>321</v>
      </c>
      <c r="U100" s="145">
        <v>0.33</v>
      </c>
      <c r="V100" s="10" t="str">
        <f>VLOOKUP(D100,A!B$1:T$1125,16,FALSE)</f>
        <v/>
      </c>
      <c r="W100" s="10">
        <f t="shared" si="34"/>
        <v>0</v>
      </c>
      <c r="X100" s="29"/>
      <c r="Y100" s="29"/>
      <c r="Z100" s="29"/>
      <c r="AA100" s="29"/>
    </row>
    <row r="101" spans="1:67" s="3" customFormat="1" ht="13.5" customHeight="1" x14ac:dyDescent="0.25">
      <c r="A101" t="str">
        <f>IF(R101=0,"",COUNTIF(A$13:A100,"&gt;0")+1)</f>
        <v/>
      </c>
      <c r="B101" s="4"/>
      <c r="C101" s="5" t="s">
        <v>22</v>
      </c>
      <c r="D101" s="7" t="s">
        <v>190</v>
      </c>
      <c r="E101" s="31"/>
      <c r="F101" s="31"/>
      <c r="G101" s="6" t="s">
        <v>30</v>
      </c>
      <c r="H101" s="7">
        <f>VLOOKUP(D101,A!B$1:L$1126,3,FALSE)</f>
        <v>2</v>
      </c>
      <c r="I101" s="31">
        <f>VLOOKUP(D101,A!B$1:L$1126,3,FALSE)</f>
        <v>2</v>
      </c>
      <c r="J101" s="92"/>
      <c r="K101" s="91" t="str">
        <f>VLOOKUP(D101,A!B$1:L$1126,6,FALSE)</f>
        <v/>
      </c>
      <c r="L101" s="2"/>
      <c r="M101" s="42" t="s">
        <v>191</v>
      </c>
      <c r="N101" s="94" t="str">
        <f>VLOOKUP(D101,A!B$1:L$1125,2,FALSE)</f>
        <v>y</v>
      </c>
      <c r="O101" s="94">
        <f>VLOOKUP(D101,A!B$1:L$1126,4,FALSE)</f>
        <v>1</v>
      </c>
      <c r="P101" s="10">
        <v>10</v>
      </c>
      <c r="Q101" s="10">
        <v>2.69</v>
      </c>
      <c r="R101" s="10">
        <f t="shared" si="32"/>
        <v>0</v>
      </c>
      <c r="S101" s="10">
        <f t="shared" si="33"/>
        <v>0</v>
      </c>
      <c r="T101" s="29" t="s">
        <v>321</v>
      </c>
      <c r="U101" s="145">
        <v>0.33</v>
      </c>
      <c r="V101" s="10" t="str">
        <f>VLOOKUP(D101,A!B$1:T$1125,16,FALSE)</f>
        <v/>
      </c>
      <c r="W101" s="10">
        <f t="shared" si="34"/>
        <v>0</v>
      </c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</row>
    <row r="102" spans="1:67" s="3" customFormat="1" ht="13.5" hidden="1" customHeight="1" x14ac:dyDescent="0.25">
      <c r="A102" t="str">
        <f>IF(R102=0,"",COUNTIF(A$13:A101,"&gt;0")+1)</f>
        <v/>
      </c>
      <c r="B102" s="4"/>
      <c r="C102" s="5" t="s">
        <v>22</v>
      </c>
      <c r="D102" s="7" t="s">
        <v>228</v>
      </c>
      <c r="E102" s="31"/>
      <c r="F102" s="31"/>
      <c r="G102" s="6" t="s">
        <v>30</v>
      </c>
      <c r="H102" s="7">
        <f>VLOOKUP(D102,A!B$1:L$1126,3,FALSE)</f>
        <v>0</v>
      </c>
      <c r="I102" s="31">
        <f>VLOOKUP(D102,A!B$1:L$1126,3,FALSE)</f>
        <v>0</v>
      </c>
      <c r="J102" s="92"/>
      <c r="K102" s="63" t="str">
        <f>VLOOKUP(D102,A!B$1:L$1126,6,FALSE)</f>
        <v/>
      </c>
      <c r="L102" s="2"/>
      <c r="M102" s="43" t="s">
        <v>229</v>
      </c>
      <c r="N102" s="94">
        <f>VLOOKUP(D102,A!B$1:L$1125,2,FALSE)</f>
        <v>0</v>
      </c>
      <c r="O102" s="94">
        <f>VLOOKUP(D102,A!B$1:L$1126,4,FALSE)</f>
        <v>0</v>
      </c>
      <c r="P102" s="10">
        <v>10</v>
      </c>
      <c r="Q102" s="10">
        <v>2.69</v>
      </c>
      <c r="R102" s="10">
        <f t="shared" si="32"/>
        <v>0</v>
      </c>
      <c r="S102" s="10">
        <f t="shared" si="33"/>
        <v>0</v>
      </c>
      <c r="T102" s="29" t="s">
        <v>321</v>
      </c>
      <c r="U102" s="145">
        <v>0.33</v>
      </c>
      <c r="V102" s="10" t="str">
        <f>VLOOKUP(D102,A!B$1:T$1125,16,FALSE)</f>
        <v/>
      </c>
      <c r="W102" s="10">
        <f t="shared" si="34"/>
        <v>0</v>
      </c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</row>
    <row r="103" spans="1:67" s="3" customFormat="1" ht="13.5" hidden="1" customHeight="1" x14ac:dyDescent="0.25">
      <c r="A103" t="str">
        <f>IF(R103=0,"",COUNTIF(A$13:A102,"&gt;0")+1)</f>
        <v/>
      </c>
      <c r="B103" s="4"/>
      <c r="C103" s="5" t="s">
        <v>22</v>
      </c>
      <c r="D103" s="7" t="s">
        <v>1485</v>
      </c>
      <c r="E103" s="31"/>
      <c r="F103" s="31"/>
      <c r="G103" s="6" t="s">
        <v>1486</v>
      </c>
      <c r="H103" s="7">
        <f>VLOOKUP(D103,A!B$1:L$1126,3,FALSE)</f>
        <v>0</v>
      </c>
      <c r="I103" s="31">
        <f>VLOOKUP(D103,A!B$1:L$1126,3,FALSE)</f>
        <v>0</v>
      </c>
      <c r="J103" s="92"/>
      <c r="K103" s="63" t="str">
        <f>VLOOKUP(D103,A!B$1:L$1126,6,FALSE)</f>
        <v/>
      </c>
      <c r="L103" s="162"/>
      <c r="M103" s="42" t="s">
        <v>1487</v>
      </c>
      <c r="N103" s="94">
        <f>VLOOKUP(D103,A!B$1:L$1125,2,FALSE)</f>
        <v>0</v>
      </c>
      <c r="O103" s="94">
        <f>VLOOKUP(D103,A!B$1:L$1126,4,FALSE)</f>
        <v>0</v>
      </c>
      <c r="P103" s="10">
        <v>10</v>
      </c>
      <c r="Q103" s="10">
        <v>2.69</v>
      </c>
      <c r="R103" s="10">
        <f t="shared" si="32"/>
        <v>0</v>
      </c>
      <c r="S103" s="10">
        <f t="shared" si="33"/>
        <v>0</v>
      </c>
      <c r="T103" s="29" t="s">
        <v>321</v>
      </c>
      <c r="U103" s="145">
        <v>0.33</v>
      </c>
      <c r="V103" s="10" t="str">
        <f>VLOOKUP(D103,A!B$1:T$1125,16,FALSE)</f>
        <v/>
      </c>
      <c r="W103" s="10">
        <f t="shared" si="34"/>
        <v>0</v>
      </c>
      <c r="X103" s="29"/>
      <c r="Y103" s="29"/>
      <c r="Z103" s="29"/>
      <c r="AA103" s="29"/>
    </row>
    <row r="104" spans="1:67" s="3" customFormat="1" ht="13.5" hidden="1" customHeight="1" x14ac:dyDescent="0.25">
      <c r="A104" t="str">
        <f>IF(R104=0,"",COUNTIF(A$13:A103,"&gt;0")+1)</f>
        <v/>
      </c>
      <c r="B104" s="4"/>
      <c r="C104" s="5" t="s">
        <v>22</v>
      </c>
      <c r="D104" s="18" t="s">
        <v>1488</v>
      </c>
      <c r="E104" s="87"/>
      <c r="F104" s="87"/>
      <c r="G104" s="20" t="s">
        <v>1489</v>
      </c>
      <c r="H104" s="7">
        <f>VLOOKUP(D104,A!B$1:L$1126,3,FALSE)</f>
        <v>0</v>
      </c>
      <c r="I104" s="31">
        <f>VLOOKUP(D104,A!B$1:L$1126,3,FALSE)</f>
        <v>0</v>
      </c>
      <c r="J104" s="92"/>
      <c r="K104" s="63" t="str">
        <f>VLOOKUP(D104,A!B$1:L$1126,6,FALSE)</f>
        <v/>
      </c>
      <c r="L104" s="162"/>
      <c r="M104" s="179" t="s">
        <v>1490</v>
      </c>
      <c r="N104" s="94">
        <f>VLOOKUP(D104,A!B$1:L$1125,2,FALSE)</f>
        <v>0</v>
      </c>
      <c r="O104" s="94">
        <f>VLOOKUP(D104,A!B$1:L$1126,4,FALSE)</f>
        <v>0</v>
      </c>
      <c r="P104" s="10">
        <v>10</v>
      </c>
      <c r="Q104" s="10">
        <v>2.69</v>
      </c>
      <c r="R104" s="10">
        <f t="shared" si="32"/>
        <v>0</v>
      </c>
      <c r="S104" s="10">
        <f t="shared" si="33"/>
        <v>0</v>
      </c>
      <c r="T104" s="29" t="s">
        <v>321</v>
      </c>
      <c r="U104" s="145">
        <v>0.33</v>
      </c>
      <c r="V104" s="10" t="str">
        <f>VLOOKUP(D104,A!B$1:T$1125,16,FALSE)</f>
        <v/>
      </c>
      <c r="W104" s="10">
        <f t="shared" si="34"/>
        <v>0</v>
      </c>
      <c r="X104" s="29"/>
      <c r="Y104" s="29"/>
      <c r="Z104" s="29"/>
      <c r="AA104" s="29"/>
    </row>
    <row r="105" spans="1:67" s="3" customFormat="1" ht="13.5" hidden="1" customHeight="1" x14ac:dyDescent="0.25">
      <c r="A105" t="str">
        <f>IF(R105=0,"",COUNTIF(A$13:A104,"&gt;0")+1)</f>
        <v/>
      </c>
      <c r="B105" s="4"/>
      <c r="C105" s="5" t="s">
        <v>22</v>
      </c>
      <c r="D105" s="7" t="s">
        <v>245</v>
      </c>
      <c r="E105" s="31"/>
      <c r="F105" s="31"/>
      <c r="G105" s="6" t="s">
        <v>246</v>
      </c>
      <c r="H105" s="7">
        <f>VLOOKUP(D105,A!B$1:L$1126,3,FALSE)</f>
        <v>2</v>
      </c>
      <c r="I105" s="31">
        <f>VLOOKUP(D105,A!B$1:L$1126,3,FALSE)</f>
        <v>2</v>
      </c>
      <c r="J105" s="92"/>
      <c r="K105" s="63" t="str">
        <f>VLOOKUP(D105,A!B$1:L$1126,6,FALSE)</f>
        <v/>
      </c>
      <c r="L105" s="2"/>
      <c r="M105" s="43" t="s">
        <v>247</v>
      </c>
      <c r="N105" s="94" t="str">
        <f>VLOOKUP(D105,A!B$1:L$1125,2,FALSE)</f>
        <v>y</v>
      </c>
      <c r="O105" s="94">
        <f>VLOOKUP(D105,A!B$1:L$1126,4,FALSE)</f>
        <v>1</v>
      </c>
      <c r="P105" s="10">
        <v>10</v>
      </c>
      <c r="Q105" s="10">
        <v>2.69</v>
      </c>
      <c r="R105" s="10">
        <f t="shared" si="32"/>
        <v>0</v>
      </c>
      <c r="S105" s="10">
        <f t="shared" si="33"/>
        <v>0</v>
      </c>
      <c r="T105" s="29" t="s">
        <v>321</v>
      </c>
      <c r="U105" s="145">
        <v>0.33</v>
      </c>
      <c r="V105" s="10" t="str">
        <f>VLOOKUP(D105,A!B$1:T$1125,16,FALSE)</f>
        <v/>
      </c>
      <c r="W105" s="10">
        <f t="shared" si="34"/>
        <v>0</v>
      </c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</row>
    <row r="106" spans="1:67" s="3" customFormat="1" ht="13.5" hidden="1" customHeight="1" x14ac:dyDescent="0.25">
      <c r="A106" t="str">
        <f>IF(R106=0,"",COUNTIF(A$13:A105,"&gt;0")+1)</f>
        <v/>
      </c>
      <c r="B106" s="4"/>
      <c r="C106" s="5" t="s">
        <v>22</v>
      </c>
      <c r="D106" s="7" t="s">
        <v>1491</v>
      </c>
      <c r="E106" s="31"/>
      <c r="F106" s="31"/>
      <c r="G106" s="6" t="s">
        <v>1492</v>
      </c>
      <c r="H106" s="7">
        <f>VLOOKUP(D106,A!B$1:L$1126,3,FALSE)</f>
        <v>0</v>
      </c>
      <c r="I106" s="31">
        <f>VLOOKUP(D106,A!B$1:L$1126,3,FALSE)</f>
        <v>0</v>
      </c>
      <c r="J106" s="92"/>
      <c r="K106" s="63" t="str">
        <f>VLOOKUP(D106,A!B$1:L$1126,6,FALSE)</f>
        <v/>
      </c>
      <c r="L106" s="162"/>
      <c r="M106" s="43" t="s">
        <v>1493</v>
      </c>
      <c r="N106" s="94">
        <f>VLOOKUP(D106,A!B$1:L$1125,2,FALSE)</f>
        <v>0</v>
      </c>
      <c r="O106" s="94">
        <f>VLOOKUP(D106,A!B$1:L$1126,4,FALSE)</f>
        <v>0</v>
      </c>
      <c r="P106" s="10">
        <v>10</v>
      </c>
      <c r="Q106" s="10">
        <v>2.69</v>
      </c>
      <c r="R106" s="10">
        <f t="shared" si="32"/>
        <v>0</v>
      </c>
      <c r="S106" s="10">
        <f t="shared" si="33"/>
        <v>0</v>
      </c>
      <c r="T106" s="29" t="s">
        <v>321</v>
      </c>
      <c r="U106" s="145">
        <v>0.33</v>
      </c>
      <c r="V106" s="10" t="str">
        <f>VLOOKUP(D106,A!B$1:T$1125,16,FALSE)</f>
        <v/>
      </c>
      <c r="W106" s="10">
        <f t="shared" si="34"/>
        <v>0</v>
      </c>
      <c r="X106" s="29"/>
      <c r="Y106" s="29"/>
      <c r="Z106" s="29"/>
      <c r="AA106" s="29"/>
    </row>
    <row r="107" spans="1:67" s="3" customFormat="1" ht="13.5" hidden="1" customHeight="1" x14ac:dyDescent="0.25">
      <c r="A107" t="str">
        <f>IF(R107=0,"",COUNTIF(A$13:A106,"&gt;0")+1)</f>
        <v/>
      </c>
      <c r="B107" s="4"/>
      <c r="C107" s="5" t="s">
        <v>22</v>
      </c>
      <c r="D107" s="7" t="s">
        <v>1494</v>
      </c>
      <c r="E107" s="31"/>
      <c r="F107" s="31"/>
      <c r="G107" s="6" t="s">
        <v>1495</v>
      </c>
      <c r="H107" s="7">
        <f>VLOOKUP(D107,A!B$1:L$1126,3,FALSE)</f>
        <v>0</v>
      </c>
      <c r="I107" s="31">
        <f>VLOOKUP(D107,A!B$1:L$1126,3,FALSE)</f>
        <v>0</v>
      </c>
      <c r="J107" s="92"/>
      <c r="K107" s="63" t="str">
        <f>VLOOKUP(D107,A!B$1:L$1126,6,FALSE)</f>
        <v/>
      </c>
      <c r="L107" s="162"/>
      <c r="M107" s="43" t="s">
        <v>1496</v>
      </c>
      <c r="N107" s="94">
        <f>VLOOKUP(D107,A!B$1:L$1125,2,FALSE)</f>
        <v>0</v>
      </c>
      <c r="O107" s="94">
        <f>VLOOKUP(D107,A!B$1:L$1126,4,FALSE)</f>
        <v>0</v>
      </c>
      <c r="P107" s="10">
        <v>10</v>
      </c>
      <c r="Q107" s="10">
        <v>2.69</v>
      </c>
      <c r="R107" s="10">
        <f t="shared" si="32"/>
        <v>0</v>
      </c>
      <c r="S107" s="10">
        <f t="shared" si="33"/>
        <v>0</v>
      </c>
      <c r="T107" s="29" t="s">
        <v>321</v>
      </c>
      <c r="U107" s="145">
        <v>0.33</v>
      </c>
      <c r="V107" s="10" t="str">
        <f>VLOOKUP(D107,A!B$1:T$1125,16,FALSE)</f>
        <v/>
      </c>
      <c r="W107" s="10">
        <f t="shared" si="34"/>
        <v>0</v>
      </c>
      <c r="X107" s="29"/>
      <c r="Y107" s="29"/>
      <c r="Z107" s="29"/>
      <c r="AA107" s="29"/>
    </row>
    <row r="108" spans="1:67" s="3" customFormat="1" ht="13.5" hidden="1" customHeight="1" x14ac:dyDescent="0.25">
      <c r="A108" t="str">
        <f>IF(R108=0,"",COUNTIF(A$13:A107,"&gt;0")+1)</f>
        <v/>
      </c>
      <c r="B108" s="4"/>
      <c r="C108" s="5" t="s">
        <v>22</v>
      </c>
      <c r="D108" s="7" t="s">
        <v>1497</v>
      </c>
      <c r="E108" s="31"/>
      <c r="F108" s="31"/>
      <c r="G108" s="6" t="s">
        <v>1498</v>
      </c>
      <c r="H108" s="7">
        <f>VLOOKUP(D108,A!B$1:L$1126,3,FALSE)</f>
        <v>0</v>
      </c>
      <c r="I108" s="31">
        <f>VLOOKUP(D108,A!B$1:L$1126,3,FALSE)</f>
        <v>0</v>
      </c>
      <c r="J108" s="92"/>
      <c r="K108" s="63" t="str">
        <f>VLOOKUP(D108,A!B$1:L$1126,6,FALSE)</f>
        <v/>
      </c>
      <c r="L108" s="162"/>
      <c r="M108" s="42" t="s">
        <v>1499</v>
      </c>
      <c r="N108" s="94">
        <f>VLOOKUP(D108,A!B$1:L$1125,2,FALSE)</f>
        <v>0</v>
      </c>
      <c r="O108" s="94">
        <f>VLOOKUP(D108,A!B$1:L$1126,4,FALSE)</f>
        <v>0</v>
      </c>
      <c r="P108" s="10">
        <v>10</v>
      </c>
      <c r="Q108" s="10">
        <v>2.69</v>
      </c>
      <c r="R108" s="10">
        <f t="shared" si="32"/>
        <v>0</v>
      </c>
      <c r="S108" s="10">
        <f t="shared" si="33"/>
        <v>0</v>
      </c>
      <c r="T108" s="29" t="s">
        <v>321</v>
      </c>
      <c r="U108" s="145">
        <v>0.33</v>
      </c>
      <c r="V108" s="10" t="str">
        <f>VLOOKUP(D108,A!B$1:T$1125,16,FALSE)</f>
        <v/>
      </c>
      <c r="W108" s="10">
        <f t="shared" si="34"/>
        <v>0</v>
      </c>
      <c r="X108" s="29"/>
      <c r="Y108" s="29"/>
      <c r="Z108" s="29"/>
      <c r="AA108" s="29"/>
    </row>
    <row r="109" spans="1:67" s="3" customFormat="1" ht="13.5" hidden="1" customHeight="1" x14ac:dyDescent="0.25">
      <c r="A109" t="str">
        <f>IF(R109=0,"",COUNTIF(A$13:A108,"&gt;0")+1)</f>
        <v/>
      </c>
      <c r="B109" s="4"/>
      <c r="C109" s="5" t="s">
        <v>22</v>
      </c>
      <c r="D109" s="7" t="s">
        <v>1500</v>
      </c>
      <c r="E109" s="31"/>
      <c r="F109" s="31"/>
      <c r="G109" s="6" t="s">
        <v>1501</v>
      </c>
      <c r="H109" s="7">
        <f>VLOOKUP(D109,A!B$1:L$1126,3,FALSE)</f>
        <v>0</v>
      </c>
      <c r="I109" s="31">
        <f>VLOOKUP(D109,A!B$1:L$1126,3,FALSE)</f>
        <v>0</v>
      </c>
      <c r="J109" s="92"/>
      <c r="K109" s="63" t="str">
        <f>VLOOKUP(D109,A!B$1:L$1126,6,FALSE)</f>
        <v/>
      </c>
      <c r="L109" s="162"/>
      <c r="M109" s="43" t="s">
        <v>1502</v>
      </c>
      <c r="N109" s="94">
        <f>VLOOKUP(D109,A!B$1:L$1125,2,FALSE)</f>
        <v>0</v>
      </c>
      <c r="O109" s="94">
        <f>VLOOKUP(D109,A!B$1:L$1126,4,FALSE)</f>
        <v>0</v>
      </c>
      <c r="P109" s="10">
        <v>10</v>
      </c>
      <c r="Q109" s="10">
        <v>2.69</v>
      </c>
      <c r="R109" s="10">
        <f t="shared" si="32"/>
        <v>0</v>
      </c>
      <c r="S109" s="10">
        <f t="shared" si="33"/>
        <v>0</v>
      </c>
      <c r="T109" s="29" t="s">
        <v>321</v>
      </c>
      <c r="U109" s="145">
        <v>0.33</v>
      </c>
      <c r="V109" s="10" t="str">
        <f>VLOOKUP(D109,A!B$1:T$1125,16,FALSE)</f>
        <v/>
      </c>
      <c r="W109" s="10">
        <f t="shared" si="34"/>
        <v>0</v>
      </c>
      <c r="X109" s="29"/>
      <c r="Y109" s="29"/>
      <c r="Z109" s="29"/>
      <c r="AA109" s="29"/>
    </row>
    <row r="110" spans="1:67" s="3" customFormat="1" ht="13.5" hidden="1" customHeight="1" x14ac:dyDescent="0.25">
      <c r="A110" t="str">
        <f>IF(R110=0,"",COUNTIF(A$13:A109,"&gt;0")+1)</f>
        <v/>
      </c>
      <c r="B110" s="4"/>
      <c r="C110" s="5" t="s">
        <v>22</v>
      </c>
      <c r="D110" s="172" t="s">
        <v>1503</v>
      </c>
      <c r="E110" s="173"/>
      <c r="F110" s="173"/>
      <c r="G110" s="6" t="s">
        <v>1504</v>
      </c>
      <c r="H110" s="7">
        <f>VLOOKUP(D110,A!B$1:L$1126,3,FALSE)</f>
        <v>0</v>
      </c>
      <c r="I110" s="31">
        <f>VLOOKUP(D110,A!B$1:L$1126,3,FALSE)</f>
        <v>0</v>
      </c>
      <c r="J110" s="92"/>
      <c r="K110" s="63" t="str">
        <f>VLOOKUP(D110,A!B$1:L$1126,6,FALSE)</f>
        <v/>
      </c>
      <c r="L110" s="162"/>
      <c r="M110" s="43" t="s">
        <v>1505</v>
      </c>
      <c r="N110" s="94">
        <f>VLOOKUP(D110,A!B$1:L$1125,2,FALSE)</f>
        <v>0</v>
      </c>
      <c r="O110" s="94">
        <f>VLOOKUP(D110,A!B$1:L$1126,4,FALSE)</f>
        <v>0</v>
      </c>
      <c r="P110" s="10">
        <v>10</v>
      </c>
      <c r="Q110" s="10">
        <v>2.69</v>
      </c>
      <c r="R110" s="10">
        <f t="shared" si="32"/>
        <v>0</v>
      </c>
      <c r="S110" s="10">
        <f t="shared" si="33"/>
        <v>0</v>
      </c>
      <c r="T110" s="29" t="s">
        <v>321</v>
      </c>
      <c r="U110" s="145">
        <v>0.33</v>
      </c>
      <c r="V110" s="10" t="str">
        <f>VLOOKUP(D110,A!B$1:T$1125,16,FALSE)</f>
        <v/>
      </c>
      <c r="W110" s="10">
        <f t="shared" si="34"/>
        <v>0</v>
      </c>
      <c r="X110" s="29"/>
      <c r="Y110" s="29"/>
      <c r="Z110" s="29"/>
      <c r="AA110" s="29"/>
    </row>
    <row r="111" spans="1:67" s="3" customFormat="1" ht="13.5" hidden="1" customHeight="1" x14ac:dyDescent="0.25">
      <c r="A111" t="str">
        <f>IF(R111=0,"",COUNTIF(A$13:A110,"&gt;0")+1)</f>
        <v/>
      </c>
      <c r="B111" s="4"/>
      <c r="C111" s="5" t="s">
        <v>22</v>
      </c>
      <c r="D111" s="7" t="s">
        <v>1506</v>
      </c>
      <c r="E111" s="31"/>
      <c r="F111" s="31"/>
      <c r="G111" s="6" t="s">
        <v>1507</v>
      </c>
      <c r="H111" s="7">
        <f>VLOOKUP(D111,A!B$1:L$1126,3,FALSE)</f>
        <v>0</v>
      </c>
      <c r="I111" s="31">
        <f>VLOOKUP(D111,A!B$1:L$1126,3,FALSE)</f>
        <v>0</v>
      </c>
      <c r="J111" s="92"/>
      <c r="K111" s="63" t="str">
        <f>VLOOKUP(D111,A!B$1:L$1126,6,FALSE)</f>
        <v/>
      </c>
      <c r="L111" s="162"/>
      <c r="M111" s="43" t="s">
        <v>1508</v>
      </c>
      <c r="N111" s="94">
        <f>VLOOKUP(D111,A!B$1:L$1125,2,FALSE)</f>
        <v>0</v>
      </c>
      <c r="O111" s="94">
        <f>VLOOKUP(D111,A!B$1:L$1126,4,FALSE)</f>
        <v>0</v>
      </c>
      <c r="P111" s="10">
        <v>10</v>
      </c>
      <c r="Q111" s="10">
        <v>2.69</v>
      </c>
      <c r="R111" s="10">
        <f t="shared" si="32"/>
        <v>0</v>
      </c>
      <c r="S111" s="10">
        <f t="shared" si="33"/>
        <v>0</v>
      </c>
      <c r="T111" s="29" t="s">
        <v>321</v>
      </c>
      <c r="U111" s="145">
        <v>0.33</v>
      </c>
      <c r="V111" s="10" t="str">
        <f>VLOOKUP(D111,A!B$1:T$1125,16,FALSE)</f>
        <v/>
      </c>
      <c r="W111" s="10">
        <f t="shared" si="34"/>
        <v>0</v>
      </c>
      <c r="X111" s="29"/>
      <c r="Y111" s="29"/>
      <c r="Z111" s="29"/>
      <c r="AA111" s="29"/>
    </row>
    <row r="112" spans="1:67" s="3" customFormat="1" ht="13.5" hidden="1" customHeight="1" x14ac:dyDescent="0.25">
      <c r="A112" t="str">
        <f>IF(R112=0,"",COUNTIF(A$13:A111,"&gt;0")+1)</f>
        <v/>
      </c>
      <c r="B112" s="4"/>
      <c r="C112" s="5" t="s">
        <v>22</v>
      </c>
      <c r="D112" s="7" t="s">
        <v>1509</v>
      </c>
      <c r="E112" s="31"/>
      <c r="F112" s="31"/>
      <c r="G112" s="6" t="s">
        <v>1510</v>
      </c>
      <c r="H112" s="7">
        <f>VLOOKUP(D112,A!B$1:L$1126,3,FALSE)</f>
        <v>0</v>
      </c>
      <c r="I112" s="31">
        <f>VLOOKUP(D112,A!B$1:L$1126,3,FALSE)</f>
        <v>0</v>
      </c>
      <c r="J112" s="92"/>
      <c r="K112" s="63" t="str">
        <f>VLOOKUP(D112,A!B$1:L$1126,6,FALSE)</f>
        <v/>
      </c>
      <c r="L112" s="162"/>
      <c r="M112" s="43" t="s">
        <v>1511</v>
      </c>
      <c r="N112" s="94">
        <f>VLOOKUP(D112,A!B$1:L$1125,2,FALSE)</f>
        <v>0</v>
      </c>
      <c r="O112" s="94">
        <f>VLOOKUP(D112,A!B$1:L$1126,4,FALSE)</f>
        <v>0</v>
      </c>
      <c r="P112" s="10">
        <v>10</v>
      </c>
      <c r="Q112" s="10">
        <v>2.69</v>
      </c>
      <c r="R112" s="10">
        <f t="shared" si="32"/>
        <v>0</v>
      </c>
      <c r="S112" s="10">
        <f t="shared" si="33"/>
        <v>0</v>
      </c>
      <c r="T112" s="29" t="s">
        <v>321</v>
      </c>
      <c r="U112" s="145">
        <v>0.33</v>
      </c>
      <c r="V112" s="10" t="str">
        <f>VLOOKUP(D112,A!B$1:T$1125,16,FALSE)</f>
        <v/>
      </c>
      <c r="W112" s="10">
        <f t="shared" si="34"/>
        <v>0</v>
      </c>
      <c r="X112" s="29"/>
      <c r="Y112" s="29"/>
      <c r="Z112" s="29"/>
      <c r="AA112" s="29"/>
    </row>
    <row r="113" spans="1:67" s="3" customFormat="1" ht="13.5" customHeight="1" x14ac:dyDescent="0.25">
      <c r="A113" t="str">
        <f>IF(R113=0,"",COUNTIF(A$13:A112,"&gt;0")+1)</f>
        <v/>
      </c>
      <c r="B113" s="4"/>
      <c r="C113" s="5" t="s">
        <v>22</v>
      </c>
      <c r="D113" s="7" t="s">
        <v>1788</v>
      </c>
      <c r="E113" s="31"/>
      <c r="F113" s="31"/>
      <c r="G113" s="6" t="s">
        <v>1047</v>
      </c>
      <c r="H113" s="7">
        <f>VLOOKUP(D113,A!B$1:L$1126,3,FALSE)</f>
        <v>1</v>
      </c>
      <c r="I113" s="31">
        <f>VLOOKUP(D113,A!B$1:L$1126,3,FALSE)</f>
        <v>1</v>
      </c>
      <c r="J113" s="92"/>
      <c r="K113" s="63" t="str">
        <f>VLOOKUP(D113,A!B$1:L$1126,6,FALSE)</f>
        <v/>
      </c>
      <c r="L113" s="162"/>
      <c r="M113" s="43" t="s">
        <v>1789</v>
      </c>
      <c r="N113" s="94" t="str">
        <f>VLOOKUP(D113,A!B$1:L$1125,2,FALSE)</f>
        <v>y</v>
      </c>
      <c r="O113" s="94">
        <f>VLOOKUP(D113,A!B$1:L$1126,4,FALSE)</f>
        <v>0</v>
      </c>
      <c r="P113" s="10">
        <v>10</v>
      </c>
      <c r="Q113" s="10">
        <v>2.69</v>
      </c>
      <c r="R113" s="10">
        <f t="shared" ref="R113" si="35">B113*P113</f>
        <v>0</v>
      </c>
      <c r="S113" s="10">
        <f t="shared" ref="S113" si="36">R113*Q113</f>
        <v>0</v>
      </c>
      <c r="T113" s="29" t="s">
        <v>321</v>
      </c>
      <c r="U113" s="145">
        <v>0.33</v>
      </c>
      <c r="V113" s="10">
        <f>VLOOKUP(D113,A!B$1:T$1125,16,FALSE)</f>
        <v>0</v>
      </c>
      <c r="W113" s="10">
        <f t="shared" ref="W113" si="37">U113*B113</f>
        <v>0</v>
      </c>
      <c r="X113" s="29"/>
      <c r="Y113" s="29"/>
      <c r="Z113" s="29"/>
      <c r="AA113" s="29"/>
    </row>
    <row r="114" spans="1:67" s="3" customFormat="1" ht="13.5" hidden="1" customHeight="1" x14ac:dyDescent="0.25">
      <c r="A114" t="str">
        <f>IF(R114=0,"",COUNTIF(A$13:A113,"&gt;0")+1)</f>
        <v/>
      </c>
      <c r="B114" s="4"/>
      <c r="C114" s="5" t="s">
        <v>22</v>
      </c>
      <c r="D114" s="7" t="s">
        <v>1512</v>
      </c>
      <c r="E114" s="31"/>
      <c r="F114" s="31"/>
      <c r="G114" s="6" t="s">
        <v>1513</v>
      </c>
      <c r="H114" s="7">
        <f>VLOOKUP(D114,A!B$1:L$1126,3,FALSE)</f>
        <v>0</v>
      </c>
      <c r="I114" s="31">
        <f>VLOOKUP(D114,A!B$1:L$1126,3,FALSE)</f>
        <v>0</v>
      </c>
      <c r="J114" s="92"/>
      <c r="K114" s="63" t="str">
        <f>VLOOKUP(D114,A!B$1:L$1126,6,FALSE)</f>
        <v/>
      </c>
      <c r="L114" s="162"/>
      <c r="M114" s="43" t="s">
        <v>1514</v>
      </c>
      <c r="N114" s="94">
        <f>VLOOKUP(D114,A!B$1:L$1125,2,FALSE)</f>
        <v>0</v>
      </c>
      <c r="O114" s="94">
        <f>VLOOKUP(D114,A!B$1:L$1126,4,FALSE)</f>
        <v>0</v>
      </c>
      <c r="P114" s="10">
        <v>10</v>
      </c>
      <c r="Q114" s="10">
        <v>2.69</v>
      </c>
      <c r="R114" s="10">
        <f t="shared" si="32"/>
        <v>0</v>
      </c>
      <c r="S114" s="10">
        <f t="shared" si="33"/>
        <v>0</v>
      </c>
      <c r="T114" s="29" t="s">
        <v>321</v>
      </c>
      <c r="U114" s="145">
        <v>0.33</v>
      </c>
      <c r="V114" s="10" t="str">
        <f>VLOOKUP(D114,A!B$1:T$1125,16,FALSE)</f>
        <v/>
      </c>
      <c r="W114" s="10">
        <f t="shared" si="34"/>
        <v>0</v>
      </c>
      <c r="X114" s="29"/>
      <c r="Y114" s="29"/>
      <c r="Z114" s="29"/>
      <c r="AA114" s="29"/>
    </row>
    <row r="115" spans="1:67" s="3" customFormat="1" ht="13.5" hidden="1" customHeight="1" x14ac:dyDescent="0.25">
      <c r="A115" t="str">
        <f>IF(R115=0,"",COUNTIF(A$13:A114,"&gt;0")+1)</f>
        <v/>
      </c>
      <c r="B115" s="4"/>
      <c r="C115" s="5" t="s">
        <v>22</v>
      </c>
      <c r="D115" s="7" t="s">
        <v>1515</v>
      </c>
      <c r="E115" s="31"/>
      <c r="F115" s="31"/>
      <c r="G115" s="6" t="s">
        <v>1513</v>
      </c>
      <c r="H115" s="7">
        <f>VLOOKUP(D115,A!B$1:L$1126,3,FALSE)</f>
        <v>0</v>
      </c>
      <c r="I115" s="31">
        <f>VLOOKUP(D115,A!B$1:L$1126,3,FALSE)</f>
        <v>0</v>
      </c>
      <c r="J115" s="92"/>
      <c r="K115" s="63" t="str">
        <f>VLOOKUP(D115,A!B$1:L$1126,6,FALSE)</f>
        <v/>
      </c>
      <c r="L115" s="162"/>
      <c r="M115" s="43" t="s">
        <v>1516</v>
      </c>
      <c r="N115" s="94">
        <f>VLOOKUP(D115,A!B$1:L$1125,2,FALSE)</f>
        <v>0</v>
      </c>
      <c r="O115" s="94">
        <f>VLOOKUP(D115,A!B$1:L$1126,4,FALSE)</f>
        <v>0</v>
      </c>
      <c r="P115" s="10">
        <v>10</v>
      </c>
      <c r="Q115" s="10">
        <v>2.69</v>
      </c>
      <c r="R115" s="10">
        <f t="shared" si="32"/>
        <v>0</v>
      </c>
      <c r="S115" s="10">
        <f t="shared" si="33"/>
        <v>0</v>
      </c>
      <c r="T115" s="29" t="s">
        <v>321</v>
      </c>
      <c r="U115" s="145">
        <v>0.33</v>
      </c>
      <c r="V115" s="10" t="str">
        <f>VLOOKUP(D115,A!B$1:T$1125,16,FALSE)</f>
        <v/>
      </c>
      <c r="W115" s="10">
        <f t="shared" si="34"/>
        <v>0</v>
      </c>
      <c r="X115" s="29"/>
      <c r="Y115" s="29"/>
      <c r="Z115" s="29"/>
      <c r="AA115" s="29"/>
    </row>
    <row r="116" spans="1:67" s="3" customFormat="1" ht="13.5" hidden="1" customHeight="1" x14ac:dyDescent="0.25">
      <c r="A116" t="str">
        <f>IF(R116=0,"",COUNTIF(A$13:A115,"&gt;0")+1)</f>
        <v/>
      </c>
      <c r="B116" s="4"/>
      <c r="C116" s="5" t="s">
        <v>22</v>
      </c>
      <c r="D116" s="7" t="s">
        <v>269</v>
      </c>
      <c r="E116" s="31"/>
      <c r="F116" s="31"/>
      <c r="G116" s="6" t="s">
        <v>89</v>
      </c>
      <c r="H116" s="7">
        <f>VLOOKUP(D116,A!B$1:L$1126,3,FALSE)</f>
        <v>0</v>
      </c>
      <c r="I116" s="31">
        <f>VLOOKUP(D116,A!B$1:L$1126,3,FALSE)</f>
        <v>0</v>
      </c>
      <c r="J116" s="92"/>
      <c r="K116" s="63" t="str">
        <f>VLOOKUP(D116,A!B$1:L$1126,6,FALSE)</f>
        <v/>
      </c>
      <c r="L116" s="2"/>
      <c r="M116" s="43" t="s">
        <v>270</v>
      </c>
      <c r="N116" s="94">
        <f>VLOOKUP(D116,A!B$1:L$1125,2,FALSE)</f>
        <v>0</v>
      </c>
      <c r="O116" s="94">
        <f>VLOOKUP(D116,A!B$1:L$1126,4,FALSE)</f>
        <v>0</v>
      </c>
      <c r="P116" s="10">
        <v>10</v>
      </c>
      <c r="Q116" s="10">
        <v>2.69</v>
      </c>
      <c r="R116" s="10">
        <f t="shared" si="32"/>
        <v>0</v>
      </c>
      <c r="S116" s="10">
        <f t="shared" si="33"/>
        <v>0</v>
      </c>
      <c r="T116" s="29" t="s">
        <v>321</v>
      </c>
      <c r="U116" s="145">
        <v>0.33</v>
      </c>
      <c r="V116" s="10" t="str">
        <f>VLOOKUP(D116,A!B$1:T$1125,16,FALSE)</f>
        <v/>
      </c>
      <c r="W116" s="10">
        <f t="shared" si="34"/>
        <v>0</v>
      </c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</row>
    <row r="117" spans="1:67" s="3" customFormat="1" ht="13.5" hidden="1" customHeight="1" x14ac:dyDescent="0.25">
      <c r="A117" t="str">
        <f>IF(R117=0,"",COUNTIF(A$13:A116,"&gt;0")+1)</f>
        <v/>
      </c>
      <c r="B117" s="4"/>
      <c r="C117" s="5" t="s">
        <v>22</v>
      </c>
      <c r="D117" s="7" t="s">
        <v>1517</v>
      </c>
      <c r="E117" s="31"/>
      <c r="F117" s="31"/>
      <c r="G117" s="6" t="s">
        <v>89</v>
      </c>
      <c r="H117" s="7">
        <f>VLOOKUP(D117,A!B$1:L$1126,3,FALSE)</f>
        <v>0</v>
      </c>
      <c r="I117" s="31">
        <f>VLOOKUP(D117,A!B$1:L$1126,3,FALSE)</f>
        <v>0</v>
      </c>
      <c r="J117" s="92"/>
      <c r="K117" s="63" t="str">
        <f>VLOOKUP(D117,A!B$1:L$1126,6,FALSE)</f>
        <v/>
      </c>
      <c r="L117" s="162"/>
      <c r="M117" s="43" t="s">
        <v>1518</v>
      </c>
      <c r="N117" s="94">
        <f>VLOOKUP(D117,A!B$1:L$1125,2,FALSE)</f>
        <v>0</v>
      </c>
      <c r="O117" s="94">
        <f>VLOOKUP(D117,A!B$1:L$1126,4,FALSE)</f>
        <v>0</v>
      </c>
      <c r="P117" s="10">
        <v>10</v>
      </c>
      <c r="Q117" s="10">
        <v>2.69</v>
      </c>
      <c r="R117" s="10">
        <f t="shared" si="32"/>
        <v>0</v>
      </c>
      <c r="S117" s="10">
        <f t="shared" si="33"/>
        <v>0</v>
      </c>
      <c r="T117" s="29" t="s">
        <v>321</v>
      </c>
      <c r="U117" s="145">
        <v>0.33</v>
      </c>
      <c r="V117" s="10" t="str">
        <f>VLOOKUP(D117,A!B$1:T$1125,16,FALSE)</f>
        <v/>
      </c>
      <c r="W117" s="10">
        <f t="shared" si="34"/>
        <v>0</v>
      </c>
      <c r="X117" s="29"/>
      <c r="Y117" s="29"/>
      <c r="Z117" s="29"/>
      <c r="AA117" s="29"/>
    </row>
    <row r="118" spans="1:67" s="3" customFormat="1" ht="13.5" hidden="1" customHeight="1" x14ac:dyDescent="0.25">
      <c r="A118" t="str">
        <f>IF(R118=0,"",COUNTIF(A$13:A117,"&gt;0")+1)</f>
        <v/>
      </c>
      <c r="B118" s="4"/>
      <c r="C118" s="5" t="s">
        <v>22</v>
      </c>
      <c r="D118" s="7" t="s">
        <v>1519</v>
      </c>
      <c r="E118" s="31"/>
      <c r="F118" s="31"/>
      <c r="G118" s="6" t="s">
        <v>89</v>
      </c>
      <c r="H118" s="7">
        <f>VLOOKUP(D118,A!B$1:L$1126,3,FALSE)</f>
        <v>0</v>
      </c>
      <c r="I118" s="31">
        <f>VLOOKUP(D118,A!B$1:L$1126,3,FALSE)</f>
        <v>0</v>
      </c>
      <c r="J118" s="92"/>
      <c r="K118" s="63" t="str">
        <f>VLOOKUP(D118,A!B$1:L$1126,6,FALSE)</f>
        <v/>
      </c>
      <c r="L118" s="162"/>
      <c r="M118" s="43" t="s">
        <v>1520</v>
      </c>
      <c r="N118" s="94">
        <f>VLOOKUP(D118,A!B$1:L$1125,2,FALSE)</f>
        <v>0</v>
      </c>
      <c r="O118" s="94">
        <f>VLOOKUP(D118,A!B$1:L$1126,4,FALSE)</f>
        <v>0</v>
      </c>
      <c r="P118" s="10">
        <v>10</v>
      </c>
      <c r="Q118" s="10">
        <v>2.69</v>
      </c>
      <c r="R118" s="10">
        <f t="shared" si="32"/>
        <v>0</v>
      </c>
      <c r="S118" s="10">
        <f t="shared" si="33"/>
        <v>0</v>
      </c>
      <c r="T118" s="29" t="s">
        <v>321</v>
      </c>
      <c r="U118" s="145">
        <v>0.33</v>
      </c>
      <c r="V118" s="10" t="str">
        <f>VLOOKUP(D118,A!B$1:T$1125,16,FALSE)</f>
        <v/>
      </c>
      <c r="W118" s="10">
        <f t="shared" si="34"/>
        <v>0</v>
      </c>
      <c r="X118" s="29"/>
      <c r="Y118" s="29"/>
      <c r="Z118" s="29"/>
      <c r="AA118" s="29"/>
    </row>
    <row r="119" spans="1:67" s="3" customFormat="1" ht="13.5" hidden="1" customHeight="1" x14ac:dyDescent="0.25">
      <c r="A119" t="str">
        <f>IF(R119=0,"",COUNTIF(A$13:A118,"&gt;0")+1)</f>
        <v/>
      </c>
      <c r="B119" s="4"/>
      <c r="C119" s="5" t="s">
        <v>22</v>
      </c>
      <c r="D119" s="7" t="s">
        <v>1521</v>
      </c>
      <c r="E119" s="31"/>
      <c r="F119" s="31"/>
      <c r="G119" s="6" t="s">
        <v>89</v>
      </c>
      <c r="H119" s="7">
        <f>VLOOKUP(D119,A!B$1:L$1126,3,FALSE)</f>
        <v>0</v>
      </c>
      <c r="I119" s="31">
        <f>VLOOKUP(D119,A!B$1:L$1126,3,FALSE)</f>
        <v>0</v>
      </c>
      <c r="J119" s="92"/>
      <c r="K119" s="63" t="str">
        <f>VLOOKUP(D119,A!B$1:L$1126,6,FALSE)</f>
        <v/>
      </c>
      <c r="L119" s="162"/>
      <c r="M119" s="43" t="s">
        <v>1522</v>
      </c>
      <c r="N119" s="94">
        <f>VLOOKUP(D119,A!B$1:L$1125,2,FALSE)</f>
        <v>0</v>
      </c>
      <c r="O119" s="94">
        <f>VLOOKUP(D119,A!B$1:L$1126,4,FALSE)</f>
        <v>0</v>
      </c>
      <c r="P119" s="10">
        <v>10</v>
      </c>
      <c r="Q119" s="10">
        <v>2.69</v>
      </c>
      <c r="R119" s="10">
        <f t="shared" si="32"/>
        <v>0</v>
      </c>
      <c r="S119" s="10">
        <f t="shared" si="33"/>
        <v>0</v>
      </c>
      <c r="T119" s="29" t="s">
        <v>321</v>
      </c>
      <c r="U119" s="145">
        <v>0.33</v>
      </c>
      <c r="V119" s="10" t="str">
        <f>VLOOKUP(D119,A!B$1:T$1125,16,FALSE)</f>
        <v/>
      </c>
      <c r="W119" s="10">
        <f t="shared" si="34"/>
        <v>0</v>
      </c>
      <c r="X119" s="29"/>
      <c r="Y119" s="29"/>
      <c r="Z119" s="29"/>
      <c r="AA119" s="29"/>
    </row>
    <row r="120" spans="1:67" s="3" customFormat="1" ht="13.5" hidden="1" customHeight="1" x14ac:dyDescent="0.25">
      <c r="A120" t="str">
        <f>IF(R120=0,"",COUNTIF(A$13:A119,"&gt;0")+1)</f>
        <v/>
      </c>
      <c r="B120" s="4"/>
      <c r="C120" s="5" t="s">
        <v>22</v>
      </c>
      <c r="D120" s="7" t="s">
        <v>1523</v>
      </c>
      <c r="E120" s="31"/>
      <c r="F120" s="31"/>
      <c r="G120" s="6" t="s">
        <v>89</v>
      </c>
      <c r="H120" s="7">
        <f>VLOOKUP(D120,A!B$1:L$1126,3,FALSE)</f>
        <v>0</v>
      </c>
      <c r="I120" s="31">
        <f>VLOOKUP(D120,A!B$1:L$1126,3,FALSE)</f>
        <v>0</v>
      </c>
      <c r="J120" s="92"/>
      <c r="K120" s="63" t="str">
        <f>VLOOKUP(D120,A!B$1:L$1126,6,FALSE)</f>
        <v/>
      </c>
      <c r="L120" s="162"/>
      <c r="M120" s="43" t="s">
        <v>1524</v>
      </c>
      <c r="N120" s="94">
        <f>VLOOKUP(D120,A!B$1:L$1125,2,FALSE)</f>
        <v>0</v>
      </c>
      <c r="O120" s="94">
        <f>VLOOKUP(D120,A!B$1:L$1126,4,FALSE)</f>
        <v>0</v>
      </c>
      <c r="P120" s="10">
        <v>10</v>
      </c>
      <c r="Q120" s="10">
        <v>2.69</v>
      </c>
      <c r="R120" s="10">
        <f t="shared" si="32"/>
        <v>0</v>
      </c>
      <c r="S120" s="10">
        <f t="shared" si="33"/>
        <v>0</v>
      </c>
      <c r="T120" s="29" t="s">
        <v>321</v>
      </c>
      <c r="U120" s="145">
        <v>0.33</v>
      </c>
      <c r="V120" s="10" t="str">
        <f>VLOOKUP(D120,A!B$1:T$1125,16,FALSE)</f>
        <v/>
      </c>
      <c r="W120" s="10">
        <f t="shared" si="34"/>
        <v>0</v>
      </c>
      <c r="X120" s="29"/>
      <c r="Y120" s="29"/>
      <c r="Z120" s="29"/>
      <c r="AA120" s="29"/>
    </row>
    <row r="121" spans="1:67" s="3" customFormat="1" ht="13.5" hidden="1" customHeight="1" x14ac:dyDescent="0.25">
      <c r="A121" t="str">
        <f>IF(R121=0,"",COUNTIF(A$13:A120,"&gt;0")+1)</f>
        <v/>
      </c>
      <c r="B121" s="4"/>
      <c r="C121" s="5" t="s">
        <v>22</v>
      </c>
      <c r="D121" s="7" t="s">
        <v>1525</v>
      </c>
      <c r="E121" s="31"/>
      <c r="F121" s="31"/>
      <c r="G121" s="6" t="s">
        <v>89</v>
      </c>
      <c r="H121" s="7">
        <f>VLOOKUP(D121,A!B$1:L$1126,3,FALSE)</f>
        <v>0</v>
      </c>
      <c r="I121" s="31">
        <f>VLOOKUP(D121,A!B$1:L$1126,3,FALSE)</f>
        <v>0</v>
      </c>
      <c r="J121" s="92"/>
      <c r="K121" s="63" t="str">
        <f>VLOOKUP(D121,A!B$1:L$1126,6,FALSE)</f>
        <v/>
      </c>
      <c r="L121" s="162"/>
      <c r="M121" s="43" t="s">
        <v>1526</v>
      </c>
      <c r="N121" s="94">
        <f>VLOOKUP(D121,A!B$1:L$1125,2,FALSE)</f>
        <v>0</v>
      </c>
      <c r="O121" s="94">
        <f>VLOOKUP(D121,A!B$1:L$1126,4,FALSE)</f>
        <v>0</v>
      </c>
      <c r="P121" s="10">
        <v>10</v>
      </c>
      <c r="Q121" s="10">
        <v>2.69</v>
      </c>
      <c r="R121" s="10">
        <f t="shared" si="32"/>
        <v>0</v>
      </c>
      <c r="S121" s="10">
        <f t="shared" si="33"/>
        <v>0</v>
      </c>
      <c r="T121" s="29" t="s">
        <v>321</v>
      </c>
      <c r="U121" s="145">
        <v>0.33</v>
      </c>
      <c r="V121" s="10" t="str">
        <f>VLOOKUP(D121,A!B$1:T$1125,16,FALSE)</f>
        <v/>
      </c>
      <c r="W121" s="10">
        <f t="shared" si="34"/>
        <v>0</v>
      </c>
      <c r="X121" s="29"/>
      <c r="Y121" s="29"/>
      <c r="Z121" s="29"/>
      <c r="AA121" s="29"/>
    </row>
    <row r="122" spans="1:67" s="3" customFormat="1" ht="13.5" hidden="1" customHeight="1" x14ac:dyDescent="0.25">
      <c r="A122" t="str">
        <f>IF(R122=0,"",COUNTIF(A$13:A121,"&gt;0")+1)</f>
        <v/>
      </c>
      <c r="B122" s="4"/>
      <c r="C122" s="5" t="s">
        <v>22</v>
      </c>
      <c r="D122" s="7" t="s">
        <v>1527</v>
      </c>
      <c r="E122" s="31"/>
      <c r="F122" s="31"/>
      <c r="G122" s="6" t="s">
        <v>89</v>
      </c>
      <c r="H122" s="7">
        <f>VLOOKUP(D122,A!B$1:L$1126,3,FALSE)</f>
        <v>0</v>
      </c>
      <c r="I122" s="31">
        <f>VLOOKUP(D122,A!B$1:L$1126,3,FALSE)</f>
        <v>0</v>
      </c>
      <c r="J122" s="92"/>
      <c r="K122" s="63" t="str">
        <f>VLOOKUP(D122,A!B$1:L$1126,6,FALSE)</f>
        <v/>
      </c>
      <c r="L122" s="162"/>
      <c r="M122" s="43" t="s">
        <v>1528</v>
      </c>
      <c r="N122" s="94">
        <f>VLOOKUP(D122,A!B$1:L$1125,2,FALSE)</f>
        <v>0</v>
      </c>
      <c r="O122" s="94">
        <f>VLOOKUP(D122,A!B$1:L$1126,4,FALSE)</f>
        <v>0</v>
      </c>
      <c r="P122" s="10">
        <v>10</v>
      </c>
      <c r="Q122" s="10">
        <v>2.69</v>
      </c>
      <c r="R122" s="10">
        <f t="shared" si="32"/>
        <v>0</v>
      </c>
      <c r="S122" s="10">
        <f t="shared" si="33"/>
        <v>0</v>
      </c>
      <c r="T122" s="29" t="s">
        <v>321</v>
      </c>
      <c r="U122" s="145">
        <v>0.33</v>
      </c>
      <c r="V122" s="10" t="str">
        <f>VLOOKUP(D122,A!B$1:T$1125,16,FALSE)</f>
        <v/>
      </c>
      <c r="W122" s="10">
        <f t="shared" si="34"/>
        <v>0</v>
      </c>
      <c r="X122" s="29"/>
      <c r="Y122" s="29"/>
      <c r="Z122" s="29"/>
      <c r="AA122" s="29"/>
    </row>
    <row r="123" spans="1:67" s="3" customFormat="1" ht="13.5" hidden="1" customHeight="1" x14ac:dyDescent="0.25">
      <c r="A123" t="str">
        <f>IF(R123=0,"",COUNTIF(A$13:A122,"&gt;0")+1)</f>
        <v/>
      </c>
      <c r="B123" s="4"/>
      <c r="C123" s="5" t="s">
        <v>22</v>
      </c>
      <c r="D123" s="7" t="s">
        <v>1529</v>
      </c>
      <c r="E123" s="31"/>
      <c r="F123" s="31"/>
      <c r="G123" s="6" t="s">
        <v>89</v>
      </c>
      <c r="H123" s="7">
        <f>VLOOKUP(D123,A!B$1:L$1126,3,FALSE)</f>
        <v>0</v>
      </c>
      <c r="I123" s="31">
        <f>VLOOKUP(D123,A!B$1:L$1126,3,FALSE)</f>
        <v>0</v>
      </c>
      <c r="J123" s="92"/>
      <c r="K123" s="63" t="str">
        <f>VLOOKUP(D123,A!B$1:L$1126,6,FALSE)</f>
        <v/>
      </c>
      <c r="L123" s="162"/>
      <c r="M123" s="43" t="s">
        <v>1530</v>
      </c>
      <c r="N123" s="94">
        <f>VLOOKUP(D123,A!B$1:L$1125,2,FALSE)</f>
        <v>0</v>
      </c>
      <c r="O123" s="94">
        <f>VLOOKUP(D123,A!B$1:L$1126,4,FALSE)</f>
        <v>0</v>
      </c>
      <c r="P123" s="10">
        <v>10</v>
      </c>
      <c r="Q123" s="10">
        <v>2.69</v>
      </c>
      <c r="R123" s="10">
        <f t="shared" si="32"/>
        <v>0</v>
      </c>
      <c r="S123" s="10">
        <f t="shared" si="33"/>
        <v>0</v>
      </c>
      <c r="T123" s="29" t="s">
        <v>321</v>
      </c>
      <c r="U123" s="145">
        <v>0.33</v>
      </c>
      <c r="V123" s="10" t="str">
        <f>VLOOKUP(D123,A!B$1:T$1125,16,FALSE)</f>
        <v/>
      </c>
      <c r="W123" s="10">
        <f t="shared" si="34"/>
        <v>0</v>
      </c>
      <c r="X123" s="29"/>
      <c r="Y123" s="29"/>
      <c r="Z123" s="29"/>
      <c r="AA123" s="29"/>
    </row>
    <row r="124" spans="1:67" s="3" customFormat="1" ht="13.5" hidden="1" customHeight="1" x14ac:dyDescent="0.25">
      <c r="A124" t="str">
        <f>IF(R124=0,"",COUNTIF(A$13:A123,"&gt;0")+1)</f>
        <v/>
      </c>
      <c r="B124" s="4"/>
      <c r="C124" s="5" t="s">
        <v>22</v>
      </c>
      <c r="D124" s="7" t="s">
        <v>1531</v>
      </c>
      <c r="E124" s="31"/>
      <c r="F124" s="31"/>
      <c r="G124" s="6" t="s">
        <v>89</v>
      </c>
      <c r="H124" s="7">
        <f>VLOOKUP(D124,A!B$1:L$1126,3,FALSE)</f>
        <v>0</v>
      </c>
      <c r="I124" s="31">
        <f>VLOOKUP(D124,A!B$1:L$1126,3,FALSE)</f>
        <v>0</v>
      </c>
      <c r="J124" s="92"/>
      <c r="K124" s="63" t="str">
        <f>VLOOKUP(D124,A!B$1:L$1126,6,FALSE)</f>
        <v/>
      </c>
      <c r="L124" s="162"/>
      <c r="M124" s="43" t="s">
        <v>1532</v>
      </c>
      <c r="N124" s="94">
        <f>VLOOKUP(D124,A!B$1:L$1125,2,FALSE)</f>
        <v>0</v>
      </c>
      <c r="O124" s="94">
        <f>VLOOKUP(D124,A!B$1:L$1126,4,FALSE)</f>
        <v>0</v>
      </c>
      <c r="P124" s="10">
        <v>10</v>
      </c>
      <c r="Q124" s="10">
        <v>2.69</v>
      </c>
      <c r="R124" s="10">
        <f t="shared" si="32"/>
        <v>0</v>
      </c>
      <c r="S124" s="10">
        <f t="shared" si="33"/>
        <v>0</v>
      </c>
      <c r="T124" s="29" t="s">
        <v>321</v>
      </c>
      <c r="U124" s="145">
        <v>0.33</v>
      </c>
      <c r="V124" s="10" t="str">
        <f>VLOOKUP(D124,A!B$1:T$1125,16,FALSE)</f>
        <v/>
      </c>
      <c r="W124" s="10">
        <f t="shared" si="34"/>
        <v>0</v>
      </c>
      <c r="X124" s="29"/>
      <c r="Y124" s="29"/>
      <c r="Z124" s="29"/>
      <c r="AA124" s="29"/>
    </row>
    <row r="125" spans="1:67" s="3" customFormat="1" ht="13.5" hidden="1" customHeight="1" x14ac:dyDescent="0.25">
      <c r="A125" t="str">
        <f>IF(R125=0,"",COUNTIF(A$13:A124,"&gt;0")+1)</f>
        <v/>
      </c>
      <c r="B125" s="4"/>
      <c r="C125" s="5" t="s">
        <v>22</v>
      </c>
      <c r="D125" s="7" t="s">
        <v>1533</v>
      </c>
      <c r="E125" s="31"/>
      <c r="F125" s="31"/>
      <c r="G125" s="6" t="s">
        <v>89</v>
      </c>
      <c r="H125" s="7">
        <f>VLOOKUP(D125,A!B$1:L$1126,3,FALSE)</f>
        <v>0</v>
      </c>
      <c r="I125" s="31">
        <f>VLOOKUP(D125,A!B$1:L$1126,3,FALSE)</f>
        <v>0</v>
      </c>
      <c r="J125" s="92"/>
      <c r="K125" s="63" t="str">
        <f>VLOOKUP(D125,A!B$1:L$1126,6,FALSE)</f>
        <v/>
      </c>
      <c r="L125" s="162"/>
      <c r="M125" s="43" t="s">
        <v>1534</v>
      </c>
      <c r="N125" s="94">
        <f>VLOOKUP(D125,A!B$1:L$1125,2,FALSE)</f>
        <v>0</v>
      </c>
      <c r="O125" s="94">
        <f>VLOOKUP(D125,A!B$1:L$1126,4,FALSE)</f>
        <v>0</v>
      </c>
      <c r="P125" s="10">
        <v>10</v>
      </c>
      <c r="Q125" s="10">
        <v>2.69</v>
      </c>
      <c r="R125" s="10">
        <f t="shared" si="32"/>
        <v>0</v>
      </c>
      <c r="S125" s="10">
        <f t="shared" si="33"/>
        <v>0</v>
      </c>
      <c r="T125" s="29" t="s">
        <v>321</v>
      </c>
      <c r="U125" s="145">
        <v>0.33</v>
      </c>
      <c r="V125" s="10" t="str">
        <f>VLOOKUP(D125,A!B$1:T$1125,16,FALSE)</f>
        <v/>
      </c>
      <c r="W125" s="10">
        <f t="shared" si="34"/>
        <v>0</v>
      </c>
      <c r="X125" s="29"/>
      <c r="Y125" s="29"/>
      <c r="Z125" s="29"/>
      <c r="AA125" s="29"/>
    </row>
    <row r="126" spans="1:67" s="3" customFormat="1" ht="13.5" hidden="1" customHeight="1" x14ac:dyDescent="0.25">
      <c r="A126" t="str">
        <f>IF(R126=0,"",COUNTIF(A$13:A125,"&gt;0")+1)</f>
        <v/>
      </c>
      <c r="B126" s="4"/>
      <c r="C126" s="5" t="s">
        <v>22</v>
      </c>
      <c r="D126" s="7" t="s">
        <v>1535</v>
      </c>
      <c r="E126" s="31"/>
      <c r="F126" s="31"/>
      <c r="G126" s="6" t="s">
        <v>89</v>
      </c>
      <c r="H126" s="7">
        <f>VLOOKUP(D126,A!B$1:L$1126,3,FALSE)</f>
        <v>0</v>
      </c>
      <c r="I126" s="31">
        <f>VLOOKUP(D126,A!B$1:L$1126,3,FALSE)</f>
        <v>0</v>
      </c>
      <c r="J126" s="92"/>
      <c r="K126" s="63" t="str">
        <f>VLOOKUP(D126,A!B$1:L$1126,6,FALSE)</f>
        <v/>
      </c>
      <c r="L126" s="162"/>
      <c r="M126" s="42" t="s">
        <v>1536</v>
      </c>
      <c r="N126" s="94">
        <f>VLOOKUP(D126,A!B$1:L$1125,2,FALSE)</f>
        <v>0</v>
      </c>
      <c r="O126" s="94">
        <f>VLOOKUP(D126,A!B$1:L$1126,4,FALSE)</f>
        <v>0</v>
      </c>
      <c r="P126" s="10">
        <v>10</v>
      </c>
      <c r="Q126" s="10">
        <v>2.69</v>
      </c>
      <c r="R126" s="10">
        <f t="shared" si="32"/>
        <v>0</v>
      </c>
      <c r="S126" s="10">
        <f t="shared" si="33"/>
        <v>0</v>
      </c>
      <c r="T126" s="29" t="s">
        <v>321</v>
      </c>
      <c r="U126" s="145">
        <v>0.33</v>
      </c>
      <c r="V126" s="10" t="str">
        <f>VLOOKUP(D126,A!B$1:T$1125,16,FALSE)</f>
        <v/>
      </c>
      <c r="W126" s="10">
        <f t="shared" si="34"/>
        <v>0</v>
      </c>
      <c r="X126" s="29"/>
      <c r="Y126" s="29"/>
      <c r="Z126" s="29"/>
      <c r="AA126" s="29"/>
    </row>
    <row r="127" spans="1:67" s="3" customFormat="1" ht="13.5" hidden="1" customHeight="1" x14ac:dyDescent="0.25">
      <c r="A127" t="str">
        <f>IF(R127=0,"",COUNTIF(A$13:A126,"&gt;0")+1)</f>
        <v/>
      </c>
      <c r="B127" s="4"/>
      <c r="C127" s="5" t="s">
        <v>22</v>
      </c>
      <c r="D127" s="7" t="s">
        <v>1537</v>
      </c>
      <c r="E127" s="31"/>
      <c r="F127" s="31"/>
      <c r="G127" s="6" t="s">
        <v>89</v>
      </c>
      <c r="H127" s="7">
        <f>VLOOKUP(D127,A!B$1:L$1126,3,FALSE)</f>
        <v>0</v>
      </c>
      <c r="I127" s="31">
        <f>VLOOKUP(D127,A!B$1:L$1126,3,FALSE)</f>
        <v>0</v>
      </c>
      <c r="J127" s="92"/>
      <c r="K127" s="63" t="str">
        <f>VLOOKUP(D127,A!B$1:L$1126,6,FALSE)</f>
        <v/>
      </c>
      <c r="L127" s="162"/>
      <c r="M127" s="43" t="s">
        <v>1538</v>
      </c>
      <c r="N127" s="94">
        <f>VLOOKUP(D127,A!B$1:L$1125,2,FALSE)</f>
        <v>0</v>
      </c>
      <c r="O127" s="94">
        <f>VLOOKUP(D127,A!B$1:L$1126,4,FALSE)</f>
        <v>0</v>
      </c>
      <c r="P127" s="10">
        <v>10</v>
      </c>
      <c r="Q127" s="10">
        <v>2.69</v>
      </c>
      <c r="R127" s="10">
        <f t="shared" si="32"/>
        <v>0</v>
      </c>
      <c r="S127" s="10">
        <f t="shared" si="33"/>
        <v>0</v>
      </c>
      <c r="T127" s="29" t="s">
        <v>321</v>
      </c>
      <c r="U127" s="145">
        <v>0.33</v>
      </c>
      <c r="V127" s="10" t="str">
        <f>VLOOKUP(D127,A!B$1:T$1125,16,FALSE)</f>
        <v/>
      </c>
      <c r="W127" s="10">
        <f t="shared" si="34"/>
        <v>0</v>
      </c>
      <c r="X127" s="29"/>
      <c r="Y127" s="29"/>
      <c r="Z127" s="29"/>
      <c r="AA127" s="29"/>
    </row>
    <row r="128" spans="1:67" s="3" customFormat="1" ht="13.5" hidden="1" customHeight="1" x14ac:dyDescent="0.25">
      <c r="A128" t="str">
        <f>IF(R128=0,"",COUNTIF(A$13:A127,"&gt;0")+1)</f>
        <v/>
      </c>
      <c r="B128" s="4"/>
      <c r="C128" s="5" t="s">
        <v>22</v>
      </c>
      <c r="D128" s="7" t="s">
        <v>1539</v>
      </c>
      <c r="E128" s="31"/>
      <c r="F128" s="31"/>
      <c r="G128" s="6" t="s">
        <v>89</v>
      </c>
      <c r="H128" s="7">
        <f>VLOOKUP(D128,A!B$1:L$1126,3,FALSE)</f>
        <v>0</v>
      </c>
      <c r="I128" s="31">
        <f>VLOOKUP(D128,A!B$1:L$1126,3,FALSE)</f>
        <v>0</v>
      </c>
      <c r="J128" s="92"/>
      <c r="K128" s="63" t="str">
        <f>VLOOKUP(D128,A!B$1:L$1126,6,FALSE)</f>
        <v/>
      </c>
      <c r="L128" s="162"/>
      <c r="M128" s="43" t="s">
        <v>1540</v>
      </c>
      <c r="N128" s="94">
        <f>VLOOKUP(D128,A!B$1:L$1125,2,FALSE)</f>
        <v>0</v>
      </c>
      <c r="O128" s="94">
        <f>VLOOKUP(D128,A!B$1:L$1126,4,FALSE)</f>
        <v>0</v>
      </c>
      <c r="P128" s="10">
        <v>10</v>
      </c>
      <c r="Q128" s="10">
        <v>2.69</v>
      </c>
      <c r="R128" s="10">
        <f t="shared" si="32"/>
        <v>0</v>
      </c>
      <c r="S128" s="10">
        <f t="shared" si="33"/>
        <v>0</v>
      </c>
      <c r="T128" s="29" t="s">
        <v>321</v>
      </c>
      <c r="U128" s="145">
        <v>0.33</v>
      </c>
      <c r="V128" s="10" t="str">
        <f>VLOOKUP(D128,A!B$1:T$1125,16,FALSE)</f>
        <v/>
      </c>
      <c r="W128" s="10">
        <f t="shared" si="34"/>
        <v>0</v>
      </c>
      <c r="X128" s="29"/>
      <c r="Y128" s="29"/>
      <c r="Z128" s="29"/>
      <c r="AA128" s="29"/>
    </row>
    <row r="129" spans="1:67" s="3" customFormat="1" ht="13.5" hidden="1" customHeight="1" x14ac:dyDescent="0.25">
      <c r="A129" t="str">
        <f>IF(R129=0,"",COUNTIF(A$13:A128,"&gt;0")+1)</f>
        <v/>
      </c>
      <c r="B129" s="4"/>
      <c r="C129" s="5" t="s">
        <v>22</v>
      </c>
      <c r="D129" s="18" t="s">
        <v>1541</v>
      </c>
      <c r="E129" s="87"/>
      <c r="F129" s="87"/>
      <c r="G129" s="6" t="s">
        <v>89</v>
      </c>
      <c r="H129" s="7">
        <f>VLOOKUP(D129,A!B$1:L$1126,3,FALSE)</f>
        <v>0</v>
      </c>
      <c r="I129" s="31">
        <f>VLOOKUP(D129,A!B$1:L$1126,3,FALSE)</f>
        <v>0</v>
      </c>
      <c r="J129" s="92"/>
      <c r="K129" s="63" t="str">
        <f>VLOOKUP(D129,A!B$1:L$1126,6,FALSE)</f>
        <v/>
      </c>
      <c r="L129" s="162"/>
      <c r="M129" s="179" t="s">
        <v>1542</v>
      </c>
      <c r="N129" s="94">
        <f>VLOOKUP(D129,A!B$1:L$1125,2,FALSE)</f>
        <v>0</v>
      </c>
      <c r="O129" s="94">
        <f>VLOOKUP(D129,A!B$1:L$1126,4,FALSE)</f>
        <v>0</v>
      </c>
      <c r="P129" s="10">
        <v>10</v>
      </c>
      <c r="Q129" s="10">
        <v>2.69</v>
      </c>
      <c r="R129" s="10">
        <f t="shared" si="32"/>
        <v>0</v>
      </c>
      <c r="S129" s="10">
        <f t="shared" si="33"/>
        <v>0</v>
      </c>
      <c r="T129" s="29" t="s">
        <v>321</v>
      </c>
      <c r="U129" s="145">
        <v>0.33</v>
      </c>
      <c r="V129" s="10" t="str">
        <f>VLOOKUP(D129,A!B$1:T$1125,16,FALSE)</f>
        <v/>
      </c>
      <c r="W129" s="10">
        <f t="shared" si="34"/>
        <v>0</v>
      </c>
      <c r="X129" s="29"/>
      <c r="Y129" s="29"/>
      <c r="Z129" s="29"/>
      <c r="AA129" s="29"/>
    </row>
    <row r="130" spans="1:67" s="3" customFormat="1" ht="13.5" hidden="1" customHeight="1" x14ac:dyDescent="0.25">
      <c r="A130" t="str">
        <f>IF(R130=0,"",COUNTIF(A$13:A129,"&gt;0")+1)</f>
        <v/>
      </c>
      <c r="B130" s="4"/>
      <c r="C130" s="5" t="s">
        <v>22</v>
      </c>
      <c r="D130" s="18" t="s">
        <v>1543</v>
      </c>
      <c r="E130" s="87"/>
      <c r="F130" s="87"/>
      <c r="G130" s="6" t="s">
        <v>89</v>
      </c>
      <c r="H130" s="7">
        <f>VLOOKUP(D130,A!B$1:L$1126,3,FALSE)</f>
        <v>0</v>
      </c>
      <c r="I130" s="31">
        <f>VLOOKUP(D130,A!B$1:L$1126,3,FALSE)</f>
        <v>0</v>
      </c>
      <c r="J130" s="92"/>
      <c r="K130" s="63" t="str">
        <f>VLOOKUP(D130,A!B$1:L$1126,6,FALSE)</f>
        <v/>
      </c>
      <c r="L130" s="162"/>
      <c r="M130" s="179" t="s">
        <v>1544</v>
      </c>
      <c r="N130" s="94">
        <f>VLOOKUP(D130,A!B$1:L$1125,2,FALSE)</f>
        <v>0</v>
      </c>
      <c r="O130" s="94">
        <f>VLOOKUP(D130,A!B$1:L$1126,4,FALSE)</f>
        <v>0</v>
      </c>
      <c r="P130" s="10">
        <v>10</v>
      </c>
      <c r="Q130" s="10">
        <v>2.69</v>
      </c>
      <c r="R130" s="10">
        <f t="shared" si="32"/>
        <v>0</v>
      </c>
      <c r="S130" s="10">
        <f t="shared" si="33"/>
        <v>0</v>
      </c>
      <c r="T130" s="29" t="s">
        <v>321</v>
      </c>
      <c r="U130" s="145">
        <v>0.33</v>
      </c>
      <c r="V130" s="10" t="str">
        <f>VLOOKUP(D130,A!B$1:T$1125,16,FALSE)</f>
        <v/>
      </c>
      <c r="W130" s="10">
        <f t="shared" si="34"/>
        <v>0</v>
      </c>
      <c r="X130" s="29"/>
      <c r="Y130" s="29"/>
      <c r="Z130" s="29"/>
      <c r="AA130" s="29"/>
    </row>
    <row r="131" spans="1:67" s="3" customFormat="1" ht="13.5" customHeight="1" x14ac:dyDescent="0.25">
      <c r="A131" t="str">
        <f>IF(R131=0,"",COUNTIF(A$13:A130,"&gt;0")+1)</f>
        <v/>
      </c>
      <c r="B131" s="4"/>
      <c r="C131" s="5" t="s">
        <v>22</v>
      </c>
      <c r="D131" s="7" t="s">
        <v>274</v>
      </c>
      <c r="E131" s="31"/>
      <c r="F131" s="31"/>
      <c r="G131" s="6" t="s">
        <v>275</v>
      </c>
      <c r="H131" s="7">
        <f>VLOOKUP(D131,A!B$1:L$1126,3,FALSE)</f>
        <v>1</v>
      </c>
      <c r="I131" s="31">
        <f>VLOOKUP(D131,A!B$1:L$1126,3,FALSE)</f>
        <v>1</v>
      </c>
      <c r="J131" s="92"/>
      <c r="K131" s="63" t="str">
        <f>VLOOKUP(D131,A!B$1:L$1126,6,FALSE)</f>
        <v/>
      </c>
      <c r="L131" s="2"/>
      <c r="M131" s="41" t="s">
        <v>276</v>
      </c>
      <c r="N131" s="94" t="str">
        <f>VLOOKUP(D131,A!B$1:L$1125,2,FALSE)</f>
        <v>y</v>
      </c>
      <c r="O131" s="94">
        <f>VLOOKUP(D131,A!B$1:L$1126,4,FALSE)</f>
        <v>0</v>
      </c>
      <c r="P131" s="10">
        <v>10</v>
      </c>
      <c r="Q131" s="10">
        <v>2.69</v>
      </c>
      <c r="R131" s="10">
        <f t="shared" si="32"/>
        <v>0</v>
      </c>
      <c r="S131" s="10">
        <f t="shared" si="33"/>
        <v>0</v>
      </c>
      <c r="T131" s="29" t="s">
        <v>321</v>
      </c>
      <c r="U131" s="145">
        <v>0.33</v>
      </c>
      <c r="V131" s="10" t="str">
        <f>VLOOKUP(D131,A!B$1:T$1125,16,FALSE)</f>
        <v/>
      </c>
      <c r="W131" s="10">
        <f t="shared" si="34"/>
        <v>0</v>
      </c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</row>
    <row r="132" spans="1:67" s="3" customFormat="1" ht="13.5" hidden="1" customHeight="1" x14ac:dyDescent="0.25">
      <c r="A132" t="str">
        <f>IF(R132=0,"",COUNTIF(A$13:A131,"&gt;0")+1)</f>
        <v/>
      </c>
      <c r="B132" s="4"/>
      <c r="C132" s="5" t="s">
        <v>22</v>
      </c>
      <c r="D132" s="172" t="s">
        <v>1545</v>
      </c>
      <c r="E132" s="173"/>
      <c r="F132" s="173"/>
      <c r="G132" s="6" t="s">
        <v>1546</v>
      </c>
      <c r="H132" s="7">
        <f>VLOOKUP(D132,A!B$1:L$1126,3,FALSE)</f>
        <v>0</v>
      </c>
      <c r="I132" s="31">
        <f>VLOOKUP(D132,A!B$1:L$1126,3,FALSE)</f>
        <v>0</v>
      </c>
      <c r="J132" s="92"/>
      <c r="K132" s="63" t="str">
        <f>VLOOKUP(D132,A!B$1:L$1126,6,FALSE)</f>
        <v/>
      </c>
      <c r="L132" s="162"/>
      <c r="M132" s="41" t="s">
        <v>1547</v>
      </c>
      <c r="N132" s="94">
        <f>VLOOKUP(D132,A!B$1:L$1125,2,FALSE)</f>
        <v>0</v>
      </c>
      <c r="O132" s="94">
        <f>VLOOKUP(D132,A!B$1:L$1126,4,FALSE)</f>
        <v>0</v>
      </c>
      <c r="P132" s="10">
        <v>10</v>
      </c>
      <c r="Q132" s="10">
        <v>2.69</v>
      </c>
      <c r="R132" s="10">
        <f t="shared" si="32"/>
        <v>0</v>
      </c>
      <c r="S132" s="10">
        <f t="shared" si="33"/>
        <v>0</v>
      </c>
      <c r="T132" s="29" t="s">
        <v>321</v>
      </c>
      <c r="U132" s="145">
        <v>0.33</v>
      </c>
      <c r="V132" s="10" t="str">
        <f>VLOOKUP(D132,A!B$1:T$1125,16,FALSE)</f>
        <v/>
      </c>
      <c r="W132" s="10">
        <f t="shared" si="34"/>
        <v>0</v>
      </c>
      <c r="X132" s="29"/>
      <c r="Y132" s="29"/>
      <c r="Z132" s="29"/>
      <c r="AA132" s="29"/>
    </row>
    <row r="133" spans="1:67" s="3" customFormat="1" ht="13.5" hidden="1" customHeight="1" x14ac:dyDescent="0.25">
      <c r="A133" t="str">
        <f>IF(R133=0,"",COUNTIF(A$13:A132,"&gt;0")+1)</f>
        <v/>
      </c>
      <c r="B133" s="4"/>
      <c r="C133" s="5" t="s">
        <v>22</v>
      </c>
      <c r="D133" s="172" t="s">
        <v>1548</v>
      </c>
      <c r="E133" s="173"/>
      <c r="F133" s="173"/>
      <c r="G133" s="6" t="s">
        <v>1546</v>
      </c>
      <c r="H133" s="7">
        <f>VLOOKUP(D133,A!B$1:L$1126,3,FALSE)</f>
        <v>0</v>
      </c>
      <c r="I133" s="31">
        <f>VLOOKUP(D133,A!B$1:L$1126,3,FALSE)</f>
        <v>0</v>
      </c>
      <c r="J133" s="92"/>
      <c r="K133" s="63" t="str">
        <f>VLOOKUP(D133,A!B$1:L$1126,6,FALSE)</f>
        <v/>
      </c>
      <c r="L133" s="162"/>
      <c r="M133" s="41" t="s">
        <v>1549</v>
      </c>
      <c r="N133" s="94">
        <f>VLOOKUP(D133,A!B$1:L$1125,2,FALSE)</f>
        <v>0</v>
      </c>
      <c r="O133" s="94">
        <f>VLOOKUP(D133,A!B$1:L$1126,4,FALSE)</f>
        <v>0</v>
      </c>
      <c r="P133" s="10">
        <v>10</v>
      </c>
      <c r="Q133" s="10">
        <v>2.69</v>
      </c>
      <c r="R133" s="10">
        <f t="shared" si="32"/>
        <v>0</v>
      </c>
      <c r="S133" s="10">
        <f t="shared" si="33"/>
        <v>0</v>
      </c>
      <c r="T133" s="29" t="s">
        <v>321</v>
      </c>
      <c r="U133" s="145">
        <v>0.33</v>
      </c>
      <c r="V133" s="10" t="str">
        <f>VLOOKUP(D133,A!B$1:T$1125,16,FALSE)</f>
        <v/>
      </c>
      <c r="W133" s="10">
        <f t="shared" si="34"/>
        <v>0</v>
      </c>
      <c r="X133" s="29"/>
      <c r="Y133" s="29"/>
      <c r="Z133" s="29"/>
      <c r="AA133" s="29"/>
    </row>
    <row r="134" spans="1:67" s="3" customFormat="1" ht="13.5" hidden="1" customHeight="1" x14ac:dyDescent="0.25">
      <c r="A134" t="str">
        <f>IF(R134=0,"",COUNTIF(A$13:A133,"&gt;0")+1)</f>
        <v/>
      </c>
      <c r="B134" s="4"/>
      <c r="C134" s="5" t="s">
        <v>22</v>
      </c>
      <c r="D134" s="172" t="s">
        <v>1550</v>
      </c>
      <c r="E134" s="173"/>
      <c r="F134" s="173"/>
      <c r="G134" s="6" t="s">
        <v>1546</v>
      </c>
      <c r="H134" s="7">
        <f>VLOOKUP(D134,A!B$1:L$1126,3,FALSE)</f>
        <v>0</v>
      </c>
      <c r="I134" s="31">
        <f>VLOOKUP(D134,A!B$1:L$1126,3,FALSE)</f>
        <v>0</v>
      </c>
      <c r="J134" s="92"/>
      <c r="K134" s="63" t="str">
        <f>VLOOKUP(D134,A!B$1:L$1126,6,FALSE)</f>
        <v/>
      </c>
      <c r="L134" s="162"/>
      <c r="M134" s="41" t="s">
        <v>1551</v>
      </c>
      <c r="N134" s="94">
        <f>VLOOKUP(D134,A!B$1:L$1125,2,FALSE)</f>
        <v>0</v>
      </c>
      <c r="O134" s="94">
        <f>VLOOKUP(D134,A!B$1:L$1126,4,FALSE)</f>
        <v>0</v>
      </c>
      <c r="P134" s="10">
        <v>10</v>
      </c>
      <c r="Q134" s="10">
        <v>2.69</v>
      </c>
      <c r="R134" s="10">
        <f t="shared" si="32"/>
        <v>0</v>
      </c>
      <c r="S134" s="10">
        <f t="shared" si="33"/>
        <v>0</v>
      </c>
      <c r="T134" s="29" t="s">
        <v>321</v>
      </c>
      <c r="U134" s="145">
        <v>0.33</v>
      </c>
      <c r="V134" s="10" t="str">
        <f>VLOOKUP(D134,A!B$1:T$1125,16,FALSE)</f>
        <v/>
      </c>
      <c r="W134" s="10">
        <f t="shared" si="34"/>
        <v>0</v>
      </c>
      <c r="X134" s="29"/>
      <c r="Y134" s="29"/>
      <c r="Z134" s="29"/>
      <c r="AA134" s="29"/>
    </row>
    <row r="135" spans="1:67" s="3" customFormat="1" ht="13.5" hidden="1" customHeight="1" x14ac:dyDescent="0.25">
      <c r="A135" t="str">
        <f>IF(R135=0,"",COUNTIF(A$13:A134,"&gt;0")+1)</f>
        <v/>
      </c>
      <c r="B135" s="4"/>
      <c r="C135" s="5" t="s">
        <v>22</v>
      </c>
      <c r="D135" s="7" t="s">
        <v>1552</v>
      </c>
      <c r="E135" s="31"/>
      <c r="F135" s="31"/>
      <c r="G135" s="6" t="s">
        <v>1553</v>
      </c>
      <c r="H135" s="7">
        <f>VLOOKUP(D135,A!B$1:L$1126,3,FALSE)</f>
        <v>0</v>
      </c>
      <c r="I135" s="31">
        <f>VLOOKUP(D135,A!B$1:L$1126,3,FALSE)</f>
        <v>0</v>
      </c>
      <c r="J135" s="92"/>
      <c r="K135" s="63" t="str">
        <f>VLOOKUP(D135,A!B$1:L$1126,6,FALSE)</f>
        <v/>
      </c>
      <c r="L135" s="162"/>
      <c r="M135" s="41" t="s">
        <v>1554</v>
      </c>
      <c r="N135" s="94">
        <f>VLOOKUP(D135,A!B$1:L$1125,2,FALSE)</f>
        <v>0</v>
      </c>
      <c r="O135" s="94">
        <f>VLOOKUP(D135,A!B$1:L$1126,4,FALSE)</f>
        <v>0</v>
      </c>
      <c r="P135" s="10">
        <v>10</v>
      </c>
      <c r="Q135" s="10">
        <v>2.69</v>
      </c>
      <c r="R135" s="10">
        <f t="shared" si="32"/>
        <v>0</v>
      </c>
      <c r="S135" s="10">
        <f t="shared" si="33"/>
        <v>0</v>
      </c>
      <c r="T135" s="29" t="s">
        <v>321</v>
      </c>
      <c r="U135" s="145">
        <v>0.33</v>
      </c>
      <c r="V135" s="10" t="str">
        <f>VLOOKUP(D135,A!B$1:T$1125,16,FALSE)</f>
        <v/>
      </c>
      <c r="W135" s="10">
        <f t="shared" si="34"/>
        <v>0</v>
      </c>
      <c r="X135" s="29"/>
      <c r="Y135" s="29"/>
      <c r="Z135" s="29"/>
      <c r="AA135" s="29"/>
    </row>
    <row r="136" spans="1:67" s="3" customFormat="1" ht="13.5" hidden="1" customHeight="1" x14ac:dyDescent="0.25">
      <c r="A136" t="str">
        <f>IF(R136=0,"",COUNTIF(A$13:A135,"&gt;0")+1)</f>
        <v/>
      </c>
      <c r="B136" s="4"/>
      <c r="C136" s="5" t="s">
        <v>22</v>
      </c>
      <c r="D136" s="7" t="s">
        <v>1555</v>
      </c>
      <c r="E136" s="31"/>
      <c r="F136" s="31"/>
      <c r="G136" s="6" t="s">
        <v>1556</v>
      </c>
      <c r="H136" s="7">
        <f>VLOOKUP(D136,A!B$1:L$1126,3,FALSE)</f>
        <v>0</v>
      </c>
      <c r="I136" s="31">
        <f>VLOOKUP(D136,A!B$1:L$1126,3,FALSE)</f>
        <v>0</v>
      </c>
      <c r="J136" s="92"/>
      <c r="K136" s="63" t="str">
        <f>VLOOKUP(D136,A!B$1:L$1126,6,FALSE)</f>
        <v/>
      </c>
      <c r="L136" s="162"/>
      <c r="M136" s="43" t="s">
        <v>1557</v>
      </c>
      <c r="N136" s="94">
        <f>VLOOKUP(D136,A!B$1:L$1125,2,FALSE)</f>
        <v>0</v>
      </c>
      <c r="O136" s="94">
        <f>VLOOKUP(D136,A!B$1:L$1126,4,FALSE)</f>
        <v>0</v>
      </c>
      <c r="P136" s="10">
        <v>10</v>
      </c>
      <c r="Q136" s="10">
        <v>2.69</v>
      </c>
      <c r="R136" s="10">
        <f t="shared" si="32"/>
        <v>0</v>
      </c>
      <c r="S136" s="10">
        <f t="shared" si="33"/>
        <v>0</v>
      </c>
      <c r="T136" s="29" t="s">
        <v>321</v>
      </c>
      <c r="U136" s="145">
        <v>0.33</v>
      </c>
      <c r="V136" s="10" t="str">
        <f>VLOOKUP(D136,A!B$1:T$1125,16,FALSE)</f>
        <v/>
      </c>
      <c r="W136" s="10">
        <f t="shared" si="34"/>
        <v>0</v>
      </c>
      <c r="X136" s="29"/>
      <c r="Y136" s="29"/>
      <c r="Z136" s="29"/>
      <c r="AA136" s="29"/>
    </row>
    <row r="137" spans="1:67" s="3" customFormat="1" ht="13.5" hidden="1" customHeight="1" x14ac:dyDescent="0.25">
      <c r="A137" t="str">
        <f>IF(R137=0,"",COUNTIF(A$13:A136,"&gt;0")+1)</f>
        <v/>
      </c>
      <c r="B137" s="4"/>
      <c r="C137" s="5" t="s">
        <v>22</v>
      </c>
      <c r="D137" s="7" t="s">
        <v>1558</v>
      </c>
      <c r="E137" s="31"/>
      <c r="F137" s="31"/>
      <c r="G137" s="6" t="s">
        <v>1559</v>
      </c>
      <c r="H137" s="7">
        <f>VLOOKUP(D137,A!B$1:L$1126,3,FALSE)</f>
        <v>0</v>
      </c>
      <c r="I137" s="31">
        <f>VLOOKUP(D137,A!B$1:L$1126,3,FALSE)</f>
        <v>0</v>
      </c>
      <c r="J137" s="92"/>
      <c r="K137" s="63" t="str">
        <f>VLOOKUP(D137,A!B$1:L$1126,6,FALSE)</f>
        <v/>
      </c>
      <c r="L137" s="162"/>
      <c r="M137" s="41" t="s">
        <v>1560</v>
      </c>
      <c r="N137" s="94">
        <f>VLOOKUP(D137,A!B$1:L$1125,2,FALSE)</f>
        <v>0</v>
      </c>
      <c r="O137" s="94">
        <f>VLOOKUP(D137,A!B$1:L$1126,4,FALSE)</f>
        <v>0</v>
      </c>
      <c r="P137" s="10">
        <v>10</v>
      </c>
      <c r="Q137" s="10">
        <v>2.69</v>
      </c>
      <c r="R137" s="10">
        <f t="shared" si="32"/>
        <v>0</v>
      </c>
      <c r="S137" s="10">
        <f t="shared" si="33"/>
        <v>0</v>
      </c>
      <c r="T137" s="29" t="s">
        <v>321</v>
      </c>
      <c r="U137" s="145">
        <v>0.33</v>
      </c>
      <c r="V137" s="10" t="str">
        <f>VLOOKUP(D137,A!B$1:T$1125,16,FALSE)</f>
        <v/>
      </c>
      <c r="W137" s="10">
        <f t="shared" si="34"/>
        <v>0</v>
      </c>
      <c r="X137" s="29"/>
      <c r="Y137" s="29"/>
      <c r="Z137" s="29"/>
      <c r="AA137" s="29"/>
    </row>
    <row r="138" spans="1:67" s="3" customFormat="1" ht="13.5" hidden="1" customHeight="1" x14ac:dyDescent="0.25">
      <c r="A138" t="str">
        <f>IF(R138=0,"",COUNTIF(A$13:A137,"&gt;0")+1)</f>
        <v/>
      </c>
      <c r="B138" s="4"/>
      <c r="C138" s="5" t="s">
        <v>22</v>
      </c>
      <c r="D138" s="7" t="s">
        <v>1561</v>
      </c>
      <c r="E138" s="31"/>
      <c r="F138" s="31"/>
      <c r="G138" s="6" t="s">
        <v>1562</v>
      </c>
      <c r="H138" s="7">
        <f>VLOOKUP(D138,A!B$1:L$1126,3,FALSE)</f>
        <v>0</v>
      </c>
      <c r="I138" s="31">
        <f>VLOOKUP(D138,A!B$1:L$1126,3,FALSE)</f>
        <v>0</v>
      </c>
      <c r="J138" s="92"/>
      <c r="K138" s="63" t="str">
        <f>VLOOKUP(D138,A!B$1:L$1126,6,FALSE)</f>
        <v/>
      </c>
      <c r="L138" s="162"/>
      <c r="M138" s="42" t="s">
        <v>1563</v>
      </c>
      <c r="N138" s="94">
        <f>VLOOKUP(D138,A!B$1:L$1125,2,FALSE)</f>
        <v>0</v>
      </c>
      <c r="O138" s="94">
        <f>VLOOKUP(D138,A!B$1:L$1126,4,FALSE)</f>
        <v>0</v>
      </c>
      <c r="P138" s="10">
        <v>10</v>
      </c>
      <c r="Q138" s="10">
        <v>2.69</v>
      </c>
      <c r="R138" s="10">
        <f t="shared" si="32"/>
        <v>0</v>
      </c>
      <c r="S138" s="10">
        <f t="shared" si="33"/>
        <v>0</v>
      </c>
      <c r="T138" s="29" t="s">
        <v>321</v>
      </c>
      <c r="U138" s="145">
        <v>0.33</v>
      </c>
      <c r="V138" s="10" t="str">
        <f>VLOOKUP(D138,A!B$1:T$1125,16,FALSE)</f>
        <v/>
      </c>
      <c r="W138" s="10">
        <f t="shared" si="34"/>
        <v>0</v>
      </c>
      <c r="X138" s="29"/>
      <c r="Y138" s="29"/>
      <c r="Z138" s="29"/>
      <c r="AA138" s="29"/>
    </row>
    <row r="139" spans="1:67" s="3" customFormat="1" ht="13.5" hidden="1" customHeight="1" x14ac:dyDescent="0.25">
      <c r="A139" t="str">
        <f>IF(R139=0,"",COUNTIF(A$13:A138,"&gt;0")+1)</f>
        <v/>
      </c>
      <c r="B139" s="4"/>
      <c r="C139" s="5" t="s">
        <v>22</v>
      </c>
      <c r="D139" s="7" t="s">
        <v>1564</v>
      </c>
      <c r="E139" s="31"/>
      <c r="F139" s="31"/>
      <c r="G139" s="6" t="s">
        <v>1562</v>
      </c>
      <c r="H139" s="7">
        <f>VLOOKUP(D139,A!B$1:L$1126,3,FALSE)</f>
        <v>0</v>
      </c>
      <c r="I139" s="31">
        <f>VLOOKUP(D139,A!B$1:L$1126,3,FALSE)</f>
        <v>0</v>
      </c>
      <c r="J139" s="92"/>
      <c r="K139" s="63" t="str">
        <f>VLOOKUP(D139,A!B$1:L$1126,6,FALSE)</f>
        <v/>
      </c>
      <c r="L139" s="162"/>
      <c r="M139" s="42" t="s">
        <v>1565</v>
      </c>
      <c r="N139" s="94">
        <f>VLOOKUP(D139,A!B$1:L$1125,2,FALSE)</f>
        <v>0</v>
      </c>
      <c r="O139" s="94">
        <f>VLOOKUP(D139,A!B$1:L$1126,4,FALSE)</f>
        <v>0</v>
      </c>
      <c r="P139" s="10">
        <v>10</v>
      </c>
      <c r="Q139" s="10">
        <v>2.69</v>
      </c>
      <c r="R139" s="10">
        <f t="shared" si="32"/>
        <v>0</v>
      </c>
      <c r="S139" s="10">
        <f t="shared" si="33"/>
        <v>0</v>
      </c>
      <c r="T139" s="29" t="s">
        <v>321</v>
      </c>
      <c r="U139" s="145">
        <v>0.33</v>
      </c>
      <c r="V139" s="10" t="str">
        <f>VLOOKUP(D139,A!B$1:T$1125,16,FALSE)</f>
        <v/>
      </c>
      <c r="W139" s="10">
        <f t="shared" si="34"/>
        <v>0</v>
      </c>
      <c r="X139" s="29"/>
      <c r="Y139" s="29"/>
      <c r="Z139" s="29"/>
      <c r="AA139" s="29"/>
    </row>
    <row r="140" spans="1:67" s="3" customFormat="1" ht="13.5" hidden="1" customHeight="1" x14ac:dyDescent="0.25">
      <c r="A140" t="str">
        <f>IF(R140=0,"",COUNTIF(A$13:A139,"&gt;0")+1)</f>
        <v/>
      </c>
      <c r="B140" s="4"/>
      <c r="C140" s="5" t="s">
        <v>22</v>
      </c>
      <c r="D140" s="7" t="s">
        <v>1566</v>
      </c>
      <c r="E140" s="31"/>
      <c r="F140" s="31"/>
      <c r="G140" s="6" t="s">
        <v>1562</v>
      </c>
      <c r="H140" s="7">
        <f>VLOOKUP(D140,A!B$1:L$1126,3,FALSE)</f>
        <v>0</v>
      </c>
      <c r="I140" s="31">
        <f>VLOOKUP(D140,A!B$1:L$1126,3,FALSE)</f>
        <v>0</v>
      </c>
      <c r="J140" s="92"/>
      <c r="K140" s="63" t="str">
        <f>VLOOKUP(D140,A!B$1:L$1126,6,FALSE)</f>
        <v/>
      </c>
      <c r="L140" s="162"/>
      <c r="M140" s="42" t="s">
        <v>1567</v>
      </c>
      <c r="N140" s="94">
        <f>VLOOKUP(D140,A!B$1:L$1125,2,FALSE)</f>
        <v>0</v>
      </c>
      <c r="O140" s="94">
        <f>VLOOKUP(D140,A!B$1:L$1126,4,FALSE)</f>
        <v>0</v>
      </c>
      <c r="P140" s="10">
        <v>10</v>
      </c>
      <c r="Q140" s="10">
        <v>2.69</v>
      </c>
      <c r="R140" s="10">
        <f t="shared" si="32"/>
        <v>0</v>
      </c>
      <c r="S140" s="10">
        <f t="shared" si="33"/>
        <v>0</v>
      </c>
      <c r="T140" s="29" t="s">
        <v>321</v>
      </c>
      <c r="U140" s="145">
        <v>0.33</v>
      </c>
      <c r="V140" s="10" t="str">
        <f>VLOOKUP(D140,A!B$1:T$1125,16,FALSE)</f>
        <v/>
      </c>
      <c r="W140" s="10">
        <f t="shared" si="34"/>
        <v>0</v>
      </c>
      <c r="X140" s="29"/>
      <c r="Y140" s="29"/>
      <c r="Z140" s="29"/>
      <c r="AA140" s="29"/>
    </row>
    <row r="141" spans="1:67" s="3" customFormat="1" ht="13.5" hidden="1" customHeight="1" x14ac:dyDescent="0.25">
      <c r="A141" t="str">
        <f>IF(R141=0,"",COUNTIF(A$13:A140,"&gt;0")+1)</f>
        <v/>
      </c>
      <c r="B141" s="4"/>
      <c r="C141" s="5" t="s">
        <v>22</v>
      </c>
      <c r="D141" s="7" t="s">
        <v>1568</v>
      </c>
      <c r="E141" s="31"/>
      <c r="F141" s="31"/>
      <c r="G141" s="6" t="s">
        <v>1562</v>
      </c>
      <c r="H141" s="7">
        <f>VLOOKUP(D141,A!B$1:L$1126,3,FALSE)</f>
        <v>0</v>
      </c>
      <c r="I141" s="31">
        <f>VLOOKUP(D141,A!B$1:L$1126,3,FALSE)</f>
        <v>0</v>
      </c>
      <c r="J141" s="92"/>
      <c r="K141" s="63" t="str">
        <f>VLOOKUP(D141,A!B$1:L$1126,6,FALSE)</f>
        <v/>
      </c>
      <c r="L141" s="162"/>
      <c r="M141" s="43" t="s">
        <v>1569</v>
      </c>
      <c r="N141" s="94">
        <f>VLOOKUP(D141,A!B$1:L$1125,2,FALSE)</f>
        <v>0</v>
      </c>
      <c r="O141" s="94">
        <f>VLOOKUP(D141,A!B$1:L$1126,4,FALSE)</f>
        <v>0</v>
      </c>
      <c r="P141" s="10">
        <v>10</v>
      </c>
      <c r="Q141" s="10">
        <v>2.69</v>
      </c>
      <c r="R141" s="10">
        <f t="shared" si="32"/>
        <v>0</v>
      </c>
      <c r="S141" s="10">
        <f t="shared" si="33"/>
        <v>0</v>
      </c>
      <c r="T141" s="29" t="s">
        <v>321</v>
      </c>
      <c r="U141" s="145">
        <v>0.33</v>
      </c>
      <c r="V141" s="10" t="str">
        <f>VLOOKUP(D141,A!B$1:T$1125,16,FALSE)</f>
        <v/>
      </c>
      <c r="W141" s="10">
        <f t="shared" si="34"/>
        <v>0</v>
      </c>
      <c r="X141" s="29"/>
      <c r="Y141" s="29"/>
      <c r="Z141" s="29"/>
      <c r="AA141" s="29"/>
    </row>
    <row r="142" spans="1:67" s="3" customFormat="1" ht="13.5" hidden="1" customHeight="1" x14ac:dyDescent="0.25">
      <c r="A142" t="str">
        <f>IF(R142=0,"",COUNTIF(A$13:A141,"&gt;0")+1)</f>
        <v/>
      </c>
      <c r="B142" s="4"/>
      <c r="C142" s="5" t="s">
        <v>22</v>
      </c>
      <c r="D142" s="7" t="s">
        <v>1570</v>
      </c>
      <c r="E142" s="31"/>
      <c r="F142" s="31"/>
      <c r="G142" s="6" t="s">
        <v>1562</v>
      </c>
      <c r="H142" s="7">
        <f>VLOOKUP(D142,A!B$1:L$1126,3,FALSE)</f>
        <v>0</v>
      </c>
      <c r="I142" s="31">
        <f>VLOOKUP(D142,A!B$1:L$1126,3,FALSE)</f>
        <v>0</v>
      </c>
      <c r="J142" s="92"/>
      <c r="K142" s="63" t="str">
        <f>VLOOKUP(D142,A!B$1:L$1126,6,FALSE)</f>
        <v/>
      </c>
      <c r="L142" s="162"/>
      <c r="M142" s="43" t="s">
        <v>1571</v>
      </c>
      <c r="N142" s="94">
        <f>VLOOKUP(D142,A!B$1:L$1125,2,FALSE)</f>
        <v>0</v>
      </c>
      <c r="O142" s="94">
        <f>VLOOKUP(D142,A!B$1:L$1126,4,FALSE)</f>
        <v>0</v>
      </c>
      <c r="P142" s="10">
        <v>10</v>
      </c>
      <c r="Q142" s="10">
        <v>2.69</v>
      </c>
      <c r="R142" s="10">
        <f t="shared" si="32"/>
        <v>0</v>
      </c>
      <c r="S142" s="10">
        <f t="shared" si="33"/>
        <v>0</v>
      </c>
      <c r="T142" s="29" t="s">
        <v>321</v>
      </c>
      <c r="U142" s="145">
        <v>0.33</v>
      </c>
      <c r="V142" s="10" t="str">
        <f>VLOOKUP(D142,A!B$1:T$1125,16,FALSE)</f>
        <v/>
      </c>
      <c r="W142" s="10">
        <f t="shared" si="34"/>
        <v>0</v>
      </c>
      <c r="X142" s="29"/>
      <c r="Y142" s="29"/>
      <c r="Z142" s="29"/>
      <c r="AA142" s="29"/>
    </row>
    <row r="143" spans="1:67" s="3" customFormat="1" ht="13.5" hidden="1" customHeight="1" x14ac:dyDescent="0.25">
      <c r="A143" t="str">
        <f>IF(R143=0,"",COUNTIF(A$13:A142,"&gt;0")+1)</f>
        <v/>
      </c>
      <c r="B143" s="4"/>
      <c r="C143" s="5" t="s">
        <v>22</v>
      </c>
      <c r="D143" s="7" t="s">
        <v>1572</v>
      </c>
      <c r="E143" s="31"/>
      <c r="F143" s="31"/>
      <c r="G143" s="6" t="s">
        <v>1562</v>
      </c>
      <c r="H143" s="7">
        <f>VLOOKUP(D143,A!B$1:L$1126,3,FALSE)</f>
        <v>0</v>
      </c>
      <c r="I143" s="31">
        <f>VLOOKUP(D143,A!B$1:L$1126,3,FALSE)</f>
        <v>0</v>
      </c>
      <c r="J143" s="92"/>
      <c r="K143" s="63" t="str">
        <f>VLOOKUP(D143,A!B$1:L$1126,6,FALSE)</f>
        <v/>
      </c>
      <c r="L143" s="162"/>
      <c r="M143" s="43" t="s">
        <v>1573</v>
      </c>
      <c r="N143" s="94">
        <f>VLOOKUP(D143,A!B$1:L$1125,2,FALSE)</f>
        <v>0</v>
      </c>
      <c r="O143" s="94">
        <f>VLOOKUP(D143,A!B$1:L$1126,4,FALSE)</f>
        <v>0</v>
      </c>
      <c r="P143" s="10">
        <v>10</v>
      </c>
      <c r="Q143" s="10">
        <v>2.69</v>
      </c>
      <c r="R143" s="10">
        <f t="shared" si="32"/>
        <v>0</v>
      </c>
      <c r="S143" s="10">
        <f t="shared" si="33"/>
        <v>0</v>
      </c>
      <c r="T143" s="29" t="s">
        <v>321</v>
      </c>
      <c r="U143" s="145">
        <v>0.33</v>
      </c>
      <c r="V143" s="10" t="str">
        <f>VLOOKUP(D143,A!B$1:T$1125,16,FALSE)</f>
        <v/>
      </c>
      <c r="W143" s="10">
        <f t="shared" si="34"/>
        <v>0</v>
      </c>
      <c r="X143" s="29"/>
      <c r="Y143" s="29"/>
      <c r="Z143" s="29"/>
      <c r="AA143" s="29"/>
    </row>
    <row r="144" spans="1:67" s="3" customFormat="1" ht="13.5" hidden="1" customHeight="1" x14ac:dyDescent="0.25">
      <c r="A144" t="str">
        <f>IF(R144=0,"",COUNTIF(A$13:A143,"&gt;0")+1)</f>
        <v/>
      </c>
      <c r="B144" s="4"/>
      <c r="C144" s="5" t="s">
        <v>22</v>
      </c>
      <c r="D144" s="7" t="s">
        <v>1574</v>
      </c>
      <c r="E144" s="31"/>
      <c r="F144" s="31"/>
      <c r="G144" s="6" t="s">
        <v>1562</v>
      </c>
      <c r="H144" s="7">
        <f>VLOOKUP(D144,A!B$1:L$1126,3,FALSE)</f>
        <v>0</v>
      </c>
      <c r="I144" s="31">
        <f>VLOOKUP(D144,A!B$1:L$1126,3,FALSE)</f>
        <v>0</v>
      </c>
      <c r="J144" s="92"/>
      <c r="K144" s="63" t="str">
        <f>VLOOKUP(D144,A!B$1:L$1126,6,FALSE)</f>
        <v/>
      </c>
      <c r="L144" s="180"/>
      <c r="M144" s="43" t="s">
        <v>1575</v>
      </c>
      <c r="N144" s="94">
        <f>VLOOKUP(D144,A!B$1:L$1125,2,FALSE)</f>
        <v>0</v>
      </c>
      <c r="O144" s="94">
        <f>VLOOKUP(D144,A!B$1:L$1126,4,FALSE)</f>
        <v>0</v>
      </c>
      <c r="P144" s="10">
        <v>10</v>
      </c>
      <c r="Q144" s="10">
        <v>2.69</v>
      </c>
      <c r="R144" s="10">
        <f t="shared" ref="R144:R207" si="38">B144*P144</f>
        <v>0</v>
      </c>
      <c r="S144" s="10">
        <f t="shared" ref="S144:S207" si="39">R144*Q144</f>
        <v>0</v>
      </c>
      <c r="T144" s="29" t="s">
        <v>321</v>
      </c>
      <c r="U144" s="145">
        <v>0.33</v>
      </c>
      <c r="V144" s="10" t="str">
        <f>VLOOKUP(D144,A!B$1:T$1125,16,FALSE)</f>
        <v/>
      </c>
      <c r="W144" s="10">
        <f t="shared" ref="W144:W207" si="40">U144*B144</f>
        <v>0</v>
      </c>
      <c r="X144" s="29"/>
      <c r="Y144" s="29"/>
      <c r="Z144" s="29"/>
      <c r="AA144" s="29"/>
    </row>
    <row r="145" spans="1:67" s="3" customFormat="1" ht="13.5" hidden="1" customHeight="1" x14ac:dyDescent="0.25">
      <c r="A145" t="str">
        <f>IF(R145=0,"",COUNTIF(A$13:A144,"&gt;0")+1)</f>
        <v/>
      </c>
      <c r="B145" s="4"/>
      <c r="C145" s="5" t="s">
        <v>22</v>
      </c>
      <c r="D145" s="7" t="s">
        <v>1576</v>
      </c>
      <c r="E145" s="31"/>
      <c r="F145" s="31"/>
      <c r="G145" s="6" t="s">
        <v>1562</v>
      </c>
      <c r="H145" s="7">
        <f>VLOOKUP(D145,A!B$1:L$1126,3,FALSE)</f>
        <v>0</v>
      </c>
      <c r="I145" s="31">
        <f>VLOOKUP(D145,A!B$1:L$1126,3,FALSE)</f>
        <v>0</v>
      </c>
      <c r="J145" s="92"/>
      <c r="K145" s="63" t="str">
        <f>VLOOKUP(D145,A!B$1:L$1126,6,FALSE)</f>
        <v/>
      </c>
      <c r="L145" s="162"/>
      <c r="M145" s="43" t="s">
        <v>1577</v>
      </c>
      <c r="N145" s="94">
        <f>VLOOKUP(D145,A!B$1:L$1125,2,FALSE)</f>
        <v>0</v>
      </c>
      <c r="O145" s="94">
        <f>VLOOKUP(D145,A!B$1:L$1126,4,FALSE)</f>
        <v>0</v>
      </c>
      <c r="P145" s="10">
        <v>10</v>
      </c>
      <c r="Q145" s="10">
        <v>2.69</v>
      </c>
      <c r="R145" s="10">
        <f t="shared" si="38"/>
        <v>0</v>
      </c>
      <c r="S145" s="10">
        <f t="shared" si="39"/>
        <v>0</v>
      </c>
      <c r="T145" s="29" t="s">
        <v>321</v>
      </c>
      <c r="U145" s="145">
        <v>0.33</v>
      </c>
      <c r="V145" s="10" t="str">
        <f>VLOOKUP(D145,A!B$1:T$1125,16,FALSE)</f>
        <v/>
      </c>
      <c r="W145" s="10">
        <f t="shared" si="40"/>
        <v>0</v>
      </c>
      <c r="X145" s="29"/>
      <c r="Y145" s="29"/>
      <c r="Z145" s="29"/>
      <c r="AA145" s="29"/>
    </row>
    <row r="146" spans="1:67" s="3" customFormat="1" ht="13.5" hidden="1" customHeight="1" x14ac:dyDescent="0.25">
      <c r="A146" t="str">
        <f>IF(R146=0,"",COUNTIF(A$13:A145,"&gt;0")+1)</f>
        <v/>
      </c>
      <c r="B146" s="4"/>
      <c r="C146" s="5" t="s">
        <v>22</v>
      </c>
      <c r="D146" s="7" t="s">
        <v>1578</v>
      </c>
      <c r="E146" s="31"/>
      <c r="F146" s="31"/>
      <c r="G146" s="6" t="s">
        <v>1562</v>
      </c>
      <c r="H146" s="7">
        <f>VLOOKUP(D146,A!B$1:L$1126,3,FALSE)</f>
        <v>0</v>
      </c>
      <c r="I146" s="31">
        <f>VLOOKUP(D146,A!B$1:L$1126,3,FALSE)</f>
        <v>0</v>
      </c>
      <c r="J146" s="92"/>
      <c r="K146" s="63" t="str">
        <f>VLOOKUP(D146,A!B$1:L$1126,6,FALSE)</f>
        <v/>
      </c>
      <c r="L146" s="162"/>
      <c r="M146" s="43" t="s">
        <v>1579</v>
      </c>
      <c r="N146" s="94">
        <f>VLOOKUP(D146,A!B$1:L$1125,2,FALSE)</f>
        <v>0</v>
      </c>
      <c r="O146" s="94">
        <f>VLOOKUP(D146,A!B$1:L$1126,4,FALSE)</f>
        <v>0</v>
      </c>
      <c r="P146" s="10">
        <v>10</v>
      </c>
      <c r="Q146" s="10">
        <v>2.69</v>
      </c>
      <c r="R146" s="10">
        <f t="shared" si="38"/>
        <v>0</v>
      </c>
      <c r="S146" s="10">
        <f t="shared" si="39"/>
        <v>0</v>
      </c>
      <c r="T146" s="29" t="s">
        <v>321</v>
      </c>
      <c r="U146" s="145">
        <v>0.33</v>
      </c>
      <c r="V146" s="10" t="str">
        <f>VLOOKUP(D146,A!B$1:T$1125,16,FALSE)</f>
        <v/>
      </c>
      <c r="W146" s="10">
        <f t="shared" si="40"/>
        <v>0</v>
      </c>
      <c r="X146" s="29"/>
      <c r="Y146" s="29"/>
      <c r="Z146" s="29"/>
      <c r="AA146" s="29"/>
    </row>
    <row r="147" spans="1:67" s="3" customFormat="1" ht="13.5" hidden="1" customHeight="1" x14ac:dyDescent="0.25">
      <c r="A147" t="str">
        <f>IF(R147=0,"",COUNTIF(A$13:A146,"&gt;0")+1)</f>
        <v/>
      </c>
      <c r="B147" s="4"/>
      <c r="C147" s="5" t="s">
        <v>22</v>
      </c>
      <c r="D147" s="7" t="s">
        <v>1580</v>
      </c>
      <c r="E147" s="31"/>
      <c r="F147" s="31"/>
      <c r="G147" s="6" t="s">
        <v>1562</v>
      </c>
      <c r="H147" s="7">
        <f>VLOOKUP(D147,A!B$1:L$1126,3,FALSE)</f>
        <v>0</v>
      </c>
      <c r="I147" s="31">
        <f>VLOOKUP(D147,A!B$1:L$1126,3,FALSE)</f>
        <v>0</v>
      </c>
      <c r="J147" s="92"/>
      <c r="K147" s="63" t="str">
        <f>VLOOKUP(D147,A!B$1:L$1126,6,FALSE)</f>
        <v/>
      </c>
      <c r="L147" s="162"/>
      <c r="M147" s="42" t="s">
        <v>1581</v>
      </c>
      <c r="N147" s="94">
        <f>VLOOKUP(D147,A!B$1:L$1125,2,FALSE)</f>
        <v>0</v>
      </c>
      <c r="O147" s="94">
        <f>VLOOKUP(D147,A!B$1:L$1126,4,FALSE)</f>
        <v>0</v>
      </c>
      <c r="P147" s="10">
        <v>10</v>
      </c>
      <c r="Q147" s="10">
        <v>2.69</v>
      </c>
      <c r="R147" s="10">
        <f t="shared" si="38"/>
        <v>0</v>
      </c>
      <c r="S147" s="10">
        <f t="shared" si="39"/>
        <v>0</v>
      </c>
      <c r="T147" s="29" t="s">
        <v>321</v>
      </c>
      <c r="U147" s="145">
        <v>0.33</v>
      </c>
      <c r="V147" s="10" t="str">
        <f>VLOOKUP(D147,A!B$1:T$1125,16,FALSE)</f>
        <v/>
      </c>
      <c r="W147" s="10">
        <f t="shared" si="40"/>
        <v>0</v>
      </c>
      <c r="X147" s="29"/>
      <c r="Y147" s="29"/>
      <c r="Z147" s="29"/>
      <c r="AA147" s="29"/>
    </row>
    <row r="148" spans="1:67" s="3" customFormat="1" ht="13.5" hidden="1" customHeight="1" x14ac:dyDescent="0.25">
      <c r="A148" t="str">
        <f>IF(R148=0,"",COUNTIF(A$13:A147,"&gt;0")+1)</f>
        <v/>
      </c>
      <c r="B148" s="4"/>
      <c r="C148" s="5" t="s">
        <v>22</v>
      </c>
      <c r="D148" s="7" t="s">
        <v>1582</v>
      </c>
      <c r="E148" s="31"/>
      <c r="F148" s="31"/>
      <c r="G148" s="6" t="s">
        <v>1562</v>
      </c>
      <c r="H148" s="7">
        <f>VLOOKUP(D148,A!B$1:L$1126,3,FALSE)</f>
        <v>0</v>
      </c>
      <c r="I148" s="31">
        <f>VLOOKUP(D148,A!B$1:L$1126,3,FALSE)</f>
        <v>0</v>
      </c>
      <c r="J148" s="92"/>
      <c r="K148" s="63" t="str">
        <f>VLOOKUP(D148,A!B$1:L$1126,6,FALSE)</f>
        <v/>
      </c>
      <c r="L148" s="162"/>
      <c r="M148" s="42" t="s">
        <v>1583</v>
      </c>
      <c r="N148" s="94">
        <f>VLOOKUP(D148,A!B$1:L$1125,2,FALSE)</f>
        <v>0</v>
      </c>
      <c r="O148" s="94">
        <f>VLOOKUP(D148,A!B$1:L$1126,4,FALSE)</f>
        <v>0</v>
      </c>
      <c r="P148" s="10">
        <v>10</v>
      </c>
      <c r="Q148" s="10">
        <v>2.69</v>
      </c>
      <c r="R148" s="10">
        <f t="shared" si="38"/>
        <v>0</v>
      </c>
      <c r="S148" s="10">
        <f t="shared" si="39"/>
        <v>0</v>
      </c>
      <c r="T148" s="29" t="s">
        <v>321</v>
      </c>
      <c r="U148" s="145">
        <v>0.33</v>
      </c>
      <c r="V148" s="10" t="str">
        <f>VLOOKUP(D148,A!B$1:T$1125,16,FALSE)</f>
        <v/>
      </c>
      <c r="W148" s="10">
        <f t="shared" si="40"/>
        <v>0</v>
      </c>
      <c r="X148" s="29"/>
      <c r="Y148" s="29"/>
      <c r="Z148" s="29"/>
      <c r="AA148" s="29"/>
    </row>
    <row r="149" spans="1:67" s="3" customFormat="1" ht="13.5" hidden="1" customHeight="1" x14ac:dyDescent="0.25">
      <c r="A149" t="str">
        <f>IF(R149=0,"",COUNTIF(A$13:A148,"&gt;0")+1)</f>
        <v/>
      </c>
      <c r="B149" s="4"/>
      <c r="C149" s="5" t="s">
        <v>22</v>
      </c>
      <c r="D149" s="7" t="s">
        <v>1584</v>
      </c>
      <c r="E149" s="31"/>
      <c r="F149" s="31"/>
      <c r="G149" s="6" t="s">
        <v>1585</v>
      </c>
      <c r="H149" s="7">
        <f>VLOOKUP(D149,A!B$1:L$1126,3,FALSE)</f>
        <v>0</v>
      </c>
      <c r="I149" s="31">
        <f>VLOOKUP(D149,A!B$1:L$1126,3,FALSE)</f>
        <v>0</v>
      </c>
      <c r="J149" s="92"/>
      <c r="K149" s="63" t="str">
        <f>VLOOKUP(D149,A!B$1:L$1126,6,FALSE)</f>
        <v/>
      </c>
      <c r="L149" s="162"/>
      <c r="M149" s="41" t="s">
        <v>1586</v>
      </c>
      <c r="N149" s="94">
        <f>VLOOKUP(D149,A!B$1:L$1125,2,FALSE)</f>
        <v>0</v>
      </c>
      <c r="O149" s="94">
        <f>VLOOKUP(D149,A!B$1:L$1126,4,FALSE)</f>
        <v>0</v>
      </c>
      <c r="P149" s="10">
        <v>10</v>
      </c>
      <c r="Q149" s="10">
        <v>2.69</v>
      </c>
      <c r="R149" s="10">
        <f t="shared" si="38"/>
        <v>0</v>
      </c>
      <c r="S149" s="10">
        <f t="shared" si="39"/>
        <v>0</v>
      </c>
      <c r="T149" s="29" t="s">
        <v>321</v>
      </c>
      <c r="U149" s="145">
        <v>0.33</v>
      </c>
      <c r="V149" s="10" t="str">
        <f>VLOOKUP(D149,A!B$1:T$1125,16,FALSE)</f>
        <v/>
      </c>
      <c r="W149" s="10">
        <f t="shared" si="40"/>
        <v>0</v>
      </c>
      <c r="X149" s="29"/>
      <c r="Y149" s="29"/>
      <c r="Z149" s="29"/>
      <c r="AA149" s="29"/>
    </row>
    <row r="150" spans="1:67" s="3" customFormat="1" ht="13.5" hidden="1" customHeight="1" x14ac:dyDescent="0.25">
      <c r="A150" t="str">
        <f>IF(R150=0,"",COUNTIF(A$13:A149,"&gt;0")+1)</f>
        <v/>
      </c>
      <c r="B150" s="4"/>
      <c r="C150" s="5" t="s">
        <v>22</v>
      </c>
      <c r="D150" s="7" t="s">
        <v>1587</v>
      </c>
      <c r="E150" s="31"/>
      <c r="F150" s="31"/>
      <c r="G150" s="6" t="s">
        <v>1588</v>
      </c>
      <c r="H150" s="7">
        <f>VLOOKUP(D150,A!B$1:L$1126,3,FALSE)</f>
        <v>0</v>
      </c>
      <c r="I150" s="31">
        <f>VLOOKUP(D150,A!B$1:L$1126,3,FALSE)</f>
        <v>0</v>
      </c>
      <c r="J150" s="92"/>
      <c r="K150" s="63" t="str">
        <f>VLOOKUP(D150,A!B$1:L$1126,6,FALSE)</f>
        <v/>
      </c>
      <c r="L150" s="162"/>
      <c r="M150" s="42" t="s">
        <v>1589</v>
      </c>
      <c r="N150" s="94">
        <f>VLOOKUP(D150,A!B$1:L$1125,2,FALSE)</f>
        <v>0</v>
      </c>
      <c r="O150" s="94">
        <f>VLOOKUP(D150,A!B$1:L$1126,4,FALSE)</f>
        <v>0</v>
      </c>
      <c r="P150" s="10">
        <v>10</v>
      </c>
      <c r="Q150" s="10">
        <v>2.69</v>
      </c>
      <c r="R150" s="10">
        <f t="shared" si="38"/>
        <v>0</v>
      </c>
      <c r="S150" s="10">
        <f t="shared" si="39"/>
        <v>0</v>
      </c>
      <c r="T150" s="29" t="s">
        <v>321</v>
      </c>
      <c r="U150" s="145">
        <v>0.33</v>
      </c>
      <c r="V150" s="10" t="str">
        <f>VLOOKUP(D150,A!B$1:T$1125,16,FALSE)</f>
        <v/>
      </c>
      <c r="W150" s="10">
        <f t="shared" si="40"/>
        <v>0</v>
      </c>
      <c r="X150" s="29"/>
      <c r="Y150" s="29"/>
      <c r="Z150" s="29"/>
      <c r="AA150" s="29"/>
    </row>
    <row r="151" spans="1:67" s="3" customFormat="1" ht="13.5" hidden="1" customHeight="1" x14ac:dyDescent="0.25">
      <c r="A151" t="str">
        <f>IF(R151=0,"",COUNTIF(A$13:A150,"&gt;0")+1)</f>
        <v/>
      </c>
      <c r="B151" s="4"/>
      <c r="C151" s="5" t="s">
        <v>22</v>
      </c>
      <c r="D151" s="7" t="s">
        <v>1590</v>
      </c>
      <c r="E151" s="31"/>
      <c r="F151" s="31"/>
      <c r="G151" s="6" t="s">
        <v>1588</v>
      </c>
      <c r="H151" s="7">
        <f>VLOOKUP(D151,A!B$1:L$1126,3,FALSE)</f>
        <v>0</v>
      </c>
      <c r="I151" s="31">
        <f>VLOOKUP(D151,A!B$1:L$1126,3,FALSE)</f>
        <v>0</v>
      </c>
      <c r="J151" s="92"/>
      <c r="K151" s="63" t="str">
        <f>VLOOKUP(D151,A!B$1:L$1126,6,FALSE)</f>
        <v/>
      </c>
      <c r="L151" s="162"/>
      <c r="M151" s="42" t="s">
        <v>1591</v>
      </c>
      <c r="N151" s="94">
        <f>VLOOKUP(D151,A!B$1:L$1125,2,FALSE)</f>
        <v>0</v>
      </c>
      <c r="O151" s="94">
        <f>VLOOKUP(D151,A!B$1:L$1126,4,FALSE)</f>
        <v>0</v>
      </c>
      <c r="P151" s="10">
        <v>10</v>
      </c>
      <c r="Q151" s="10">
        <v>2.69</v>
      </c>
      <c r="R151" s="10">
        <f t="shared" si="38"/>
        <v>0</v>
      </c>
      <c r="S151" s="10">
        <f t="shared" si="39"/>
        <v>0</v>
      </c>
      <c r="T151" s="29" t="s">
        <v>321</v>
      </c>
      <c r="U151" s="145">
        <v>0.33</v>
      </c>
      <c r="V151" s="10" t="str">
        <f>VLOOKUP(D151,A!B$1:T$1125,16,FALSE)</f>
        <v/>
      </c>
      <c r="W151" s="10">
        <f t="shared" si="40"/>
        <v>0</v>
      </c>
      <c r="X151" s="29"/>
      <c r="Y151" s="29"/>
      <c r="Z151" s="29"/>
      <c r="AA151" s="29"/>
    </row>
    <row r="152" spans="1:67" s="3" customFormat="1" ht="13.5" hidden="1" customHeight="1" x14ac:dyDescent="0.25">
      <c r="A152" t="str">
        <f>IF(R152=0,"",COUNTIF(A$13:A151,"&gt;0")+1)</f>
        <v/>
      </c>
      <c r="B152" s="4"/>
      <c r="C152" s="5" t="s">
        <v>22</v>
      </c>
      <c r="D152" s="7" t="s">
        <v>1592</v>
      </c>
      <c r="E152" s="31"/>
      <c r="F152" s="31"/>
      <c r="G152" s="6" t="s">
        <v>1593</v>
      </c>
      <c r="H152" s="7">
        <f>VLOOKUP(D152,A!B$1:L$1126,3,FALSE)</f>
        <v>0</v>
      </c>
      <c r="I152" s="31">
        <f>VLOOKUP(D152,A!B$1:L$1126,3,FALSE)</f>
        <v>0</v>
      </c>
      <c r="J152" s="92"/>
      <c r="K152" s="63" t="str">
        <f>VLOOKUP(D152,A!B$1:L$1126,6,FALSE)</f>
        <v/>
      </c>
      <c r="L152" s="162"/>
      <c r="M152" s="43" t="s">
        <v>1594</v>
      </c>
      <c r="N152" s="94">
        <f>VLOOKUP(D152,A!B$1:L$1125,2,FALSE)</f>
        <v>0</v>
      </c>
      <c r="O152" s="94">
        <f>VLOOKUP(D152,A!B$1:L$1126,4,FALSE)</f>
        <v>0</v>
      </c>
      <c r="P152" s="10">
        <v>10</v>
      </c>
      <c r="Q152" s="10">
        <v>2.69</v>
      </c>
      <c r="R152" s="10">
        <f t="shared" si="38"/>
        <v>0</v>
      </c>
      <c r="S152" s="10">
        <f t="shared" si="39"/>
        <v>0</v>
      </c>
      <c r="T152" s="29" t="s">
        <v>321</v>
      </c>
      <c r="U152" s="145">
        <v>0.33</v>
      </c>
      <c r="V152" s="10" t="str">
        <f>VLOOKUP(D152,A!B$1:T$1125,16,FALSE)</f>
        <v/>
      </c>
      <c r="W152" s="10">
        <f t="shared" si="40"/>
        <v>0</v>
      </c>
      <c r="X152" s="29"/>
      <c r="Y152" s="29"/>
      <c r="Z152" s="29"/>
      <c r="AA152" s="29"/>
    </row>
    <row r="153" spans="1:67" s="3" customFormat="1" ht="13.5" hidden="1" customHeight="1" x14ac:dyDescent="0.25">
      <c r="A153" t="str">
        <f>IF(R153=0,"",COUNTIF(A$13:A152,"&gt;0")+1)</f>
        <v/>
      </c>
      <c r="B153" s="4"/>
      <c r="C153" s="5" t="s">
        <v>22</v>
      </c>
      <c r="D153" s="7" t="s">
        <v>1595</v>
      </c>
      <c r="E153" s="31"/>
      <c r="F153" s="31"/>
      <c r="G153" s="6" t="s">
        <v>1593</v>
      </c>
      <c r="H153" s="7">
        <f>VLOOKUP(D153,A!B$1:L$1126,3,FALSE)</f>
        <v>0</v>
      </c>
      <c r="I153" s="31">
        <f>VLOOKUP(D153,A!B$1:L$1126,3,FALSE)</f>
        <v>0</v>
      </c>
      <c r="J153" s="92"/>
      <c r="K153" s="63" t="str">
        <f>VLOOKUP(D153,A!B$1:L$1126,6,FALSE)</f>
        <v/>
      </c>
      <c r="L153" s="162"/>
      <c r="M153" s="43" t="s">
        <v>1596</v>
      </c>
      <c r="N153" s="94">
        <f>VLOOKUP(D153,A!B$1:L$1125,2,FALSE)</f>
        <v>0</v>
      </c>
      <c r="O153" s="94">
        <f>VLOOKUP(D153,A!B$1:L$1126,4,FALSE)</f>
        <v>0</v>
      </c>
      <c r="P153" s="10">
        <v>10</v>
      </c>
      <c r="Q153" s="10">
        <v>2.69</v>
      </c>
      <c r="R153" s="10">
        <f t="shared" si="38"/>
        <v>0</v>
      </c>
      <c r="S153" s="10">
        <f t="shared" si="39"/>
        <v>0</v>
      </c>
      <c r="T153" s="29" t="s">
        <v>321</v>
      </c>
      <c r="U153" s="145">
        <v>0.33</v>
      </c>
      <c r="V153" s="10" t="str">
        <f>VLOOKUP(D153,A!B$1:T$1125,16,FALSE)</f>
        <v/>
      </c>
      <c r="W153" s="10">
        <f t="shared" si="40"/>
        <v>0</v>
      </c>
      <c r="X153" s="29"/>
      <c r="Y153" s="29"/>
      <c r="Z153" s="29"/>
      <c r="AA153" s="29"/>
    </row>
    <row r="154" spans="1:67" s="3" customFormat="1" ht="13.5" hidden="1" customHeight="1" x14ac:dyDescent="0.25">
      <c r="A154" t="str">
        <f>IF(R154=0,"",COUNTIF(A$13:A153,"&gt;0")+1)</f>
        <v/>
      </c>
      <c r="B154" s="4"/>
      <c r="C154" s="5" t="s">
        <v>22</v>
      </c>
      <c r="D154" s="7" t="s">
        <v>1597</v>
      </c>
      <c r="E154" s="31"/>
      <c r="F154" s="31"/>
      <c r="G154" s="6" t="s">
        <v>1593</v>
      </c>
      <c r="H154" s="7">
        <f>VLOOKUP(D154,A!B$1:L$1126,3,FALSE)</f>
        <v>0</v>
      </c>
      <c r="I154" s="31">
        <f>VLOOKUP(D154,A!B$1:L$1126,3,FALSE)</f>
        <v>0</v>
      </c>
      <c r="J154" s="92"/>
      <c r="K154" s="63" t="str">
        <f>VLOOKUP(D154,A!B$1:L$1126,6,FALSE)</f>
        <v/>
      </c>
      <c r="L154" s="162"/>
      <c r="M154" s="43" t="s">
        <v>1598</v>
      </c>
      <c r="N154" s="94">
        <f>VLOOKUP(D154,A!B$1:L$1125,2,FALSE)</f>
        <v>0</v>
      </c>
      <c r="O154" s="94">
        <f>VLOOKUP(D154,A!B$1:L$1126,4,FALSE)</f>
        <v>0</v>
      </c>
      <c r="P154" s="10">
        <v>10</v>
      </c>
      <c r="Q154" s="10">
        <v>2.69</v>
      </c>
      <c r="R154" s="10">
        <f t="shared" si="38"/>
        <v>0</v>
      </c>
      <c r="S154" s="10">
        <f t="shared" si="39"/>
        <v>0</v>
      </c>
      <c r="T154" s="29" t="s">
        <v>321</v>
      </c>
      <c r="U154" s="145">
        <v>0.33</v>
      </c>
      <c r="V154" s="10" t="str">
        <f>VLOOKUP(D154,A!B$1:T$1125,16,FALSE)</f>
        <v/>
      </c>
      <c r="W154" s="10">
        <f t="shared" si="40"/>
        <v>0</v>
      </c>
      <c r="X154" s="29"/>
      <c r="Y154" s="29"/>
      <c r="Z154" s="29"/>
      <c r="AA154" s="29"/>
    </row>
    <row r="155" spans="1:67" s="3" customFormat="1" ht="13.5" hidden="1" customHeight="1" x14ac:dyDescent="0.25">
      <c r="A155" t="str">
        <f>IF(R155=0,"",COUNTIF(A$13:A154,"&gt;0")+1)</f>
        <v/>
      </c>
      <c r="B155" s="4"/>
      <c r="C155" s="5" t="s">
        <v>22</v>
      </c>
      <c r="D155" s="7" t="s">
        <v>1599</v>
      </c>
      <c r="E155" s="31"/>
      <c r="F155" s="31"/>
      <c r="G155" s="6" t="s">
        <v>1600</v>
      </c>
      <c r="H155" s="7">
        <f>VLOOKUP(D155,A!B$1:L$1126,3,FALSE)</f>
        <v>0</v>
      </c>
      <c r="I155" s="31">
        <f>VLOOKUP(D155,A!B$1:L$1126,3,FALSE)</f>
        <v>0</v>
      </c>
      <c r="J155" s="92"/>
      <c r="K155" s="63" t="str">
        <f>VLOOKUP(D155,A!B$1:L$1126,6,FALSE)</f>
        <v/>
      </c>
      <c r="L155" s="162"/>
      <c r="M155" s="41" t="s">
        <v>1601</v>
      </c>
      <c r="N155" s="94">
        <f>VLOOKUP(D155,A!B$1:L$1125,2,FALSE)</f>
        <v>0</v>
      </c>
      <c r="O155" s="94">
        <f>VLOOKUP(D155,A!B$1:L$1126,4,FALSE)</f>
        <v>0</v>
      </c>
      <c r="P155" s="10">
        <v>10</v>
      </c>
      <c r="Q155" s="10">
        <v>2.69</v>
      </c>
      <c r="R155" s="10">
        <f t="shared" si="38"/>
        <v>0</v>
      </c>
      <c r="S155" s="10">
        <f t="shared" si="39"/>
        <v>0</v>
      </c>
      <c r="T155" s="29" t="s">
        <v>321</v>
      </c>
      <c r="U155" s="145">
        <v>0.33</v>
      </c>
      <c r="V155" s="10" t="str">
        <f>VLOOKUP(D155,A!B$1:T$1125,16,FALSE)</f>
        <v/>
      </c>
      <c r="W155" s="10">
        <f t="shared" si="40"/>
        <v>0</v>
      </c>
      <c r="X155" s="29"/>
      <c r="Y155" s="29"/>
      <c r="Z155" s="29"/>
      <c r="AA155" s="29"/>
    </row>
    <row r="156" spans="1:67" s="3" customFormat="1" ht="13.5" hidden="1" customHeight="1" x14ac:dyDescent="0.25">
      <c r="A156" t="str">
        <f>IF(R156=0,"",COUNTIF(A$13:A155,"&gt;0")+1)</f>
        <v/>
      </c>
      <c r="B156" s="4"/>
      <c r="C156" s="5" t="s">
        <v>22</v>
      </c>
      <c r="D156" s="7" t="s">
        <v>1602</v>
      </c>
      <c r="E156" s="31"/>
      <c r="F156" s="31"/>
      <c r="G156" s="6" t="s">
        <v>1603</v>
      </c>
      <c r="H156" s="7">
        <f>VLOOKUP(D156,A!B$1:L$1126,3,FALSE)</f>
        <v>0</v>
      </c>
      <c r="I156" s="31">
        <f>VLOOKUP(D156,A!B$1:L$1126,3,FALSE)</f>
        <v>0</v>
      </c>
      <c r="J156" s="92"/>
      <c r="K156" s="63" t="str">
        <f>VLOOKUP(D156,A!B$1:L$1126,6,FALSE)</f>
        <v/>
      </c>
      <c r="L156" s="162"/>
      <c r="M156" s="41" t="s">
        <v>1604</v>
      </c>
      <c r="N156" s="94">
        <f>VLOOKUP(D156,A!B$1:L$1125,2,FALSE)</f>
        <v>0</v>
      </c>
      <c r="O156" s="94">
        <f>VLOOKUP(D156,A!B$1:L$1126,4,FALSE)</f>
        <v>0</v>
      </c>
      <c r="P156" s="10">
        <v>10</v>
      </c>
      <c r="Q156" s="10">
        <v>2.69</v>
      </c>
      <c r="R156" s="10">
        <f t="shared" si="38"/>
        <v>0</v>
      </c>
      <c r="S156" s="10">
        <f t="shared" si="39"/>
        <v>0</v>
      </c>
      <c r="T156" s="29" t="s">
        <v>321</v>
      </c>
      <c r="U156" s="145">
        <v>0.33</v>
      </c>
      <c r="V156" s="10" t="str">
        <f>VLOOKUP(D156,A!B$1:T$1125,16,FALSE)</f>
        <v/>
      </c>
      <c r="W156" s="10">
        <f t="shared" si="40"/>
        <v>0</v>
      </c>
      <c r="X156" s="29"/>
      <c r="Y156" s="29"/>
      <c r="Z156" s="29"/>
      <c r="AA156" s="29"/>
    </row>
    <row r="157" spans="1:67" s="3" customFormat="1" ht="13.5" hidden="1" customHeight="1" x14ac:dyDescent="0.25">
      <c r="A157" t="str">
        <f>IF(R157=0,"",COUNTIF(A$13:A156,"&gt;0")+1)</f>
        <v/>
      </c>
      <c r="B157" s="4"/>
      <c r="C157" s="5" t="s">
        <v>22</v>
      </c>
      <c r="D157" s="7" t="s">
        <v>1605</v>
      </c>
      <c r="E157" s="31"/>
      <c r="F157" s="31"/>
      <c r="G157" s="6" t="s">
        <v>226</v>
      </c>
      <c r="H157" s="7">
        <f>VLOOKUP(D157,A!B$1:L$1126,3,FALSE)</f>
        <v>0</v>
      </c>
      <c r="I157" s="31">
        <f>VLOOKUP(D157,A!B$1:L$1126,3,FALSE)</f>
        <v>0</v>
      </c>
      <c r="J157" s="92"/>
      <c r="K157" s="63" t="str">
        <f>VLOOKUP(D157,A!B$1:L$1126,6,FALSE)</f>
        <v/>
      </c>
      <c r="L157" s="162"/>
      <c r="M157" s="42" t="s">
        <v>1606</v>
      </c>
      <c r="N157" s="94">
        <f>VLOOKUP(D157,A!B$1:L$1125,2,FALSE)</f>
        <v>0</v>
      </c>
      <c r="O157" s="94">
        <f>VLOOKUP(D157,A!B$1:L$1126,4,FALSE)</f>
        <v>0</v>
      </c>
      <c r="P157" s="10">
        <v>10</v>
      </c>
      <c r="Q157" s="10">
        <v>2.69</v>
      </c>
      <c r="R157" s="10">
        <f t="shared" si="38"/>
        <v>0</v>
      </c>
      <c r="S157" s="10">
        <f t="shared" si="39"/>
        <v>0</v>
      </c>
      <c r="T157" s="29" t="s">
        <v>321</v>
      </c>
      <c r="U157" s="145">
        <v>0.33</v>
      </c>
      <c r="V157" s="10" t="str">
        <f>VLOOKUP(D157,A!B$1:T$1125,16,FALSE)</f>
        <v/>
      </c>
      <c r="W157" s="10">
        <f t="shared" si="40"/>
        <v>0</v>
      </c>
      <c r="X157" s="29"/>
      <c r="Y157" s="29"/>
      <c r="Z157" s="29"/>
      <c r="AA157" s="29"/>
    </row>
    <row r="158" spans="1:67" s="3" customFormat="1" ht="13.5" customHeight="1" x14ac:dyDescent="0.25">
      <c r="A158" t="str">
        <f>IF(R158=0,"",COUNTIF(A$13:A157,"&gt;0")+1)</f>
        <v/>
      </c>
      <c r="B158" s="4"/>
      <c r="C158" s="5" t="s">
        <v>22</v>
      </c>
      <c r="D158" s="7" t="s">
        <v>225</v>
      </c>
      <c r="E158" s="31"/>
      <c r="F158" s="31"/>
      <c r="G158" s="6" t="s">
        <v>226</v>
      </c>
      <c r="H158" s="7">
        <f>VLOOKUP(D158,A!B$1:L$1126,3,FALSE)</f>
        <v>2</v>
      </c>
      <c r="I158" s="31">
        <f>VLOOKUP(D158,A!B$1:L$1126,3,FALSE)</f>
        <v>2</v>
      </c>
      <c r="J158" s="92"/>
      <c r="K158" s="63" t="str">
        <f>VLOOKUP(D158,A!B$1:L$1126,6,FALSE)</f>
        <v/>
      </c>
      <c r="L158" s="2"/>
      <c r="M158" s="41" t="s">
        <v>227</v>
      </c>
      <c r="N158" s="94" t="str">
        <f>VLOOKUP(D158,A!B$1:L$1125,2,FALSE)</f>
        <v>y</v>
      </c>
      <c r="O158" s="94">
        <f>VLOOKUP(D158,A!B$1:L$1126,4,FALSE)</f>
        <v>1</v>
      </c>
      <c r="P158" s="10">
        <v>10</v>
      </c>
      <c r="Q158" s="10">
        <v>2.69</v>
      </c>
      <c r="R158" s="10">
        <f t="shared" si="38"/>
        <v>0</v>
      </c>
      <c r="S158" s="10">
        <f t="shared" si="39"/>
        <v>0</v>
      </c>
      <c r="T158" s="29" t="s">
        <v>321</v>
      </c>
      <c r="U158" s="145">
        <v>0.33</v>
      </c>
      <c r="V158" s="10" t="str">
        <f>VLOOKUP(D158,A!B$1:T$1125,16,FALSE)</f>
        <v/>
      </c>
      <c r="W158" s="10">
        <f t="shared" si="40"/>
        <v>0</v>
      </c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</row>
    <row r="159" spans="1:67" s="3" customFormat="1" ht="13.5" hidden="1" customHeight="1" x14ac:dyDescent="0.25">
      <c r="A159" t="str">
        <f>IF(R159=0,"",COUNTIF(A$13:A158,"&gt;0")+1)</f>
        <v/>
      </c>
      <c r="B159" s="4"/>
      <c r="C159" s="5" t="s">
        <v>22</v>
      </c>
      <c r="D159" s="7" t="s">
        <v>1607</v>
      </c>
      <c r="E159" s="31"/>
      <c r="F159" s="31"/>
      <c r="G159" s="6" t="s">
        <v>1608</v>
      </c>
      <c r="H159" s="7">
        <f>VLOOKUP(D159,A!B$1:L$1126,3,FALSE)</f>
        <v>0</v>
      </c>
      <c r="I159" s="31">
        <f>VLOOKUP(D159,A!B$1:L$1126,3,FALSE)</f>
        <v>0</v>
      </c>
      <c r="J159" s="92"/>
      <c r="K159" s="63" t="str">
        <f>VLOOKUP(D159,A!B$1:L$1126,6,FALSE)</f>
        <v/>
      </c>
      <c r="L159" s="162"/>
      <c r="M159" s="41" t="s">
        <v>1609</v>
      </c>
      <c r="N159" s="94">
        <f>VLOOKUP(D159,A!B$1:L$1125,2,FALSE)</f>
        <v>0</v>
      </c>
      <c r="O159" s="94">
        <f>VLOOKUP(D159,A!B$1:L$1126,4,FALSE)</f>
        <v>0</v>
      </c>
      <c r="P159" s="10">
        <v>10</v>
      </c>
      <c r="Q159" s="10">
        <v>2.69</v>
      </c>
      <c r="R159" s="10">
        <f t="shared" si="38"/>
        <v>0</v>
      </c>
      <c r="S159" s="10">
        <f t="shared" si="39"/>
        <v>0</v>
      </c>
      <c r="T159" s="29" t="s">
        <v>321</v>
      </c>
      <c r="U159" s="145">
        <v>0.33</v>
      </c>
      <c r="V159" s="10" t="str">
        <f>VLOOKUP(D159,A!B$1:T$1125,16,FALSE)</f>
        <v/>
      </c>
      <c r="W159" s="10">
        <f t="shared" si="40"/>
        <v>0</v>
      </c>
      <c r="X159" s="29"/>
      <c r="Y159" s="29"/>
      <c r="Z159" s="29"/>
      <c r="AA159" s="29"/>
    </row>
    <row r="160" spans="1:67" s="3" customFormat="1" ht="13.5" hidden="1" customHeight="1" x14ac:dyDescent="0.25">
      <c r="A160" t="str">
        <f>IF(R160=0,"",COUNTIF(A$13:A159,"&gt;0")+1)</f>
        <v/>
      </c>
      <c r="B160" s="4"/>
      <c r="C160" s="5" t="s">
        <v>22</v>
      </c>
      <c r="D160" s="7" t="s">
        <v>1610</v>
      </c>
      <c r="E160" s="31"/>
      <c r="F160" s="31"/>
      <c r="G160" s="6" t="s">
        <v>295</v>
      </c>
      <c r="H160" s="7">
        <f>VLOOKUP(D160,A!B$1:L$1126,3,FALSE)</f>
        <v>0</v>
      </c>
      <c r="I160" s="31">
        <f>VLOOKUP(D160,A!B$1:L$1126,3,FALSE)</f>
        <v>0</v>
      </c>
      <c r="J160" s="92"/>
      <c r="K160" s="63" t="str">
        <f>VLOOKUP(D160,A!B$1:L$1126,6,FALSE)</f>
        <v/>
      </c>
      <c r="L160" s="162"/>
      <c r="M160" s="42" t="s">
        <v>1611</v>
      </c>
      <c r="N160" s="94">
        <f>VLOOKUP(D160,A!B$1:L$1125,2,FALSE)</f>
        <v>0</v>
      </c>
      <c r="O160" s="94">
        <f>VLOOKUP(D160,A!B$1:L$1126,4,FALSE)</f>
        <v>0</v>
      </c>
      <c r="P160" s="10">
        <v>10</v>
      </c>
      <c r="Q160" s="10">
        <v>2.69</v>
      </c>
      <c r="R160" s="10">
        <f t="shared" si="38"/>
        <v>0</v>
      </c>
      <c r="S160" s="10">
        <f t="shared" si="39"/>
        <v>0</v>
      </c>
      <c r="T160" s="29" t="s">
        <v>321</v>
      </c>
      <c r="U160" s="145">
        <v>0.33</v>
      </c>
      <c r="V160" s="10" t="str">
        <f>VLOOKUP(D160,A!B$1:T$1125,16,FALSE)</f>
        <v/>
      </c>
      <c r="W160" s="10">
        <f t="shared" si="40"/>
        <v>0</v>
      </c>
      <c r="X160" s="29"/>
      <c r="Y160" s="29"/>
      <c r="Z160" s="29"/>
      <c r="AA160" s="29"/>
    </row>
    <row r="161" spans="1:67" s="3" customFormat="1" ht="13.5" hidden="1" customHeight="1" x14ac:dyDescent="0.25">
      <c r="A161" t="str">
        <f>IF(R161=0,"",COUNTIF(A$13:A160,"&gt;0")+1)</f>
        <v/>
      </c>
      <c r="B161" s="4"/>
      <c r="C161" s="5" t="s">
        <v>22</v>
      </c>
      <c r="D161" s="7" t="s">
        <v>294</v>
      </c>
      <c r="E161" s="31"/>
      <c r="F161" s="31"/>
      <c r="G161" s="6" t="s">
        <v>295</v>
      </c>
      <c r="H161" s="7">
        <f>VLOOKUP(D161,A!B$1:L$1126,3,FALSE)</f>
        <v>0</v>
      </c>
      <c r="I161" s="31">
        <f>VLOOKUP(D161,A!B$1:L$1126,3,FALSE)</f>
        <v>0</v>
      </c>
      <c r="J161" s="92"/>
      <c r="K161" s="63" t="str">
        <f>VLOOKUP(D161,A!B$1:L$1126,6,FALSE)</f>
        <v/>
      </c>
      <c r="L161" s="165"/>
      <c r="M161" s="42" t="s">
        <v>296</v>
      </c>
      <c r="N161" s="94">
        <f>VLOOKUP(D161,A!B$1:L$1125,2,FALSE)</f>
        <v>0</v>
      </c>
      <c r="O161" s="94">
        <f>VLOOKUP(D161,A!B$1:L$1126,4,FALSE)</f>
        <v>0</v>
      </c>
      <c r="P161" s="10">
        <v>10</v>
      </c>
      <c r="Q161" s="10">
        <v>2.69</v>
      </c>
      <c r="R161" s="10">
        <f t="shared" si="38"/>
        <v>0</v>
      </c>
      <c r="S161" s="10">
        <f t="shared" si="39"/>
        <v>0</v>
      </c>
      <c r="T161" s="29" t="s">
        <v>321</v>
      </c>
      <c r="U161" s="145">
        <v>0.33</v>
      </c>
      <c r="V161" s="10" t="str">
        <f>VLOOKUP(D161,A!B$1:T$1125,16,FALSE)</f>
        <v/>
      </c>
      <c r="W161" s="10">
        <f t="shared" si="40"/>
        <v>0</v>
      </c>
      <c r="X161" s="29"/>
      <c r="Y161" s="29"/>
      <c r="Z161" s="29"/>
      <c r="AA161" s="29"/>
    </row>
    <row r="162" spans="1:67" s="3" customFormat="1" ht="13.5" hidden="1" customHeight="1" x14ac:dyDescent="0.25">
      <c r="A162" t="str">
        <f>IF(R162=0,"",COUNTIF(A$13:A161,"&gt;0")+1)</f>
        <v/>
      </c>
      <c r="B162" s="4"/>
      <c r="C162" s="5" t="s">
        <v>22</v>
      </c>
      <c r="D162" s="7" t="s">
        <v>1612</v>
      </c>
      <c r="E162" s="31"/>
      <c r="F162" s="31"/>
      <c r="G162" s="6" t="s">
        <v>295</v>
      </c>
      <c r="H162" s="7">
        <f>VLOOKUP(D162,A!B$1:L$1126,3,FALSE)</f>
        <v>0</v>
      </c>
      <c r="I162" s="31">
        <f>VLOOKUP(D162,A!B$1:L$1126,3,FALSE)</f>
        <v>0</v>
      </c>
      <c r="J162" s="92"/>
      <c r="K162" s="63" t="str">
        <f>VLOOKUP(D162,A!B$1:L$1126,6,FALSE)</f>
        <v/>
      </c>
      <c r="L162" s="165"/>
      <c r="M162" s="42" t="s">
        <v>1613</v>
      </c>
      <c r="N162" s="94">
        <f>VLOOKUP(D162,A!B$1:L$1125,2,FALSE)</f>
        <v>0</v>
      </c>
      <c r="O162" s="94">
        <f>VLOOKUP(D162,A!B$1:L$1126,4,FALSE)</f>
        <v>0</v>
      </c>
      <c r="P162" s="10">
        <v>10</v>
      </c>
      <c r="Q162" s="10">
        <v>2.69</v>
      </c>
      <c r="R162" s="10">
        <f t="shared" si="38"/>
        <v>0</v>
      </c>
      <c r="S162" s="10">
        <f t="shared" si="39"/>
        <v>0</v>
      </c>
      <c r="T162" s="29" t="s">
        <v>321</v>
      </c>
      <c r="U162" s="145">
        <v>0.33</v>
      </c>
      <c r="V162" s="10" t="str">
        <f>VLOOKUP(D162,A!B$1:T$1125,16,FALSE)</f>
        <v/>
      </c>
      <c r="W162" s="10">
        <f t="shared" si="40"/>
        <v>0</v>
      </c>
      <c r="X162" s="29"/>
      <c r="Y162" s="29"/>
      <c r="Z162" s="29"/>
      <c r="AA162" s="29"/>
    </row>
    <row r="163" spans="1:67" s="3" customFormat="1" ht="13.5" hidden="1" customHeight="1" x14ac:dyDescent="0.25">
      <c r="A163" t="str">
        <f>IF(R163=0,"",COUNTIF(A$13:A162,"&gt;0")+1)</f>
        <v/>
      </c>
      <c r="B163" s="4"/>
      <c r="C163" s="5" t="s">
        <v>22</v>
      </c>
      <c r="D163" s="7" t="s">
        <v>1614</v>
      </c>
      <c r="E163" s="31"/>
      <c r="F163" s="31"/>
      <c r="G163" s="6" t="s">
        <v>1615</v>
      </c>
      <c r="H163" s="7">
        <f>VLOOKUP(D163,A!B$1:L$1126,3,FALSE)</f>
        <v>0</v>
      </c>
      <c r="I163" s="31">
        <f>VLOOKUP(D163,A!B$1:L$1126,3,FALSE)</f>
        <v>0</v>
      </c>
      <c r="J163" s="92"/>
      <c r="K163" s="63" t="str">
        <f>VLOOKUP(D163,A!B$1:L$1126,6,FALSE)</f>
        <v/>
      </c>
      <c r="L163" s="162"/>
      <c r="M163" s="43" t="s">
        <v>1616</v>
      </c>
      <c r="N163" s="94">
        <f>VLOOKUP(D163,A!B$1:L$1125,2,FALSE)</f>
        <v>0</v>
      </c>
      <c r="O163" s="94">
        <f>VLOOKUP(D163,A!B$1:L$1126,4,FALSE)</f>
        <v>0</v>
      </c>
      <c r="P163" s="10">
        <v>10</v>
      </c>
      <c r="Q163" s="10">
        <v>2.69</v>
      </c>
      <c r="R163" s="10">
        <f t="shared" si="38"/>
        <v>0</v>
      </c>
      <c r="S163" s="10">
        <f t="shared" si="39"/>
        <v>0</v>
      </c>
      <c r="T163" s="29" t="s">
        <v>321</v>
      </c>
      <c r="U163" s="145">
        <v>0.33</v>
      </c>
      <c r="V163" s="10" t="str">
        <f>VLOOKUP(D163,A!B$1:T$1125,16,FALSE)</f>
        <v/>
      </c>
      <c r="W163" s="10">
        <f t="shared" si="40"/>
        <v>0</v>
      </c>
      <c r="X163" s="29"/>
      <c r="Y163" s="29"/>
      <c r="Z163" s="29"/>
      <c r="AA163" s="29"/>
    </row>
    <row r="164" spans="1:67" s="3" customFormat="1" ht="13.5" hidden="1" customHeight="1" x14ac:dyDescent="0.25">
      <c r="A164" t="str">
        <f>IF(R164=0,"",COUNTIF(A$13:A163,"&gt;0")+1)</f>
        <v/>
      </c>
      <c r="B164" s="4"/>
      <c r="C164" s="5" t="s">
        <v>22</v>
      </c>
      <c r="D164" s="7" t="s">
        <v>1617</v>
      </c>
      <c r="E164" s="31"/>
      <c r="F164" s="31"/>
      <c r="G164" s="6" t="s">
        <v>1618</v>
      </c>
      <c r="H164" s="7">
        <f>VLOOKUP(D164,A!B$1:L$1126,3,FALSE)</f>
        <v>0</v>
      </c>
      <c r="I164" s="31">
        <f>VLOOKUP(D164,A!B$1:L$1126,3,FALSE)</f>
        <v>0</v>
      </c>
      <c r="J164" s="92"/>
      <c r="K164" s="63" t="str">
        <f>VLOOKUP(D164,A!B$1:L$1126,6,FALSE)</f>
        <v/>
      </c>
      <c r="L164" s="162"/>
      <c r="M164" s="41" t="s">
        <v>1619</v>
      </c>
      <c r="N164" s="94">
        <f>VLOOKUP(D164,A!B$1:L$1125,2,FALSE)</f>
        <v>0</v>
      </c>
      <c r="O164" s="94">
        <f>VLOOKUP(D164,A!B$1:L$1126,4,FALSE)</f>
        <v>0</v>
      </c>
      <c r="P164" s="10">
        <v>10</v>
      </c>
      <c r="Q164" s="10">
        <v>2.69</v>
      </c>
      <c r="R164" s="10">
        <f t="shared" si="38"/>
        <v>0</v>
      </c>
      <c r="S164" s="10">
        <f t="shared" si="39"/>
        <v>0</v>
      </c>
      <c r="T164" s="29" t="s">
        <v>321</v>
      </c>
      <c r="U164" s="145">
        <v>0.33</v>
      </c>
      <c r="V164" s="10" t="str">
        <f>VLOOKUP(D164,A!B$1:T$1125,16,FALSE)</f>
        <v/>
      </c>
      <c r="W164" s="10">
        <f t="shared" si="40"/>
        <v>0</v>
      </c>
      <c r="X164" s="29"/>
      <c r="Y164" s="29"/>
      <c r="Z164" s="29"/>
      <c r="AA164" s="29"/>
    </row>
    <row r="165" spans="1:67" s="3" customFormat="1" ht="13.5" hidden="1" customHeight="1" x14ac:dyDescent="0.25">
      <c r="A165" t="str">
        <f>IF(R165=0,"",COUNTIF(A$13:A164,"&gt;0")+1)</f>
        <v/>
      </c>
      <c r="B165" s="4"/>
      <c r="C165" s="5" t="s">
        <v>22</v>
      </c>
      <c r="D165" s="7" t="s">
        <v>1620</v>
      </c>
      <c r="E165" s="31"/>
      <c r="F165" s="31"/>
      <c r="G165" s="6" t="s">
        <v>1621</v>
      </c>
      <c r="H165" s="7">
        <f>VLOOKUP(D165,A!B$1:L$1126,3,FALSE)</f>
        <v>0</v>
      </c>
      <c r="I165" s="31">
        <f>VLOOKUP(D165,A!B$1:L$1126,3,FALSE)</f>
        <v>0</v>
      </c>
      <c r="J165" s="92"/>
      <c r="K165" s="63" t="str">
        <f>VLOOKUP(D165,A!B$1:L$1126,6,FALSE)</f>
        <v/>
      </c>
      <c r="L165" s="162"/>
      <c r="M165" s="42" t="s">
        <v>1622</v>
      </c>
      <c r="N165" s="94">
        <f>VLOOKUP(D165,A!B$1:L$1125,2,FALSE)</f>
        <v>0</v>
      </c>
      <c r="O165" s="94">
        <f>VLOOKUP(D165,A!B$1:L$1126,4,FALSE)</f>
        <v>0</v>
      </c>
      <c r="P165" s="10">
        <v>10</v>
      </c>
      <c r="Q165" s="10">
        <v>2.69</v>
      </c>
      <c r="R165" s="10">
        <f t="shared" si="38"/>
        <v>0</v>
      </c>
      <c r="S165" s="10">
        <f t="shared" si="39"/>
        <v>0</v>
      </c>
      <c r="T165" s="29" t="s">
        <v>321</v>
      </c>
      <c r="U165" s="145">
        <v>0.33</v>
      </c>
      <c r="V165" s="10" t="str">
        <f>VLOOKUP(D165,A!B$1:T$1125,16,FALSE)</f>
        <v/>
      </c>
      <c r="W165" s="10">
        <f t="shared" si="40"/>
        <v>0</v>
      </c>
      <c r="X165" s="29"/>
      <c r="Y165" s="29"/>
      <c r="Z165" s="29"/>
      <c r="AA165" s="29"/>
    </row>
    <row r="166" spans="1:67" s="3" customFormat="1" ht="13.5" hidden="1" customHeight="1" x14ac:dyDescent="0.25">
      <c r="A166" t="str">
        <f>IF(R166=0,"",COUNTIF(A$13:A165,"&gt;0")+1)</f>
        <v/>
      </c>
      <c r="B166" s="4"/>
      <c r="C166" s="5" t="s">
        <v>22</v>
      </c>
      <c r="D166" s="172" t="s">
        <v>1623</v>
      </c>
      <c r="E166" s="173"/>
      <c r="F166" s="173"/>
      <c r="G166" s="6" t="s">
        <v>1624</v>
      </c>
      <c r="H166" s="7">
        <f>VLOOKUP(D166,A!B$1:L$1126,3,FALSE)</f>
        <v>0</v>
      </c>
      <c r="I166" s="31">
        <f>VLOOKUP(D166,A!B$1:L$1126,3,FALSE)</f>
        <v>0</v>
      </c>
      <c r="J166" s="92"/>
      <c r="K166" s="63" t="str">
        <f>VLOOKUP(D166,A!B$1:L$1126,6,FALSE)</f>
        <v/>
      </c>
      <c r="L166" s="162"/>
      <c r="M166" s="41" t="s">
        <v>1625</v>
      </c>
      <c r="N166" s="94">
        <f>VLOOKUP(D166,A!B$1:L$1125,2,FALSE)</f>
        <v>0</v>
      </c>
      <c r="O166" s="94">
        <f>VLOOKUP(D166,A!B$1:L$1126,4,FALSE)</f>
        <v>0</v>
      </c>
      <c r="P166" s="10">
        <v>10</v>
      </c>
      <c r="Q166" s="10">
        <v>2.69</v>
      </c>
      <c r="R166" s="10">
        <f t="shared" si="38"/>
        <v>0</v>
      </c>
      <c r="S166" s="10">
        <f t="shared" si="39"/>
        <v>0</v>
      </c>
      <c r="T166" s="29" t="s">
        <v>321</v>
      </c>
      <c r="U166" s="145">
        <v>0.33</v>
      </c>
      <c r="V166" s="10" t="str">
        <f>VLOOKUP(D166,A!B$1:T$1125,16,FALSE)</f>
        <v/>
      </c>
      <c r="W166" s="10">
        <f t="shared" si="40"/>
        <v>0</v>
      </c>
      <c r="X166" s="29"/>
      <c r="Y166" s="29"/>
      <c r="Z166" s="29"/>
      <c r="AA166" s="29"/>
    </row>
    <row r="167" spans="1:67" s="3" customFormat="1" ht="13.5" hidden="1" customHeight="1" x14ac:dyDescent="0.25">
      <c r="A167" t="str">
        <f>IF(R167=0,"",COUNTIF(A$13:A166,"&gt;0")+1)</f>
        <v/>
      </c>
      <c r="B167" s="4"/>
      <c r="C167" s="5" t="s">
        <v>22</v>
      </c>
      <c r="D167" s="172" t="s">
        <v>1626</v>
      </c>
      <c r="E167" s="173"/>
      <c r="F167" s="173"/>
      <c r="G167" s="6" t="s">
        <v>1624</v>
      </c>
      <c r="H167" s="7">
        <f>VLOOKUP(D167,A!B$1:L$1126,3,FALSE)</f>
        <v>0</v>
      </c>
      <c r="I167" s="31">
        <f>VLOOKUP(D167,A!B$1:L$1126,3,FALSE)</f>
        <v>0</v>
      </c>
      <c r="J167" s="92"/>
      <c r="K167" s="63" t="str">
        <f>VLOOKUP(D167,A!B$1:L$1126,6,FALSE)</f>
        <v/>
      </c>
      <c r="L167" s="162"/>
      <c r="M167" s="41" t="s">
        <v>1627</v>
      </c>
      <c r="N167" s="94">
        <f>VLOOKUP(D167,A!B$1:L$1125,2,FALSE)</f>
        <v>0</v>
      </c>
      <c r="O167" s="94">
        <f>VLOOKUP(D167,A!B$1:L$1126,4,FALSE)</f>
        <v>0</v>
      </c>
      <c r="P167" s="10">
        <v>10</v>
      </c>
      <c r="Q167" s="10">
        <v>2.69</v>
      </c>
      <c r="R167" s="10">
        <f t="shared" si="38"/>
        <v>0</v>
      </c>
      <c r="S167" s="10">
        <f t="shared" si="39"/>
        <v>0</v>
      </c>
      <c r="T167" s="29" t="s">
        <v>321</v>
      </c>
      <c r="U167" s="145">
        <v>0.33</v>
      </c>
      <c r="V167" s="10" t="str">
        <f>VLOOKUP(D167,A!B$1:T$1125,16,FALSE)</f>
        <v/>
      </c>
      <c r="W167" s="10">
        <f t="shared" si="40"/>
        <v>0</v>
      </c>
      <c r="X167" s="29"/>
      <c r="Y167" s="29"/>
      <c r="Z167" s="29"/>
      <c r="AA167" s="29"/>
    </row>
    <row r="168" spans="1:67" s="3" customFormat="1" ht="13.5" hidden="1" customHeight="1" x14ac:dyDescent="0.25">
      <c r="A168" t="str">
        <f>IF(R168=0,"",COUNTIF(A$13:A167,"&gt;0")+1)</f>
        <v/>
      </c>
      <c r="B168" s="4"/>
      <c r="C168" s="5" t="s">
        <v>22</v>
      </c>
      <c r="D168" s="172" t="s">
        <v>1628</v>
      </c>
      <c r="E168" s="173"/>
      <c r="F168" s="173"/>
      <c r="G168" s="6" t="s">
        <v>1624</v>
      </c>
      <c r="H168" s="7">
        <f>VLOOKUP(D168,A!B$1:L$1126,3,FALSE)</f>
        <v>0</v>
      </c>
      <c r="I168" s="31">
        <f>VLOOKUP(D168,A!B$1:L$1126,3,FALSE)</f>
        <v>0</v>
      </c>
      <c r="J168" s="92"/>
      <c r="K168" s="63" t="str">
        <f>VLOOKUP(D168,A!B$1:L$1126,6,FALSE)</f>
        <v/>
      </c>
      <c r="L168" s="162"/>
      <c r="M168" s="41" t="s">
        <v>1629</v>
      </c>
      <c r="N168" s="94">
        <f>VLOOKUP(D168,A!B$1:L$1125,2,FALSE)</f>
        <v>0</v>
      </c>
      <c r="O168" s="94">
        <f>VLOOKUP(D168,A!B$1:L$1126,4,FALSE)</f>
        <v>0</v>
      </c>
      <c r="P168" s="10">
        <v>10</v>
      </c>
      <c r="Q168" s="10">
        <v>2.69</v>
      </c>
      <c r="R168" s="10">
        <f t="shared" si="38"/>
        <v>0</v>
      </c>
      <c r="S168" s="10">
        <f t="shared" si="39"/>
        <v>0</v>
      </c>
      <c r="T168" s="29" t="s">
        <v>321</v>
      </c>
      <c r="U168" s="145">
        <v>0.33</v>
      </c>
      <c r="V168" s="10" t="str">
        <f>VLOOKUP(D168,A!B$1:T$1125,16,FALSE)</f>
        <v/>
      </c>
      <c r="W168" s="10">
        <f t="shared" si="40"/>
        <v>0</v>
      </c>
      <c r="X168" s="29"/>
      <c r="Y168" s="29"/>
      <c r="Z168" s="29"/>
      <c r="AA168" s="29"/>
    </row>
    <row r="169" spans="1:67" s="3" customFormat="1" ht="13.5" hidden="1" customHeight="1" x14ac:dyDescent="0.25">
      <c r="A169" t="str">
        <f>IF(R169=0,"",COUNTIF(A$13:A168,"&gt;0")+1)</f>
        <v/>
      </c>
      <c r="B169" s="4"/>
      <c r="C169" s="5" t="s">
        <v>22</v>
      </c>
      <c r="D169" s="172" t="s">
        <v>1630</v>
      </c>
      <c r="E169" s="173"/>
      <c r="F169" s="173"/>
      <c r="G169" s="6" t="s">
        <v>1624</v>
      </c>
      <c r="H169" s="7">
        <f>VLOOKUP(D169,A!B$1:L$1126,3,FALSE)</f>
        <v>0</v>
      </c>
      <c r="I169" s="31">
        <f>VLOOKUP(D169,A!B$1:L$1126,3,FALSE)</f>
        <v>0</v>
      </c>
      <c r="J169" s="92"/>
      <c r="K169" s="63" t="str">
        <f>VLOOKUP(D169,A!B$1:L$1126,6,FALSE)</f>
        <v/>
      </c>
      <c r="L169" s="162"/>
      <c r="M169" s="41" t="s">
        <v>1631</v>
      </c>
      <c r="N169" s="94">
        <f>VLOOKUP(D169,A!B$1:L$1125,2,FALSE)</f>
        <v>0</v>
      </c>
      <c r="O169" s="94">
        <f>VLOOKUP(D169,A!B$1:L$1126,4,FALSE)</f>
        <v>0</v>
      </c>
      <c r="P169" s="10">
        <v>10</v>
      </c>
      <c r="Q169" s="10">
        <v>2.69</v>
      </c>
      <c r="R169" s="10">
        <f t="shared" si="38"/>
        <v>0</v>
      </c>
      <c r="S169" s="10">
        <f t="shared" si="39"/>
        <v>0</v>
      </c>
      <c r="T169" s="29" t="s">
        <v>321</v>
      </c>
      <c r="U169" s="145">
        <v>0.33</v>
      </c>
      <c r="V169" s="10" t="str">
        <f>VLOOKUP(D169,A!B$1:T$1125,16,FALSE)</f>
        <v/>
      </c>
      <c r="W169" s="10">
        <f t="shared" si="40"/>
        <v>0</v>
      </c>
      <c r="X169" s="29"/>
      <c r="Y169" s="29"/>
      <c r="Z169" s="29"/>
      <c r="AA169" s="29"/>
    </row>
    <row r="170" spans="1:67" s="3" customFormat="1" ht="13.5" customHeight="1" x14ac:dyDescent="0.25">
      <c r="A170" t="str">
        <f>IF(R170=0,"",COUNTIF(A$13:A169,"&gt;0")+1)</f>
        <v/>
      </c>
      <c r="B170" s="4"/>
      <c r="C170" s="5" t="s">
        <v>22</v>
      </c>
      <c r="D170" s="7" t="s">
        <v>1632</v>
      </c>
      <c r="E170" s="31"/>
      <c r="F170" s="31"/>
      <c r="G170" s="6" t="s">
        <v>1633</v>
      </c>
      <c r="H170" s="7">
        <f>VLOOKUP(D170,A!B$1:L$1126,3,FALSE)</f>
        <v>2</v>
      </c>
      <c r="I170" s="31">
        <f>VLOOKUP(D170,A!B$1:L$1126,3,FALSE)</f>
        <v>2</v>
      </c>
      <c r="J170" s="92"/>
      <c r="K170" s="63" t="str">
        <f>VLOOKUP(D170,A!B$1:L$1126,6,FALSE)</f>
        <v/>
      </c>
      <c r="L170" s="162"/>
      <c r="M170" s="42" t="s">
        <v>1634</v>
      </c>
      <c r="N170" s="94" t="str">
        <f>VLOOKUP(D170,A!B$1:L$1125,2,FALSE)</f>
        <v>y</v>
      </c>
      <c r="O170" s="94">
        <f>VLOOKUP(D170,A!B$1:L$1126,4,FALSE)</f>
        <v>0</v>
      </c>
      <c r="P170" s="10">
        <v>10</v>
      </c>
      <c r="Q170" s="10">
        <v>2.69</v>
      </c>
      <c r="R170" s="10">
        <f t="shared" si="38"/>
        <v>0</v>
      </c>
      <c r="S170" s="10">
        <f t="shared" si="39"/>
        <v>0</v>
      </c>
      <c r="T170" s="29" t="s">
        <v>321</v>
      </c>
      <c r="U170" s="145">
        <v>0.33</v>
      </c>
      <c r="V170" s="10" t="str">
        <f>VLOOKUP(D170,A!B$1:T$1125,16,FALSE)</f>
        <v/>
      </c>
      <c r="W170" s="10">
        <f t="shared" si="40"/>
        <v>0</v>
      </c>
      <c r="X170" s="29"/>
      <c r="Y170" s="29"/>
      <c r="Z170" s="29"/>
      <c r="AA170" s="29"/>
    </row>
    <row r="171" spans="1:67" s="3" customFormat="1" ht="13.5" hidden="1" customHeight="1" x14ac:dyDescent="0.25">
      <c r="A171" t="str">
        <f>IF(R171=0,"",COUNTIF(A$13:A170,"&gt;0")+1)</f>
        <v/>
      </c>
      <c r="B171" s="4"/>
      <c r="C171" s="5" t="s">
        <v>22</v>
      </c>
      <c r="D171" s="7" t="s">
        <v>1635</v>
      </c>
      <c r="E171" s="31"/>
      <c r="F171" s="31"/>
      <c r="G171" s="6" t="s">
        <v>127</v>
      </c>
      <c r="H171" s="7">
        <f>VLOOKUP(D171,A!B$1:L$1126,3,FALSE)</f>
        <v>0</v>
      </c>
      <c r="I171" s="31">
        <f>VLOOKUP(D171,A!B$1:L$1126,3,FALSE)</f>
        <v>0</v>
      </c>
      <c r="J171" s="92"/>
      <c r="K171" s="63" t="str">
        <f>VLOOKUP(D171,A!B$1:L$1126,6,FALSE)</f>
        <v/>
      </c>
      <c r="L171" s="162"/>
      <c r="M171" s="42" t="s">
        <v>1636</v>
      </c>
      <c r="N171" s="94">
        <f>VLOOKUP(D171,A!B$1:L$1125,2,FALSE)</f>
        <v>0</v>
      </c>
      <c r="O171" s="94">
        <f>VLOOKUP(D171,A!B$1:L$1126,4,FALSE)</f>
        <v>0</v>
      </c>
      <c r="P171" s="10">
        <v>10</v>
      </c>
      <c r="Q171" s="10">
        <v>2.69</v>
      </c>
      <c r="R171" s="10">
        <f t="shared" si="38"/>
        <v>0</v>
      </c>
      <c r="S171" s="10">
        <f t="shared" si="39"/>
        <v>0</v>
      </c>
      <c r="T171" s="29" t="s">
        <v>321</v>
      </c>
      <c r="U171" s="145">
        <v>0.33</v>
      </c>
      <c r="V171" s="10" t="str">
        <f>VLOOKUP(D171,A!B$1:T$1125,16,FALSE)</f>
        <v/>
      </c>
      <c r="W171" s="10">
        <f t="shared" si="40"/>
        <v>0</v>
      </c>
      <c r="X171" s="29"/>
      <c r="Y171" s="29"/>
      <c r="Z171" s="29"/>
      <c r="AA171" s="29"/>
    </row>
    <row r="172" spans="1:67" s="3" customFormat="1" ht="13.5" hidden="1" customHeight="1" x14ac:dyDescent="0.25">
      <c r="A172" t="str">
        <f>IF(R172=0,"",COUNTIF(A$13:A171,"&gt;0")+1)</f>
        <v/>
      </c>
      <c r="B172" s="4"/>
      <c r="C172" s="5" t="s">
        <v>22</v>
      </c>
      <c r="D172" s="7" t="s">
        <v>1637</v>
      </c>
      <c r="E172" s="31"/>
      <c r="F172" s="31"/>
      <c r="G172" s="6" t="s">
        <v>278</v>
      </c>
      <c r="H172" s="7">
        <f>VLOOKUP(D172,A!B$1:L$1126,3,FALSE)</f>
        <v>0</v>
      </c>
      <c r="I172" s="31">
        <f>VLOOKUP(D172,A!B$1:L$1126,3,FALSE)</f>
        <v>0</v>
      </c>
      <c r="J172" s="92"/>
      <c r="K172" s="63" t="str">
        <f>VLOOKUP(D172,A!B$1:L$1126,6,FALSE)</f>
        <v/>
      </c>
      <c r="L172" s="162"/>
      <c r="M172" s="42" t="s">
        <v>1638</v>
      </c>
      <c r="N172" s="94">
        <f>VLOOKUP(D172,A!B$1:L$1125,2,FALSE)</f>
        <v>0</v>
      </c>
      <c r="O172" s="94">
        <f>VLOOKUP(D172,A!B$1:L$1126,4,FALSE)</f>
        <v>0</v>
      </c>
      <c r="P172" s="10">
        <v>10</v>
      </c>
      <c r="Q172" s="10">
        <v>2.69</v>
      </c>
      <c r="R172" s="10">
        <f t="shared" si="38"/>
        <v>0</v>
      </c>
      <c r="S172" s="10">
        <f t="shared" si="39"/>
        <v>0</v>
      </c>
      <c r="T172" s="29" t="s">
        <v>321</v>
      </c>
      <c r="U172" s="145">
        <v>0.33</v>
      </c>
      <c r="V172" s="10" t="str">
        <f>VLOOKUP(D172,A!B$1:T$1125,16,FALSE)</f>
        <v/>
      </c>
      <c r="W172" s="10">
        <f t="shared" si="40"/>
        <v>0</v>
      </c>
      <c r="X172" s="29"/>
      <c r="Y172" s="29"/>
      <c r="Z172" s="29"/>
      <c r="AA172" s="29"/>
    </row>
    <row r="173" spans="1:67" s="3" customFormat="1" ht="13.5" hidden="1" customHeight="1" x14ac:dyDescent="0.25">
      <c r="A173" t="str">
        <f>IF(R173=0,"",COUNTIF(A$13:A172,"&gt;0")+1)</f>
        <v/>
      </c>
      <c r="B173" s="4"/>
      <c r="C173" s="5" t="s">
        <v>22</v>
      </c>
      <c r="D173" s="7" t="s">
        <v>277</v>
      </c>
      <c r="E173" s="31"/>
      <c r="F173" s="31"/>
      <c r="G173" s="6" t="s">
        <v>278</v>
      </c>
      <c r="H173" s="7">
        <f>VLOOKUP(D173,A!B$1:L$1126,3,FALSE)</f>
        <v>0</v>
      </c>
      <c r="I173" s="31">
        <f>VLOOKUP(D173,A!B$1:L$1126,3,FALSE)</f>
        <v>0</v>
      </c>
      <c r="J173" s="92"/>
      <c r="K173" s="63" t="str">
        <f>VLOOKUP(D173,A!B$1:L$1126,6,FALSE)</f>
        <v/>
      </c>
      <c r="L173" s="2"/>
      <c r="M173" s="42" t="s">
        <v>279</v>
      </c>
      <c r="N173" s="94">
        <f>VLOOKUP(D173,A!B$1:L$1125,2,FALSE)</f>
        <v>0</v>
      </c>
      <c r="O173" s="94">
        <f>VLOOKUP(D173,A!B$1:L$1126,4,FALSE)</f>
        <v>0</v>
      </c>
      <c r="P173" s="10">
        <v>10</v>
      </c>
      <c r="Q173" s="10">
        <v>2.69</v>
      </c>
      <c r="R173" s="10">
        <f t="shared" si="38"/>
        <v>0</v>
      </c>
      <c r="S173" s="10">
        <f t="shared" si="39"/>
        <v>0</v>
      </c>
      <c r="T173" s="29" t="s">
        <v>321</v>
      </c>
      <c r="U173" s="145">
        <v>0.33</v>
      </c>
      <c r="V173" s="10" t="str">
        <f>VLOOKUP(D173,A!B$1:T$1125,16,FALSE)</f>
        <v/>
      </c>
      <c r="W173" s="10">
        <f t="shared" si="40"/>
        <v>0</v>
      </c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</row>
    <row r="174" spans="1:67" s="3" customFormat="1" ht="13.5" hidden="1" customHeight="1" x14ac:dyDescent="0.25">
      <c r="A174" t="str">
        <f>IF(R174=0,"",COUNTIF(A$13:A173,"&gt;0")+1)</f>
        <v/>
      </c>
      <c r="B174" s="4"/>
      <c r="C174" s="5" t="s">
        <v>22</v>
      </c>
      <c r="D174" s="7" t="s">
        <v>1640</v>
      </c>
      <c r="E174" s="31"/>
      <c r="F174" s="31"/>
      <c r="G174" s="6" t="s">
        <v>127</v>
      </c>
      <c r="H174" s="7">
        <f>VLOOKUP(D174,A!B$1:L$1126,3,FALSE)</f>
        <v>0</v>
      </c>
      <c r="I174" s="31">
        <f>VLOOKUP(D174,A!B$1:L$1126,3,FALSE)</f>
        <v>0</v>
      </c>
      <c r="J174" s="92"/>
      <c r="K174" s="63" t="str">
        <f>VLOOKUP(D174,A!B$1:L$1126,6,FALSE)</f>
        <v/>
      </c>
      <c r="L174" s="162"/>
      <c r="M174" s="41" t="s">
        <v>1641</v>
      </c>
      <c r="N174" s="94">
        <f>VLOOKUP(D174,A!B$1:L$1125,2,FALSE)</f>
        <v>0</v>
      </c>
      <c r="O174" s="94">
        <f>VLOOKUP(D174,A!B$1:L$1126,4,FALSE)</f>
        <v>0</v>
      </c>
      <c r="P174" s="10">
        <v>10</v>
      </c>
      <c r="Q174" s="10">
        <v>2.69</v>
      </c>
      <c r="R174" s="10">
        <f t="shared" si="38"/>
        <v>0</v>
      </c>
      <c r="S174" s="10">
        <f t="shared" si="39"/>
        <v>0</v>
      </c>
      <c r="T174" s="29" t="s">
        <v>321</v>
      </c>
      <c r="U174" s="145">
        <v>0.33</v>
      </c>
      <c r="V174" s="10" t="str">
        <f>VLOOKUP(D174,A!B$1:T$1125,16,FALSE)</f>
        <v/>
      </c>
      <c r="W174" s="10">
        <f t="shared" si="40"/>
        <v>0</v>
      </c>
      <c r="X174" s="29"/>
      <c r="Y174" s="29"/>
      <c r="Z174" s="29"/>
      <c r="AA174" s="29"/>
    </row>
    <row r="175" spans="1:67" s="3" customFormat="1" ht="13.5" hidden="1" customHeight="1" x14ac:dyDescent="0.25">
      <c r="A175" t="str">
        <f>IF(R175=0,"",COUNTIF(A$13:A174,"&gt;0")+1)</f>
        <v/>
      </c>
      <c r="B175" s="4"/>
      <c r="C175" s="5" t="s">
        <v>22</v>
      </c>
      <c r="D175" s="7" t="s">
        <v>188</v>
      </c>
      <c r="E175" s="31"/>
      <c r="F175" s="31"/>
      <c r="G175" s="6" t="s">
        <v>127</v>
      </c>
      <c r="H175" s="7">
        <f>VLOOKUP(D175,A!B$1:L$1126,3,FALSE)</f>
        <v>0</v>
      </c>
      <c r="I175" s="31">
        <f>VLOOKUP(D175,A!B$1:L$1126,3,FALSE)</f>
        <v>0</v>
      </c>
      <c r="J175" s="92"/>
      <c r="K175" s="63" t="str">
        <f>VLOOKUP(D175,A!B$1:L$1126,6,FALSE)</f>
        <v/>
      </c>
      <c r="L175" s="162"/>
      <c r="M175" s="42" t="s">
        <v>189</v>
      </c>
      <c r="N175" s="94">
        <f>VLOOKUP(D175,A!B$1:L$1125,2,FALSE)</f>
        <v>0</v>
      </c>
      <c r="O175" s="94">
        <f>VLOOKUP(D175,A!B$1:L$1126,4,FALSE)</f>
        <v>0</v>
      </c>
      <c r="P175" s="10">
        <v>10</v>
      </c>
      <c r="Q175" s="10">
        <v>2.69</v>
      </c>
      <c r="R175" s="10">
        <f t="shared" si="38"/>
        <v>0</v>
      </c>
      <c r="S175" s="10">
        <f t="shared" si="39"/>
        <v>0</v>
      </c>
      <c r="T175" s="29" t="s">
        <v>321</v>
      </c>
      <c r="U175" s="145">
        <v>0.33</v>
      </c>
      <c r="V175" s="10" t="str">
        <f>VLOOKUP(D175,A!B$1:T$1125,16,FALSE)</f>
        <v/>
      </c>
      <c r="W175" s="10">
        <f t="shared" si="40"/>
        <v>0</v>
      </c>
      <c r="X175" s="29"/>
      <c r="Y175" s="29"/>
      <c r="Z175" s="29"/>
      <c r="AA175" s="29"/>
    </row>
    <row r="176" spans="1:67" s="3" customFormat="1" ht="13.5" hidden="1" customHeight="1" x14ac:dyDescent="0.25">
      <c r="A176" t="str">
        <f>IF(R176=0,"",COUNTIF(A$13:A175,"&gt;0")+1)</f>
        <v/>
      </c>
      <c r="B176" s="4"/>
      <c r="C176" s="5" t="s">
        <v>22</v>
      </c>
      <c r="D176" s="7" t="s">
        <v>1642</v>
      </c>
      <c r="E176" s="31"/>
      <c r="F176" s="31"/>
      <c r="G176" s="6" t="s">
        <v>278</v>
      </c>
      <c r="H176" s="7">
        <f>VLOOKUP(D176,A!B$1:L$1126,3,FALSE)</f>
        <v>0</v>
      </c>
      <c r="I176" s="31">
        <f>VLOOKUP(D176,A!B$1:L$1126,3,FALSE)</f>
        <v>0</v>
      </c>
      <c r="J176" s="92"/>
      <c r="K176" s="63" t="str">
        <f>VLOOKUP(D176,A!B$1:L$1126,6,FALSE)</f>
        <v/>
      </c>
      <c r="L176" s="162"/>
      <c r="M176" s="42" t="s">
        <v>1643</v>
      </c>
      <c r="N176" s="94">
        <f>VLOOKUP(D176,A!B$1:L$1125,2,FALSE)</f>
        <v>0</v>
      </c>
      <c r="O176" s="94">
        <f>VLOOKUP(D176,A!B$1:L$1126,4,FALSE)</f>
        <v>0</v>
      </c>
      <c r="P176" s="10">
        <v>10</v>
      </c>
      <c r="Q176" s="10">
        <v>2.69</v>
      </c>
      <c r="R176" s="10">
        <f t="shared" si="38"/>
        <v>0</v>
      </c>
      <c r="S176" s="10">
        <f t="shared" si="39"/>
        <v>0</v>
      </c>
      <c r="T176" s="29" t="s">
        <v>321</v>
      </c>
      <c r="U176" s="145">
        <v>0.33</v>
      </c>
      <c r="V176" s="10" t="str">
        <f>VLOOKUP(D176,A!B$1:T$1125,16,FALSE)</f>
        <v/>
      </c>
      <c r="W176" s="10">
        <f t="shared" si="40"/>
        <v>0</v>
      </c>
      <c r="X176" s="29"/>
      <c r="Y176" s="29"/>
      <c r="Z176" s="29"/>
      <c r="AA176" s="29"/>
    </row>
    <row r="177" spans="1:67" s="3" customFormat="1" ht="13.5" hidden="1" customHeight="1" x14ac:dyDescent="0.25">
      <c r="A177" t="str">
        <f>IF(R177=0,"",COUNTIF(A$13:A176,"&gt;0")+1)</f>
        <v/>
      </c>
      <c r="B177" s="4"/>
      <c r="C177" s="5" t="s">
        <v>22</v>
      </c>
      <c r="D177" s="7" t="s">
        <v>1644</v>
      </c>
      <c r="E177" s="31"/>
      <c r="F177" s="31"/>
      <c r="G177" s="6" t="s">
        <v>278</v>
      </c>
      <c r="H177" s="7">
        <f>VLOOKUP(D177,A!B$1:L$1126,3,FALSE)</f>
        <v>0</v>
      </c>
      <c r="I177" s="31">
        <f>VLOOKUP(D177,A!B$1:L$1126,3,FALSE)</f>
        <v>0</v>
      </c>
      <c r="J177" s="92"/>
      <c r="K177" s="63" t="str">
        <f>VLOOKUP(D177,A!B$1:L$1126,6,FALSE)</f>
        <v/>
      </c>
      <c r="L177" s="162"/>
      <c r="M177" s="42" t="s">
        <v>1645</v>
      </c>
      <c r="N177" s="94">
        <f>VLOOKUP(D177,A!B$1:L$1125,2,FALSE)</f>
        <v>0</v>
      </c>
      <c r="O177" s="94">
        <f>VLOOKUP(D177,A!B$1:L$1126,4,FALSE)</f>
        <v>0</v>
      </c>
      <c r="P177" s="10">
        <v>10</v>
      </c>
      <c r="Q177" s="10">
        <v>2.69</v>
      </c>
      <c r="R177" s="10">
        <f t="shared" si="38"/>
        <v>0</v>
      </c>
      <c r="S177" s="10">
        <f t="shared" si="39"/>
        <v>0</v>
      </c>
      <c r="T177" s="29" t="s">
        <v>321</v>
      </c>
      <c r="U177" s="145">
        <v>0.33</v>
      </c>
      <c r="V177" s="10" t="str">
        <f>VLOOKUP(D177,A!B$1:T$1125,16,FALSE)</f>
        <v/>
      </c>
      <c r="W177" s="10">
        <f t="shared" si="40"/>
        <v>0</v>
      </c>
      <c r="X177" s="29"/>
      <c r="Y177" s="29"/>
      <c r="Z177" s="29"/>
      <c r="AA177" s="29"/>
    </row>
    <row r="178" spans="1:67" s="3" customFormat="1" ht="13.5" hidden="1" customHeight="1" x14ac:dyDescent="0.25">
      <c r="A178" t="str">
        <f>IF(R178=0,"",COUNTIF(A$13:A177,"&gt;0")+1)</f>
        <v/>
      </c>
      <c r="B178" s="4"/>
      <c r="C178" s="5" t="s">
        <v>22</v>
      </c>
      <c r="D178" s="7" t="s">
        <v>1646</v>
      </c>
      <c r="E178" s="31"/>
      <c r="F178" s="31"/>
      <c r="G178" s="6" t="s">
        <v>249</v>
      </c>
      <c r="H178" s="7">
        <f>VLOOKUP(D178,A!B$1:L$1126,3,FALSE)</f>
        <v>0</v>
      </c>
      <c r="I178" s="31">
        <f>VLOOKUP(D178,A!B$1:L$1126,3,FALSE)</f>
        <v>0</v>
      </c>
      <c r="J178" s="92"/>
      <c r="K178" s="63" t="str">
        <f>VLOOKUP(D178,A!B$1:L$1126,6,FALSE)</f>
        <v/>
      </c>
      <c r="L178" s="162"/>
      <c r="M178" s="41" t="s">
        <v>1647</v>
      </c>
      <c r="N178" s="94">
        <f>VLOOKUP(D178,A!B$1:L$1125,2,FALSE)</f>
        <v>0</v>
      </c>
      <c r="O178" s="94">
        <f>VLOOKUP(D178,A!B$1:L$1126,4,FALSE)</f>
        <v>0</v>
      </c>
      <c r="P178" s="10">
        <v>10</v>
      </c>
      <c r="Q178" s="10">
        <v>2.69</v>
      </c>
      <c r="R178" s="10">
        <f t="shared" si="38"/>
        <v>0</v>
      </c>
      <c r="S178" s="10">
        <f t="shared" si="39"/>
        <v>0</v>
      </c>
      <c r="T178" s="29" t="s">
        <v>321</v>
      </c>
      <c r="U178" s="145">
        <v>0.33</v>
      </c>
      <c r="V178" s="10" t="str">
        <f>VLOOKUP(D178,A!B$1:T$1125,16,FALSE)</f>
        <v/>
      </c>
      <c r="W178" s="10">
        <f t="shared" si="40"/>
        <v>0</v>
      </c>
      <c r="X178" s="29"/>
      <c r="Y178" s="29"/>
      <c r="Z178" s="29"/>
      <c r="AA178" s="29"/>
    </row>
    <row r="179" spans="1:67" s="3" customFormat="1" ht="13.5" hidden="1" customHeight="1" x14ac:dyDescent="0.25">
      <c r="A179" t="str">
        <f>IF(R179=0,"",COUNTIF(A$13:A178,"&gt;0")+1)</f>
        <v/>
      </c>
      <c r="B179" s="4"/>
      <c r="C179" s="5" t="s">
        <v>22</v>
      </c>
      <c r="D179" s="7" t="s">
        <v>251</v>
      </c>
      <c r="E179" s="31"/>
      <c r="F179" s="31"/>
      <c r="G179" s="6" t="s">
        <v>249</v>
      </c>
      <c r="H179" s="7">
        <f>VLOOKUP(D179,A!B$1:L$1126,3,FALSE)</f>
        <v>0</v>
      </c>
      <c r="I179" s="31">
        <f>VLOOKUP(D179,A!B$1:L$1126,3,FALSE)</f>
        <v>0</v>
      </c>
      <c r="J179" s="92"/>
      <c r="K179" s="63" t="str">
        <f>VLOOKUP(D179,A!B$1:L$1126,6,FALSE)</f>
        <v/>
      </c>
      <c r="L179" s="2"/>
      <c r="M179" s="40" t="s">
        <v>250</v>
      </c>
      <c r="N179" s="94">
        <f>VLOOKUP(D179,A!B$1:L$1125,2,FALSE)</f>
        <v>0</v>
      </c>
      <c r="O179" s="94">
        <f>VLOOKUP(D179,A!B$1:L$1126,4,FALSE)</f>
        <v>0</v>
      </c>
      <c r="P179" s="10">
        <v>10</v>
      </c>
      <c r="Q179" s="10">
        <v>2.69</v>
      </c>
      <c r="R179" s="10">
        <f t="shared" si="38"/>
        <v>0</v>
      </c>
      <c r="S179" s="10">
        <f t="shared" si="39"/>
        <v>0</v>
      </c>
      <c r="T179" s="29" t="s">
        <v>321</v>
      </c>
      <c r="U179" s="145">
        <v>0.33</v>
      </c>
      <c r="V179" s="10" t="str">
        <f>VLOOKUP(D179,A!B$1:T$1125,16,FALSE)</f>
        <v/>
      </c>
      <c r="W179" s="10">
        <f t="shared" si="40"/>
        <v>0</v>
      </c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</row>
    <row r="180" spans="1:67" s="3" customFormat="1" ht="13.5" hidden="1" customHeight="1" x14ac:dyDescent="0.25">
      <c r="A180" t="str">
        <f>IF(R180=0,"",COUNTIF(A$13:A179,"&gt;0")+1)</f>
        <v/>
      </c>
      <c r="B180" s="4"/>
      <c r="C180" s="5" t="s">
        <v>22</v>
      </c>
      <c r="D180" s="7" t="s">
        <v>1648</v>
      </c>
      <c r="E180" s="31"/>
      <c r="F180" s="31"/>
      <c r="G180" s="6" t="s">
        <v>249</v>
      </c>
      <c r="H180" s="7">
        <f>VLOOKUP(D180,A!B$1:L$1126,3,FALSE)</f>
        <v>0</v>
      </c>
      <c r="I180" s="31">
        <f>VLOOKUP(D180,A!B$1:L$1126,3,FALSE)</f>
        <v>0</v>
      </c>
      <c r="J180" s="92"/>
      <c r="K180" s="63" t="str">
        <f>VLOOKUP(D180,A!B$1:L$1126,6,FALSE)</f>
        <v/>
      </c>
      <c r="L180" s="162"/>
      <c r="M180" s="40" t="s">
        <v>250</v>
      </c>
      <c r="N180" s="94">
        <f>VLOOKUP(D180,A!B$1:L$1125,2,FALSE)</f>
        <v>0</v>
      </c>
      <c r="O180" s="94">
        <f>VLOOKUP(D180,A!B$1:L$1126,4,FALSE)</f>
        <v>0</v>
      </c>
      <c r="P180" s="10">
        <v>10</v>
      </c>
      <c r="Q180" s="10">
        <v>2.69</v>
      </c>
      <c r="R180" s="10">
        <f t="shared" si="38"/>
        <v>0</v>
      </c>
      <c r="S180" s="10">
        <f t="shared" si="39"/>
        <v>0</v>
      </c>
      <c r="T180" s="29" t="s">
        <v>321</v>
      </c>
      <c r="U180" s="145">
        <v>0.33</v>
      </c>
      <c r="V180" s="10" t="str">
        <f>VLOOKUP(D180,A!B$1:T$1125,16,FALSE)</f>
        <v/>
      </c>
      <c r="W180" s="10">
        <f t="shared" si="40"/>
        <v>0</v>
      </c>
      <c r="X180" s="29"/>
      <c r="Y180" s="29"/>
      <c r="Z180" s="29"/>
      <c r="AA180" s="29"/>
    </row>
    <row r="181" spans="1:67" s="3" customFormat="1" ht="13.5" hidden="1" customHeight="1" x14ac:dyDescent="0.25">
      <c r="A181" t="str">
        <f>IF(R181=0,"",COUNTIF(A$13:A180,"&gt;0")+1)</f>
        <v/>
      </c>
      <c r="B181" s="4"/>
      <c r="C181" s="5" t="s">
        <v>22</v>
      </c>
      <c r="D181" s="7" t="s">
        <v>1649</v>
      </c>
      <c r="E181" s="31"/>
      <c r="F181" s="31"/>
      <c r="G181" s="6" t="s">
        <v>1650</v>
      </c>
      <c r="H181" s="7">
        <f>VLOOKUP(D181,A!B$1:L$1126,3,FALSE)</f>
        <v>0</v>
      </c>
      <c r="I181" s="31">
        <f>VLOOKUP(D181,A!B$1:L$1126,3,FALSE)</f>
        <v>0</v>
      </c>
      <c r="J181" s="92"/>
      <c r="K181" s="63" t="str">
        <f>VLOOKUP(D181,A!B$1:L$1126,6,FALSE)</f>
        <v/>
      </c>
      <c r="L181" s="162"/>
      <c r="M181" s="43" t="s">
        <v>1651</v>
      </c>
      <c r="N181" s="94">
        <f>VLOOKUP(D181,A!B$1:L$1125,2,FALSE)</f>
        <v>0</v>
      </c>
      <c r="O181" s="94">
        <f>VLOOKUP(D181,A!B$1:L$1126,4,FALSE)</f>
        <v>0</v>
      </c>
      <c r="P181" s="10">
        <v>10</v>
      </c>
      <c r="Q181" s="10">
        <v>2.69</v>
      </c>
      <c r="R181" s="10">
        <f t="shared" si="38"/>
        <v>0</v>
      </c>
      <c r="S181" s="10">
        <f t="shared" si="39"/>
        <v>0</v>
      </c>
      <c r="T181" s="29" t="s">
        <v>321</v>
      </c>
      <c r="U181" s="145">
        <v>0.33</v>
      </c>
      <c r="V181" s="10" t="str">
        <f>VLOOKUP(D181,A!B$1:T$1125,16,FALSE)</f>
        <v/>
      </c>
      <c r="W181" s="10">
        <f t="shared" si="40"/>
        <v>0</v>
      </c>
      <c r="X181" s="29"/>
      <c r="Y181" s="29"/>
      <c r="Z181" s="29"/>
      <c r="AA181" s="29"/>
    </row>
    <row r="182" spans="1:67" s="3" customFormat="1" ht="13.5" hidden="1" customHeight="1" x14ac:dyDescent="0.25">
      <c r="A182" t="str">
        <f>IF(R182=0,"",COUNTIF(A$13:A181,"&gt;0")+1)</f>
        <v/>
      </c>
      <c r="B182" s="4"/>
      <c r="C182" s="5" t="s">
        <v>22</v>
      </c>
      <c r="D182" s="22" t="s">
        <v>1652</v>
      </c>
      <c r="E182" s="89"/>
      <c r="F182" s="89"/>
      <c r="G182" s="23" t="s">
        <v>1653</v>
      </c>
      <c r="H182" s="7">
        <f>VLOOKUP(D182,A!B$1:L$1126,3,FALSE)</f>
        <v>0</v>
      </c>
      <c r="I182" s="31">
        <f>VLOOKUP(D182,A!B$1:L$1126,3,FALSE)</f>
        <v>0</v>
      </c>
      <c r="J182" s="92"/>
      <c r="K182" s="63" t="str">
        <f>VLOOKUP(D182,A!B$1:L$1126,6,FALSE)</f>
        <v/>
      </c>
      <c r="L182" s="162"/>
      <c r="M182" s="44" t="s">
        <v>1654</v>
      </c>
      <c r="N182" s="94">
        <f>VLOOKUP(D182,A!B$1:L$1125,2,FALSE)</f>
        <v>0</v>
      </c>
      <c r="O182" s="94">
        <f>VLOOKUP(D182,A!B$1:L$1126,4,FALSE)</f>
        <v>0</v>
      </c>
      <c r="P182" s="10">
        <v>10</v>
      </c>
      <c r="Q182" s="10">
        <v>2.69</v>
      </c>
      <c r="R182" s="10">
        <f t="shared" si="38"/>
        <v>0</v>
      </c>
      <c r="S182" s="10">
        <f t="shared" si="39"/>
        <v>0</v>
      </c>
      <c r="T182" s="29" t="s">
        <v>321</v>
      </c>
      <c r="U182" s="145">
        <v>0.33</v>
      </c>
      <c r="V182" s="10" t="str">
        <f>VLOOKUP(D182,A!B$1:T$1125,16,FALSE)</f>
        <v/>
      </c>
      <c r="W182" s="10">
        <f t="shared" si="40"/>
        <v>0</v>
      </c>
      <c r="X182" s="29"/>
      <c r="Y182" s="29"/>
      <c r="Z182" s="29"/>
      <c r="AA182" s="29"/>
    </row>
    <row r="183" spans="1:67" s="3" customFormat="1" ht="13.5" hidden="1" customHeight="1" x14ac:dyDescent="0.25">
      <c r="A183" t="str">
        <f>IF(R183=0,"",COUNTIF(A$13:A182,"&gt;0")+1)</f>
        <v/>
      </c>
      <c r="B183" s="4"/>
      <c r="C183" s="5" t="s">
        <v>22</v>
      </c>
      <c r="D183" s="22" t="s">
        <v>1655</v>
      </c>
      <c r="E183" s="89"/>
      <c r="F183" s="89"/>
      <c r="G183" s="23" t="s">
        <v>1656</v>
      </c>
      <c r="H183" s="7">
        <f>VLOOKUP(D183,A!B$1:L$1126,3,FALSE)</f>
        <v>0</v>
      </c>
      <c r="I183" s="31">
        <f>VLOOKUP(D183,A!B$1:L$1126,3,FALSE)</f>
        <v>0</v>
      </c>
      <c r="J183" s="92"/>
      <c r="K183" s="63" t="str">
        <f>VLOOKUP(D183,A!B$1:L$1126,6,FALSE)</f>
        <v/>
      </c>
      <c r="L183" s="162"/>
      <c r="M183" s="42" t="s">
        <v>1657</v>
      </c>
      <c r="N183" s="94">
        <f>VLOOKUP(D183,A!B$1:L$1125,2,FALSE)</f>
        <v>0</v>
      </c>
      <c r="O183" s="94">
        <f>VLOOKUP(D183,A!B$1:L$1126,4,FALSE)</f>
        <v>0</v>
      </c>
      <c r="P183" s="10">
        <v>10</v>
      </c>
      <c r="Q183" s="10">
        <v>2.69</v>
      </c>
      <c r="R183" s="10">
        <f t="shared" si="38"/>
        <v>0</v>
      </c>
      <c r="S183" s="10">
        <f t="shared" si="39"/>
        <v>0</v>
      </c>
      <c r="T183" s="29" t="s">
        <v>321</v>
      </c>
      <c r="U183" s="145">
        <v>0.33</v>
      </c>
      <c r="V183" s="10" t="str">
        <f>VLOOKUP(D183,A!B$1:T$1125,16,FALSE)</f>
        <v/>
      </c>
      <c r="W183" s="10">
        <f t="shared" si="40"/>
        <v>0</v>
      </c>
      <c r="X183" s="29"/>
      <c r="Y183" s="29"/>
      <c r="Z183" s="29"/>
      <c r="AA183" s="29"/>
    </row>
    <row r="184" spans="1:67" s="3" customFormat="1" ht="13.5" hidden="1" customHeight="1" x14ac:dyDescent="0.25">
      <c r="A184" t="str">
        <f>IF(R184=0,"",COUNTIF(A$13:A183,"&gt;0")+1)</f>
        <v/>
      </c>
      <c r="B184" s="4"/>
      <c r="C184" s="5" t="s">
        <v>22</v>
      </c>
      <c r="D184" s="18" t="s">
        <v>1658</v>
      </c>
      <c r="E184" s="87"/>
      <c r="F184" s="87"/>
      <c r="G184" s="6" t="s">
        <v>1659</v>
      </c>
      <c r="H184" s="7">
        <f>VLOOKUP(D184,A!B$1:L$1126,3,FALSE)</f>
        <v>0</v>
      </c>
      <c r="I184" s="31">
        <f>VLOOKUP(D184,A!B$1:L$1126,3,FALSE)</f>
        <v>0</v>
      </c>
      <c r="J184" s="92"/>
      <c r="K184" s="63" t="str">
        <f>VLOOKUP(D184,A!B$1:L$1126,6,FALSE)</f>
        <v/>
      </c>
      <c r="L184" s="163"/>
      <c r="M184" s="164" t="s">
        <v>1660</v>
      </c>
      <c r="N184" s="94">
        <f>VLOOKUP(D184,A!B$1:L$1125,2,FALSE)</f>
        <v>0</v>
      </c>
      <c r="O184" s="94">
        <f>VLOOKUP(D184,A!B$1:L$1126,4,FALSE)</f>
        <v>0</v>
      </c>
      <c r="P184" s="10">
        <v>10</v>
      </c>
      <c r="Q184" s="10">
        <v>2.69</v>
      </c>
      <c r="R184" s="10">
        <f t="shared" si="38"/>
        <v>0</v>
      </c>
      <c r="S184" s="10">
        <f t="shared" si="39"/>
        <v>0</v>
      </c>
      <c r="T184" s="29" t="s">
        <v>321</v>
      </c>
      <c r="U184" s="145">
        <v>0.33</v>
      </c>
      <c r="V184" s="10" t="str">
        <f>VLOOKUP(D184,A!B$1:T$1125,16,FALSE)</f>
        <v/>
      </c>
      <c r="W184" s="10">
        <f t="shared" si="40"/>
        <v>0</v>
      </c>
      <c r="X184" s="29"/>
      <c r="Y184" s="29"/>
      <c r="Z184" s="29"/>
      <c r="AA184" s="29"/>
    </row>
    <row r="185" spans="1:67" s="3" customFormat="1" ht="13.5" hidden="1" customHeight="1" x14ac:dyDescent="0.25">
      <c r="A185" t="str">
        <f>IF(R185=0,"",COUNTIF(A$13:A184,"&gt;0")+1)</f>
        <v/>
      </c>
      <c r="B185" s="4"/>
      <c r="C185" s="5" t="s">
        <v>22</v>
      </c>
      <c r="D185" s="18" t="s">
        <v>1661</v>
      </c>
      <c r="E185" s="87"/>
      <c r="F185" s="87"/>
      <c r="G185" s="6" t="s">
        <v>1659</v>
      </c>
      <c r="H185" s="7">
        <f>VLOOKUP(D185,A!B$1:L$1126,3,FALSE)</f>
        <v>0</v>
      </c>
      <c r="I185" s="31">
        <f>VLOOKUP(D185,A!B$1:L$1126,3,FALSE)</f>
        <v>0</v>
      </c>
      <c r="J185" s="92"/>
      <c r="K185" s="63" t="str">
        <f>VLOOKUP(D185,A!B$1:L$1126,6,FALSE)</f>
        <v/>
      </c>
      <c r="L185" s="163"/>
      <c r="M185" s="164" t="s">
        <v>1662</v>
      </c>
      <c r="N185" s="94">
        <f>VLOOKUP(D185,A!B$1:L$1125,2,FALSE)</f>
        <v>0</v>
      </c>
      <c r="O185" s="94">
        <f>VLOOKUP(D185,A!B$1:L$1126,4,FALSE)</f>
        <v>0</v>
      </c>
      <c r="P185" s="10">
        <v>10</v>
      </c>
      <c r="Q185" s="10">
        <v>2.69</v>
      </c>
      <c r="R185" s="10">
        <f t="shared" si="38"/>
        <v>0</v>
      </c>
      <c r="S185" s="10">
        <f t="shared" si="39"/>
        <v>0</v>
      </c>
      <c r="T185" s="29" t="s">
        <v>321</v>
      </c>
      <c r="U185" s="145">
        <v>0.33</v>
      </c>
      <c r="V185" s="10" t="str">
        <f>VLOOKUP(D185,A!B$1:T$1125,16,FALSE)</f>
        <v/>
      </c>
      <c r="W185" s="10">
        <f t="shared" si="40"/>
        <v>0</v>
      </c>
      <c r="X185" s="29"/>
      <c r="Y185" s="29"/>
      <c r="Z185" s="29"/>
      <c r="AA185" s="29"/>
    </row>
    <row r="186" spans="1:67" s="3" customFormat="1" ht="13.5" hidden="1" customHeight="1" x14ac:dyDescent="0.25">
      <c r="A186" t="str">
        <f>IF(R186=0,"",COUNTIF(A$13:A185,"&gt;0")+1)</f>
        <v/>
      </c>
      <c r="B186" s="4"/>
      <c r="C186" s="5" t="s">
        <v>22</v>
      </c>
      <c r="D186" s="7" t="s">
        <v>1663</v>
      </c>
      <c r="E186" s="31"/>
      <c r="F186" s="31"/>
      <c r="G186" s="6" t="s">
        <v>1664</v>
      </c>
      <c r="H186" s="7">
        <f>VLOOKUP(D186,A!B$1:L$1126,3,FALSE)</f>
        <v>0</v>
      </c>
      <c r="I186" s="31">
        <f>VLOOKUP(D186,A!B$1:L$1126,3,FALSE)</f>
        <v>0</v>
      </c>
      <c r="J186" s="92"/>
      <c r="K186" s="63" t="str">
        <f>VLOOKUP(D186,A!B$1:L$1126,6,FALSE)</f>
        <v/>
      </c>
      <c r="L186" s="162"/>
      <c r="M186" s="42" t="s">
        <v>1665</v>
      </c>
      <c r="N186" s="94">
        <f>VLOOKUP(D186,A!B$1:L$1125,2,FALSE)</f>
        <v>0</v>
      </c>
      <c r="O186" s="94">
        <f>VLOOKUP(D186,A!B$1:L$1126,4,FALSE)</f>
        <v>0</v>
      </c>
      <c r="P186" s="10">
        <v>10</v>
      </c>
      <c r="Q186" s="10">
        <v>2.69</v>
      </c>
      <c r="R186" s="10">
        <f t="shared" si="38"/>
        <v>0</v>
      </c>
      <c r="S186" s="10">
        <f t="shared" si="39"/>
        <v>0</v>
      </c>
      <c r="T186" s="29" t="s">
        <v>321</v>
      </c>
      <c r="U186" s="145">
        <v>0.33</v>
      </c>
      <c r="V186" s="10" t="str">
        <f>VLOOKUP(D186,A!B$1:T$1125,16,FALSE)</f>
        <v/>
      </c>
      <c r="W186" s="10">
        <f t="shared" si="40"/>
        <v>0</v>
      </c>
      <c r="X186" s="29"/>
      <c r="Y186" s="29"/>
      <c r="Z186" s="29"/>
      <c r="AA186" s="29"/>
    </row>
    <row r="187" spans="1:67" s="3" customFormat="1" ht="13.5" hidden="1" customHeight="1" x14ac:dyDescent="0.25">
      <c r="A187" t="str">
        <f>IF(R187=0,"",COUNTIF(A$13:A186,"&gt;0")+1)</f>
        <v/>
      </c>
      <c r="B187" s="4"/>
      <c r="C187" s="5" t="s">
        <v>22</v>
      </c>
      <c r="D187" s="7" t="s">
        <v>1666</v>
      </c>
      <c r="E187" s="31"/>
      <c r="F187" s="31"/>
      <c r="G187" s="6" t="s">
        <v>1667</v>
      </c>
      <c r="H187" s="7">
        <f>VLOOKUP(D187,A!B$1:L$1126,3,FALSE)</f>
        <v>0</v>
      </c>
      <c r="I187" s="31">
        <f>VLOOKUP(D187,A!B$1:L$1126,3,FALSE)</f>
        <v>0</v>
      </c>
      <c r="J187" s="92"/>
      <c r="K187" s="63" t="str">
        <f>VLOOKUP(D187,A!B$1:L$1126,6,FALSE)</f>
        <v/>
      </c>
      <c r="L187" s="162"/>
      <c r="M187" s="40" t="s">
        <v>1668</v>
      </c>
      <c r="N187" s="94">
        <f>VLOOKUP(D187,A!B$1:L$1125,2,FALSE)</f>
        <v>0</v>
      </c>
      <c r="O187" s="94">
        <f>VLOOKUP(D187,A!B$1:L$1126,4,FALSE)</f>
        <v>0</v>
      </c>
      <c r="P187" s="10">
        <v>10</v>
      </c>
      <c r="Q187" s="10">
        <v>2.69</v>
      </c>
      <c r="R187" s="10">
        <f t="shared" si="38"/>
        <v>0</v>
      </c>
      <c r="S187" s="10">
        <f t="shared" si="39"/>
        <v>0</v>
      </c>
      <c r="T187" s="29" t="s">
        <v>321</v>
      </c>
      <c r="U187" s="145">
        <v>0.33</v>
      </c>
      <c r="V187" s="10" t="str">
        <f>VLOOKUP(D187,A!B$1:T$1125,16,FALSE)</f>
        <v/>
      </c>
      <c r="W187" s="10">
        <f t="shared" si="40"/>
        <v>0</v>
      </c>
      <c r="X187" s="29"/>
      <c r="Y187" s="29"/>
      <c r="Z187" s="29"/>
      <c r="AA187" s="29"/>
    </row>
    <row r="188" spans="1:67" s="3" customFormat="1" ht="13.5" hidden="1" customHeight="1" x14ac:dyDescent="0.25">
      <c r="A188" t="str">
        <f>IF(R188=0,"",COUNTIF(A$13:A187,"&gt;0")+1)</f>
        <v/>
      </c>
      <c r="B188" s="4"/>
      <c r="C188" s="5" t="s">
        <v>22</v>
      </c>
      <c r="D188" s="7" t="s">
        <v>1669</v>
      </c>
      <c r="E188" s="31"/>
      <c r="F188" s="31"/>
      <c r="G188" s="6" t="s">
        <v>1670</v>
      </c>
      <c r="H188" s="7">
        <f>VLOOKUP(D188,A!B$1:L$1126,3,FALSE)</f>
        <v>0</v>
      </c>
      <c r="I188" s="31">
        <f>VLOOKUP(D188,A!B$1:L$1126,3,FALSE)</f>
        <v>0</v>
      </c>
      <c r="J188" s="92"/>
      <c r="K188" s="63" t="str">
        <f>VLOOKUP(D188,A!B$1:L$1126,6,FALSE)</f>
        <v/>
      </c>
      <c r="L188" s="162"/>
      <c r="M188" s="41" t="s">
        <v>1671</v>
      </c>
      <c r="N188" s="94">
        <f>VLOOKUP(D188,A!B$1:L$1125,2,FALSE)</f>
        <v>0</v>
      </c>
      <c r="O188" s="94">
        <f>VLOOKUP(D188,A!B$1:L$1126,4,FALSE)</f>
        <v>0</v>
      </c>
      <c r="P188" s="10">
        <v>10</v>
      </c>
      <c r="Q188" s="10">
        <v>2.69</v>
      </c>
      <c r="R188" s="10">
        <f t="shared" si="38"/>
        <v>0</v>
      </c>
      <c r="S188" s="10">
        <f t="shared" si="39"/>
        <v>0</v>
      </c>
      <c r="T188" s="29" t="s">
        <v>321</v>
      </c>
      <c r="U188" s="145">
        <v>0.33</v>
      </c>
      <c r="V188" s="10" t="str">
        <f>VLOOKUP(D188,A!B$1:T$1125,16,FALSE)</f>
        <v/>
      </c>
      <c r="W188" s="10">
        <f t="shared" si="40"/>
        <v>0</v>
      </c>
      <c r="X188" s="29"/>
      <c r="Y188" s="29"/>
      <c r="Z188" s="29"/>
      <c r="AA188" s="29"/>
    </row>
    <row r="189" spans="1:67" s="3" customFormat="1" ht="13.5" hidden="1" customHeight="1" x14ac:dyDescent="0.25">
      <c r="A189" t="str">
        <f>IF(R189=0,"",COUNTIF(A$13:A188,"&gt;0")+1)</f>
        <v/>
      </c>
      <c r="B189" s="4"/>
      <c r="C189" s="5" t="s">
        <v>22</v>
      </c>
      <c r="D189" s="7" t="s">
        <v>1672</v>
      </c>
      <c r="E189" s="31"/>
      <c r="F189" s="31"/>
      <c r="G189" s="6" t="s">
        <v>1673</v>
      </c>
      <c r="H189" s="7">
        <f>VLOOKUP(D189,A!B$1:L$1126,3,FALSE)</f>
        <v>0</v>
      </c>
      <c r="I189" s="31">
        <f>VLOOKUP(D189,A!B$1:L$1126,3,FALSE)</f>
        <v>0</v>
      </c>
      <c r="J189" s="92"/>
      <c r="K189" s="63" t="str">
        <f>VLOOKUP(D189,A!B$1:L$1126,6,FALSE)</f>
        <v/>
      </c>
      <c r="L189" s="162"/>
      <c r="M189" s="43" t="s">
        <v>1674</v>
      </c>
      <c r="N189" s="94">
        <f>VLOOKUP(D189,A!B$1:L$1125,2,FALSE)</f>
        <v>0</v>
      </c>
      <c r="O189" s="94">
        <f>VLOOKUP(D189,A!B$1:L$1126,4,FALSE)</f>
        <v>0</v>
      </c>
      <c r="P189" s="10">
        <v>10</v>
      </c>
      <c r="Q189" s="10">
        <v>2.69</v>
      </c>
      <c r="R189" s="10">
        <f t="shared" si="38"/>
        <v>0</v>
      </c>
      <c r="S189" s="10">
        <f t="shared" si="39"/>
        <v>0</v>
      </c>
      <c r="T189" s="29" t="s">
        <v>321</v>
      </c>
      <c r="U189" s="145">
        <v>0.33</v>
      </c>
      <c r="V189" s="10" t="str">
        <f>VLOOKUP(D189,A!B$1:T$1125,16,FALSE)</f>
        <v/>
      </c>
      <c r="W189" s="10">
        <f t="shared" si="40"/>
        <v>0</v>
      </c>
      <c r="X189" s="29"/>
      <c r="Y189" s="29"/>
      <c r="Z189" s="29"/>
      <c r="AA189" s="29"/>
    </row>
    <row r="190" spans="1:67" s="3" customFormat="1" ht="13.5" hidden="1" customHeight="1" x14ac:dyDescent="0.25">
      <c r="A190" t="str">
        <f>IF(R190=0,"",COUNTIF(A$13:A189,"&gt;0")+1)</f>
        <v/>
      </c>
      <c r="B190" s="4"/>
      <c r="C190" s="5" t="s">
        <v>22</v>
      </c>
      <c r="D190" s="7" t="s">
        <v>1675</v>
      </c>
      <c r="E190" s="31"/>
      <c r="F190" s="31"/>
      <c r="G190" s="6" t="s">
        <v>1670</v>
      </c>
      <c r="H190" s="7">
        <f>VLOOKUP(D190,A!B$1:L$1126,3,FALSE)</f>
        <v>0</v>
      </c>
      <c r="I190" s="31">
        <f>VLOOKUP(D190,A!B$1:L$1126,3,FALSE)</f>
        <v>0</v>
      </c>
      <c r="J190" s="92"/>
      <c r="K190" s="63" t="str">
        <f>VLOOKUP(D190,A!B$1:L$1126,6,FALSE)</f>
        <v/>
      </c>
      <c r="L190" s="162"/>
      <c r="M190" s="41" t="s">
        <v>1676</v>
      </c>
      <c r="N190" s="94">
        <f>VLOOKUP(D190,A!B$1:L$1125,2,FALSE)</f>
        <v>0</v>
      </c>
      <c r="O190" s="94">
        <f>VLOOKUP(D190,A!B$1:L$1126,4,FALSE)</f>
        <v>0</v>
      </c>
      <c r="P190" s="10">
        <v>10</v>
      </c>
      <c r="Q190" s="10">
        <v>2.69</v>
      </c>
      <c r="R190" s="10">
        <f t="shared" si="38"/>
        <v>0</v>
      </c>
      <c r="S190" s="10">
        <f t="shared" si="39"/>
        <v>0</v>
      </c>
      <c r="T190" s="29" t="s">
        <v>321</v>
      </c>
      <c r="U190" s="145">
        <v>0.33</v>
      </c>
      <c r="V190" s="10" t="str">
        <f>VLOOKUP(D190,A!B$1:T$1125,16,FALSE)</f>
        <v/>
      </c>
      <c r="W190" s="10">
        <f t="shared" si="40"/>
        <v>0</v>
      </c>
      <c r="X190" s="29"/>
      <c r="Y190" s="29"/>
      <c r="Z190" s="29"/>
      <c r="AA190" s="29"/>
    </row>
    <row r="191" spans="1:67" s="3" customFormat="1" ht="13.5" hidden="1" customHeight="1" x14ac:dyDescent="0.25">
      <c r="A191" t="str">
        <f>IF(R191=0,"",COUNTIF(A$13:A190,"&gt;0")+1)</f>
        <v/>
      </c>
      <c r="B191" s="4"/>
      <c r="C191" s="5" t="s">
        <v>22</v>
      </c>
      <c r="D191" s="7" t="s">
        <v>1677</v>
      </c>
      <c r="E191" s="31"/>
      <c r="F191" s="31"/>
      <c r="G191" s="6" t="s">
        <v>1670</v>
      </c>
      <c r="H191" s="7">
        <f>VLOOKUP(D191,A!B$1:L$1126,3,FALSE)</f>
        <v>0</v>
      </c>
      <c r="I191" s="31">
        <f>VLOOKUP(D191,A!B$1:L$1126,3,FALSE)</f>
        <v>0</v>
      </c>
      <c r="J191" s="92"/>
      <c r="K191" s="63" t="str">
        <f>VLOOKUP(D191,A!B$1:L$1126,6,FALSE)</f>
        <v/>
      </c>
      <c r="L191" s="162"/>
      <c r="M191" s="41" t="s">
        <v>1678</v>
      </c>
      <c r="N191" s="94">
        <f>VLOOKUP(D191,A!B$1:L$1125,2,FALSE)</f>
        <v>0</v>
      </c>
      <c r="O191" s="94">
        <f>VLOOKUP(D191,A!B$1:L$1126,4,FALSE)</f>
        <v>0</v>
      </c>
      <c r="P191" s="10">
        <v>10</v>
      </c>
      <c r="Q191" s="10">
        <v>2.69</v>
      </c>
      <c r="R191" s="10">
        <f t="shared" si="38"/>
        <v>0</v>
      </c>
      <c r="S191" s="10">
        <f t="shared" si="39"/>
        <v>0</v>
      </c>
      <c r="T191" s="29" t="s">
        <v>321</v>
      </c>
      <c r="U191" s="145">
        <v>0.33</v>
      </c>
      <c r="V191" s="10" t="str">
        <f>VLOOKUP(D191,A!B$1:T$1125,16,FALSE)</f>
        <v/>
      </c>
      <c r="W191" s="10">
        <f t="shared" si="40"/>
        <v>0</v>
      </c>
      <c r="X191" s="29"/>
      <c r="Y191" s="29"/>
      <c r="Z191" s="29"/>
      <c r="AA191" s="29"/>
    </row>
    <row r="192" spans="1:67" s="3" customFormat="1" ht="13.5" hidden="1" customHeight="1" x14ac:dyDescent="0.25">
      <c r="A192" t="str">
        <f>IF(R192=0,"",COUNTIF(A$13:A191,"&gt;0")+1)</f>
        <v/>
      </c>
      <c r="B192" s="4"/>
      <c r="C192" s="5" t="s">
        <v>22</v>
      </c>
      <c r="D192" s="7" t="s">
        <v>1679</v>
      </c>
      <c r="E192" s="31"/>
      <c r="F192" s="31"/>
      <c r="G192" s="6" t="s">
        <v>1680</v>
      </c>
      <c r="H192" s="7">
        <f>VLOOKUP(D192,A!B$1:L$1126,3,FALSE)</f>
        <v>0</v>
      </c>
      <c r="I192" s="31">
        <f>VLOOKUP(D192,A!B$1:L$1126,3,FALSE)</f>
        <v>0</v>
      </c>
      <c r="J192" s="92"/>
      <c r="K192" s="63" t="str">
        <f>VLOOKUP(D192,A!B$1:L$1126,6,FALSE)</f>
        <v/>
      </c>
      <c r="L192" s="162"/>
      <c r="M192" s="181" t="s">
        <v>1681</v>
      </c>
      <c r="N192" s="94">
        <f>VLOOKUP(D192,A!B$1:L$1125,2,FALSE)</f>
        <v>0</v>
      </c>
      <c r="O192" s="94">
        <f>VLOOKUP(D192,A!B$1:L$1126,4,FALSE)</f>
        <v>0</v>
      </c>
      <c r="P192" s="10">
        <v>10</v>
      </c>
      <c r="Q192" s="10">
        <v>2.69</v>
      </c>
      <c r="R192" s="10">
        <f t="shared" si="38"/>
        <v>0</v>
      </c>
      <c r="S192" s="10">
        <f t="shared" si="39"/>
        <v>0</v>
      </c>
      <c r="T192" s="29" t="s">
        <v>321</v>
      </c>
      <c r="U192" s="145">
        <v>0.33</v>
      </c>
      <c r="V192" s="10" t="str">
        <f>VLOOKUP(D192,A!B$1:T$1125,16,FALSE)</f>
        <v/>
      </c>
      <c r="W192" s="10">
        <f t="shared" si="40"/>
        <v>0</v>
      </c>
      <c r="X192" s="29"/>
      <c r="Y192" s="29"/>
      <c r="Z192" s="29"/>
      <c r="AA192" s="29"/>
    </row>
    <row r="193" spans="1:27" s="3" customFormat="1" ht="13.5" hidden="1" customHeight="1" x14ac:dyDescent="0.25">
      <c r="A193" t="str">
        <f>IF(R193=0,"",COUNTIF(A$13:A192,"&gt;0")+1)</f>
        <v/>
      </c>
      <c r="B193" s="4"/>
      <c r="C193" s="5" t="s">
        <v>22</v>
      </c>
      <c r="D193" s="7" t="s">
        <v>1682</v>
      </c>
      <c r="E193" s="31"/>
      <c r="F193" s="31"/>
      <c r="G193" s="6" t="s">
        <v>1683</v>
      </c>
      <c r="H193" s="7">
        <f>VLOOKUP(D193,A!B$1:L$1126,3,FALSE)</f>
        <v>0</v>
      </c>
      <c r="I193" s="31">
        <f>VLOOKUP(D193,A!B$1:L$1126,3,FALSE)</f>
        <v>0</v>
      </c>
      <c r="J193" s="92"/>
      <c r="K193" s="63" t="str">
        <f>VLOOKUP(D193,A!B$1:L$1126,6,FALSE)</f>
        <v/>
      </c>
      <c r="L193" s="162"/>
      <c r="M193" s="181" t="s">
        <v>1684</v>
      </c>
      <c r="N193" s="94">
        <f>VLOOKUP(D193,A!B$1:L$1125,2,FALSE)</f>
        <v>0</v>
      </c>
      <c r="O193" s="94">
        <f>VLOOKUP(D193,A!B$1:L$1126,4,FALSE)</f>
        <v>0</v>
      </c>
      <c r="P193" s="10">
        <v>10</v>
      </c>
      <c r="Q193" s="10">
        <v>2.69</v>
      </c>
      <c r="R193" s="10">
        <f t="shared" si="38"/>
        <v>0</v>
      </c>
      <c r="S193" s="10">
        <f t="shared" si="39"/>
        <v>0</v>
      </c>
      <c r="T193" s="29" t="s">
        <v>321</v>
      </c>
      <c r="U193" s="145">
        <v>0.33</v>
      </c>
      <c r="V193" s="10" t="str">
        <f>VLOOKUP(D193,A!B$1:T$1125,16,FALSE)</f>
        <v/>
      </c>
      <c r="W193" s="10">
        <f t="shared" si="40"/>
        <v>0</v>
      </c>
      <c r="X193" s="29"/>
      <c r="Y193" s="29"/>
      <c r="Z193" s="29"/>
      <c r="AA193" s="29"/>
    </row>
    <row r="194" spans="1:27" s="3" customFormat="1" ht="13.5" hidden="1" customHeight="1" x14ac:dyDescent="0.25">
      <c r="A194" t="str">
        <f>IF(R194=0,"",COUNTIF(A$13:A193,"&gt;0")+1)</f>
        <v/>
      </c>
      <c r="B194" s="4"/>
      <c r="C194" s="5" t="s">
        <v>22</v>
      </c>
      <c r="D194" s="7" t="s">
        <v>1685</v>
      </c>
      <c r="E194" s="31"/>
      <c r="F194" s="31"/>
      <c r="G194" s="6" t="s">
        <v>1686</v>
      </c>
      <c r="H194" s="7">
        <f>VLOOKUP(D194,A!B$1:L$1126,3,FALSE)</f>
        <v>0</v>
      </c>
      <c r="I194" s="31">
        <f>VLOOKUP(D194,A!B$1:L$1126,3,FALSE)</f>
        <v>0</v>
      </c>
      <c r="J194" s="92"/>
      <c r="K194" s="63" t="str">
        <f>VLOOKUP(D194,A!B$1:L$1126,6,FALSE)</f>
        <v/>
      </c>
      <c r="L194" s="162"/>
      <c r="M194" s="43" t="s">
        <v>1687</v>
      </c>
      <c r="N194" s="94">
        <f>VLOOKUP(D194,A!B$1:L$1125,2,FALSE)</f>
        <v>0</v>
      </c>
      <c r="O194" s="94">
        <f>VLOOKUP(D194,A!B$1:L$1126,4,FALSE)</f>
        <v>0</v>
      </c>
      <c r="P194" s="10">
        <v>10</v>
      </c>
      <c r="Q194" s="10">
        <v>2.69</v>
      </c>
      <c r="R194" s="10">
        <f t="shared" si="38"/>
        <v>0</v>
      </c>
      <c r="S194" s="10">
        <f t="shared" si="39"/>
        <v>0</v>
      </c>
      <c r="T194" s="29" t="s">
        <v>321</v>
      </c>
      <c r="U194" s="145">
        <v>0.33</v>
      </c>
      <c r="V194" s="10" t="str">
        <f>VLOOKUP(D194,A!B$1:T$1125,16,FALSE)</f>
        <v/>
      </c>
      <c r="W194" s="10">
        <f t="shared" si="40"/>
        <v>0</v>
      </c>
      <c r="X194" s="29"/>
      <c r="Y194" s="29"/>
      <c r="Z194" s="29"/>
      <c r="AA194" s="29"/>
    </row>
    <row r="195" spans="1:27" s="3" customFormat="1" ht="13.5" hidden="1" customHeight="1" x14ac:dyDescent="0.25">
      <c r="A195" t="str">
        <f>IF(R195=0,"",COUNTIF(A$13:A194,"&gt;0")+1)</f>
        <v/>
      </c>
      <c r="B195" s="4"/>
      <c r="C195" s="5" t="s">
        <v>22</v>
      </c>
      <c r="D195" s="7" t="s">
        <v>1688</v>
      </c>
      <c r="E195" s="31"/>
      <c r="F195" s="31"/>
      <c r="G195" s="6" t="s">
        <v>1689</v>
      </c>
      <c r="H195" s="7">
        <f>VLOOKUP(D195,A!B$1:L$1126,3,FALSE)</f>
        <v>0</v>
      </c>
      <c r="I195" s="31">
        <f>VLOOKUP(D195,A!B$1:L$1126,3,FALSE)</f>
        <v>0</v>
      </c>
      <c r="J195" s="92"/>
      <c r="K195" s="63" t="str">
        <f>VLOOKUP(D195,A!B$1:L$1126,6,FALSE)</f>
        <v/>
      </c>
      <c r="L195" s="162"/>
      <c r="M195" s="43" t="s">
        <v>1690</v>
      </c>
      <c r="N195" s="94">
        <f>VLOOKUP(D195,A!B$1:L$1125,2,FALSE)</f>
        <v>0</v>
      </c>
      <c r="O195" s="94">
        <f>VLOOKUP(D195,A!B$1:L$1126,4,FALSE)</f>
        <v>0</v>
      </c>
      <c r="P195" s="10">
        <v>10</v>
      </c>
      <c r="Q195" s="10">
        <v>2.69</v>
      </c>
      <c r="R195" s="10">
        <f t="shared" si="38"/>
        <v>0</v>
      </c>
      <c r="S195" s="10">
        <f t="shared" si="39"/>
        <v>0</v>
      </c>
      <c r="T195" s="29" t="s">
        <v>321</v>
      </c>
      <c r="U195" s="145">
        <v>0.33</v>
      </c>
      <c r="V195" s="10" t="str">
        <f>VLOOKUP(D195,A!B$1:T$1125,16,FALSE)</f>
        <v/>
      </c>
      <c r="W195" s="10">
        <f t="shared" si="40"/>
        <v>0</v>
      </c>
      <c r="X195" s="29"/>
      <c r="Y195" s="29"/>
      <c r="Z195" s="29"/>
      <c r="AA195" s="29"/>
    </row>
    <row r="196" spans="1:27" s="3" customFormat="1" ht="13.5" hidden="1" customHeight="1" x14ac:dyDescent="0.25">
      <c r="A196" t="str">
        <f>IF(R196=0,"",COUNTIF(A$13:A195,"&gt;0")+1)</f>
        <v/>
      </c>
      <c r="B196" s="4"/>
      <c r="C196" s="5" t="s">
        <v>22</v>
      </c>
      <c r="D196" s="7" t="s">
        <v>1691</v>
      </c>
      <c r="E196" s="31"/>
      <c r="F196" s="31"/>
      <c r="G196" s="6" t="s">
        <v>1692</v>
      </c>
      <c r="H196" s="7">
        <f>VLOOKUP(D196,A!B$1:L$1126,3,FALSE)</f>
        <v>0</v>
      </c>
      <c r="I196" s="31">
        <f>VLOOKUP(D196,A!B$1:L$1126,3,FALSE)</f>
        <v>0</v>
      </c>
      <c r="J196" s="92"/>
      <c r="K196" s="63" t="str">
        <f>VLOOKUP(D196,A!B$1:L$1126,6,FALSE)</f>
        <v/>
      </c>
      <c r="L196" s="162"/>
      <c r="M196" s="43" t="s">
        <v>1693</v>
      </c>
      <c r="N196" s="94">
        <f>VLOOKUP(D196,A!B$1:L$1125,2,FALSE)</f>
        <v>0</v>
      </c>
      <c r="O196" s="94">
        <f>VLOOKUP(D196,A!B$1:L$1126,4,FALSE)</f>
        <v>0</v>
      </c>
      <c r="P196" s="10">
        <v>10</v>
      </c>
      <c r="Q196" s="10">
        <v>2.69</v>
      </c>
      <c r="R196" s="10">
        <f t="shared" si="38"/>
        <v>0</v>
      </c>
      <c r="S196" s="10">
        <f t="shared" si="39"/>
        <v>0</v>
      </c>
      <c r="T196" s="29" t="s">
        <v>321</v>
      </c>
      <c r="U196" s="145">
        <v>0.33</v>
      </c>
      <c r="V196" s="10" t="str">
        <f>VLOOKUP(D196,A!B$1:T$1125,16,FALSE)</f>
        <v/>
      </c>
      <c r="W196" s="10">
        <f t="shared" si="40"/>
        <v>0</v>
      </c>
      <c r="X196" s="29"/>
      <c r="Y196" s="29"/>
      <c r="Z196" s="29"/>
      <c r="AA196" s="29"/>
    </row>
    <row r="197" spans="1:27" s="3" customFormat="1" ht="13.5" hidden="1" customHeight="1" x14ac:dyDescent="0.25">
      <c r="A197" t="str">
        <f>IF(R197=0,"",COUNTIF(A$13:A196,"&gt;0")+1)</f>
        <v/>
      </c>
      <c r="B197" s="4"/>
      <c r="C197" s="5" t="s">
        <v>22</v>
      </c>
      <c r="D197" s="7" t="s">
        <v>108</v>
      </c>
      <c r="E197" s="31"/>
      <c r="F197" s="31"/>
      <c r="G197" s="6" t="s">
        <v>109</v>
      </c>
      <c r="H197" s="7">
        <f>VLOOKUP(D197,A!B$1:L$1126,3,FALSE)</f>
        <v>0</v>
      </c>
      <c r="I197" s="31">
        <f>VLOOKUP(D197,A!B$1:L$1126,3,FALSE)</f>
        <v>0</v>
      </c>
      <c r="J197" s="92"/>
      <c r="K197" s="63" t="str">
        <f>VLOOKUP(D197,A!B$1:L$1126,6,FALSE)</f>
        <v/>
      </c>
      <c r="L197" s="162"/>
      <c r="M197" s="43" t="s">
        <v>110</v>
      </c>
      <c r="N197" s="94">
        <f>VLOOKUP(D197,A!B$1:L$1125,2,FALSE)</f>
        <v>0</v>
      </c>
      <c r="O197" s="94">
        <f>VLOOKUP(D197,A!B$1:L$1126,4,FALSE)</f>
        <v>0</v>
      </c>
      <c r="P197" s="10">
        <v>10</v>
      </c>
      <c r="Q197" s="10">
        <v>2.69</v>
      </c>
      <c r="R197" s="10">
        <f t="shared" si="38"/>
        <v>0</v>
      </c>
      <c r="S197" s="10">
        <f t="shared" si="39"/>
        <v>0</v>
      </c>
      <c r="T197" s="29" t="s">
        <v>321</v>
      </c>
      <c r="U197" s="145">
        <v>0.33</v>
      </c>
      <c r="V197" s="10" t="str">
        <f>VLOOKUP(D197,A!B$1:T$1125,16,FALSE)</f>
        <v/>
      </c>
      <c r="W197" s="10">
        <f t="shared" si="40"/>
        <v>0</v>
      </c>
      <c r="X197" s="29"/>
      <c r="Y197" s="29"/>
      <c r="Z197" s="29"/>
      <c r="AA197" s="29"/>
    </row>
    <row r="198" spans="1:27" s="3" customFormat="1" ht="13.5" hidden="1" customHeight="1" x14ac:dyDescent="0.25">
      <c r="A198" t="str">
        <f>IF(R198=0,"",COUNTIF(A$13:A197,"&gt;0")+1)</f>
        <v/>
      </c>
      <c r="B198" s="4"/>
      <c r="C198" s="5" t="s">
        <v>22</v>
      </c>
      <c r="D198" s="7" t="s">
        <v>1694</v>
      </c>
      <c r="E198" s="31"/>
      <c r="F198" s="31"/>
      <c r="G198" s="6" t="s">
        <v>1689</v>
      </c>
      <c r="H198" s="7">
        <f>VLOOKUP(D198,A!B$1:L$1126,3,FALSE)</f>
        <v>0</v>
      </c>
      <c r="I198" s="31">
        <f>VLOOKUP(D198,A!B$1:L$1126,3,FALSE)</f>
        <v>0</v>
      </c>
      <c r="J198" s="92"/>
      <c r="K198" s="63" t="str">
        <f>VLOOKUP(D198,A!B$1:L$1126,6,FALSE)</f>
        <v/>
      </c>
      <c r="L198" s="162"/>
      <c r="M198" s="43" t="s">
        <v>1695</v>
      </c>
      <c r="N198" s="94">
        <f>VLOOKUP(D198,A!B$1:L$1125,2,FALSE)</f>
        <v>0</v>
      </c>
      <c r="O198" s="94">
        <f>VLOOKUP(D198,A!B$1:L$1126,4,FALSE)</f>
        <v>0</v>
      </c>
      <c r="P198" s="10">
        <v>10</v>
      </c>
      <c r="Q198" s="10">
        <v>2.69</v>
      </c>
      <c r="R198" s="10">
        <f t="shared" si="38"/>
        <v>0</v>
      </c>
      <c r="S198" s="10">
        <f t="shared" si="39"/>
        <v>0</v>
      </c>
      <c r="T198" s="29" t="s">
        <v>321</v>
      </c>
      <c r="U198" s="145">
        <v>0.33</v>
      </c>
      <c r="V198" s="10" t="str">
        <f>VLOOKUP(D198,A!B$1:T$1125,16,FALSE)</f>
        <v/>
      </c>
      <c r="W198" s="10">
        <f t="shared" si="40"/>
        <v>0</v>
      </c>
      <c r="X198" s="29"/>
      <c r="Y198" s="29"/>
      <c r="Z198" s="29"/>
      <c r="AA198" s="29"/>
    </row>
    <row r="199" spans="1:27" s="3" customFormat="1" ht="13.5" hidden="1" customHeight="1" x14ac:dyDescent="0.25">
      <c r="A199" t="str">
        <f>IF(R199=0,"",COUNTIF(A$13:A198,"&gt;0")+1)</f>
        <v/>
      </c>
      <c r="B199" s="4"/>
      <c r="C199" s="5" t="s">
        <v>22</v>
      </c>
      <c r="D199" s="168" t="s">
        <v>1696</v>
      </c>
      <c r="E199" s="169"/>
      <c r="F199" s="169"/>
      <c r="G199" s="36" t="s">
        <v>1697</v>
      </c>
      <c r="H199" s="7">
        <f>VLOOKUP(D199,A!B$1:L$1126,3,FALSE)</f>
        <v>0</v>
      </c>
      <c r="I199" s="31">
        <f>VLOOKUP(D199,A!B$1:L$1126,3,FALSE)</f>
        <v>0</v>
      </c>
      <c r="J199" s="92"/>
      <c r="K199" s="63" t="str">
        <f>VLOOKUP(D199,A!B$1:L$1126,6,FALSE)</f>
        <v/>
      </c>
      <c r="L199" s="162"/>
      <c r="M199" s="43" t="s">
        <v>1698</v>
      </c>
      <c r="N199" s="94">
        <f>VLOOKUP(D199,A!B$1:L$1125,2,FALSE)</f>
        <v>0</v>
      </c>
      <c r="O199" s="94">
        <f>VLOOKUP(D199,A!B$1:L$1126,4,FALSE)</f>
        <v>0</v>
      </c>
      <c r="P199" s="10">
        <v>10</v>
      </c>
      <c r="Q199" s="10">
        <v>2.69</v>
      </c>
      <c r="R199" s="10">
        <f t="shared" si="38"/>
        <v>0</v>
      </c>
      <c r="S199" s="10">
        <f t="shared" si="39"/>
        <v>0</v>
      </c>
      <c r="T199" s="29" t="s">
        <v>321</v>
      </c>
      <c r="U199" s="145">
        <v>0.33</v>
      </c>
      <c r="V199" s="10" t="str">
        <f>VLOOKUP(D199,A!B$1:T$1125,16,FALSE)</f>
        <v/>
      </c>
      <c r="W199" s="10">
        <f t="shared" si="40"/>
        <v>0</v>
      </c>
      <c r="X199" s="29"/>
      <c r="Y199" s="29"/>
      <c r="Z199" s="29"/>
      <c r="AA199" s="29"/>
    </row>
    <row r="200" spans="1:27" s="3" customFormat="1" ht="13.5" hidden="1" customHeight="1" x14ac:dyDescent="0.25">
      <c r="A200" t="str">
        <f>IF(R200=0,"",COUNTIF(A$13:A199,"&gt;0")+1)</f>
        <v/>
      </c>
      <c r="B200" s="4"/>
      <c r="C200" s="5" t="s">
        <v>22</v>
      </c>
      <c r="D200" s="7" t="s">
        <v>1699</v>
      </c>
      <c r="E200" s="31"/>
      <c r="F200" s="31"/>
      <c r="G200" s="6" t="s">
        <v>1700</v>
      </c>
      <c r="H200" s="7">
        <f>VLOOKUP(D200,A!B$1:L$1126,3,FALSE)</f>
        <v>0</v>
      </c>
      <c r="I200" s="31">
        <f>VLOOKUP(D200,A!B$1:L$1126,3,FALSE)</f>
        <v>0</v>
      </c>
      <c r="J200" s="92"/>
      <c r="K200" s="63" t="str">
        <f>VLOOKUP(D200,A!B$1:L$1126,6,FALSE)</f>
        <v/>
      </c>
      <c r="L200" s="162"/>
      <c r="M200" s="43" t="s">
        <v>1701</v>
      </c>
      <c r="N200" s="94">
        <f>VLOOKUP(D200,A!B$1:L$1125,2,FALSE)</f>
        <v>0</v>
      </c>
      <c r="O200" s="94">
        <f>VLOOKUP(D200,A!B$1:L$1126,4,FALSE)</f>
        <v>0</v>
      </c>
      <c r="P200" s="10">
        <v>10</v>
      </c>
      <c r="Q200" s="10">
        <v>2.69</v>
      </c>
      <c r="R200" s="10">
        <f t="shared" si="38"/>
        <v>0</v>
      </c>
      <c r="S200" s="10">
        <f t="shared" si="39"/>
        <v>0</v>
      </c>
      <c r="T200" s="29" t="s">
        <v>321</v>
      </c>
      <c r="U200" s="145">
        <v>0.33</v>
      </c>
      <c r="V200" s="10" t="str">
        <f>VLOOKUP(D200,A!B$1:T$1125,16,FALSE)</f>
        <v/>
      </c>
      <c r="W200" s="10">
        <f t="shared" si="40"/>
        <v>0</v>
      </c>
      <c r="X200" s="29"/>
      <c r="Y200" s="29"/>
      <c r="Z200" s="29"/>
      <c r="AA200" s="29"/>
    </row>
    <row r="201" spans="1:27" s="3" customFormat="1" ht="13.5" hidden="1" customHeight="1" x14ac:dyDescent="0.25">
      <c r="A201" t="str">
        <f>IF(R201=0,"",COUNTIF(A$13:A200,"&gt;0")+1)</f>
        <v/>
      </c>
      <c r="B201" s="4"/>
      <c r="C201" s="5" t="s">
        <v>22</v>
      </c>
      <c r="D201" s="168" t="s">
        <v>1702</v>
      </c>
      <c r="E201" s="169"/>
      <c r="F201" s="169"/>
      <c r="G201" s="36" t="s">
        <v>1697</v>
      </c>
      <c r="H201" s="7">
        <f>VLOOKUP(D201,A!B$1:L$1126,3,FALSE)</f>
        <v>0</v>
      </c>
      <c r="I201" s="31">
        <f>VLOOKUP(D201,A!B$1:L$1126,3,FALSE)</f>
        <v>0</v>
      </c>
      <c r="J201" s="92"/>
      <c r="K201" s="63" t="str">
        <f>VLOOKUP(D201,A!B$1:L$1126,6,FALSE)</f>
        <v/>
      </c>
      <c r="L201" s="162"/>
      <c r="M201" s="43" t="s">
        <v>1703</v>
      </c>
      <c r="N201" s="94">
        <f>VLOOKUP(D201,A!B$1:L$1125,2,FALSE)</f>
        <v>0</v>
      </c>
      <c r="O201" s="94">
        <f>VLOOKUP(D201,A!B$1:L$1126,4,FALSE)</f>
        <v>0</v>
      </c>
      <c r="P201" s="10">
        <v>10</v>
      </c>
      <c r="Q201" s="10">
        <v>2.69</v>
      </c>
      <c r="R201" s="10">
        <f t="shared" si="38"/>
        <v>0</v>
      </c>
      <c r="S201" s="10">
        <f t="shared" si="39"/>
        <v>0</v>
      </c>
      <c r="T201" s="29" t="s">
        <v>321</v>
      </c>
      <c r="U201" s="145">
        <v>0.33</v>
      </c>
      <c r="V201" s="10" t="str">
        <f>VLOOKUP(D201,A!B$1:T$1125,16,FALSE)</f>
        <v/>
      </c>
      <c r="W201" s="10">
        <f t="shared" si="40"/>
        <v>0</v>
      </c>
      <c r="X201" s="29"/>
      <c r="Y201" s="29"/>
      <c r="Z201" s="29"/>
      <c r="AA201" s="29"/>
    </row>
    <row r="202" spans="1:27" s="3" customFormat="1" ht="13.5" hidden="1" customHeight="1" x14ac:dyDescent="0.25">
      <c r="A202" t="str">
        <f>IF(R202=0,"",COUNTIF(A$13:A201,"&gt;0")+1)</f>
        <v/>
      </c>
      <c r="B202" s="4"/>
      <c r="C202" s="5" t="s">
        <v>22</v>
      </c>
      <c r="D202" s="168" t="s">
        <v>1704</v>
      </c>
      <c r="E202" s="169"/>
      <c r="F202" s="169"/>
      <c r="G202" s="36" t="s">
        <v>1697</v>
      </c>
      <c r="H202" s="7">
        <f>VLOOKUP(D202,A!B$1:L$1126,3,FALSE)</f>
        <v>0</v>
      </c>
      <c r="I202" s="31">
        <f>VLOOKUP(D202,A!B$1:L$1126,3,FALSE)</f>
        <v>0</v>
      </c>
      <c r="J202" s="92"/>
      <c r="K202" s="63" t="str">
        <f>VLOOKUP(D202,A!B$1:L$1126,6,FALSE)</f>
        <v/>
      </c>
      <c r="L202" s="162"/>
      <c r="M202" s="43" t="s">
        <v>1705</v>
      </c>
      <c r="N202" s="94">
        <f>VLOOKUP(D202,A!B$1:L$1125,2,FALSE)</f>
        <v>0</v>
      </c>
      <c r="O202" s="94">
        <f>VLOOKUP(D202,A!B$1:L$1126,4,FALSE)</f>
        <v>0</v>
      </c>
      <c r="P202" s="10">
        <v>10</v>
      </c>
      <c r="Q202" s="10">
        <v>2.69</v>
      </c>
      <c r="R202" s="10">
        <f t="shared" si="38"/>
        <v>0</v>
      </c>
      <c r="S202" s="10">
        <f t="shared" si="39"/>
        <v>0</v>
      </c>
      <c r="T202" s="29" t="s">
        <v>321</v>
      </c>
      <c r="U202" s="145">
        <v>0.33</v>
      </c>
      <c r="V202" s="10" t="str">
        <f>VLOOKUP(D202,A!B$1:T$1125,16,FALSE)</f>
        <v/>
      </c>
      <c r="W202" s="10">
        <f t="shared" si="40"/>
        <v>0</v>
      </c>
      <c r="X202" s="29"/>
      <c r="Y202" s="29"/>
      <c r="Z202" s="29"/>
      <c r="AA202" s="29"/>
    </row>
    <row r="203" spans="1:27" s="3" customFormat="1" ht="13.5" hidden="1" customHeight="1" x14ac:dyDescent="0.25">
      <c r="A203" t="str">
        <f>IF(R203=0,"",COUNTIF(A$13:A202,"&gt;0")+1)</f>
        <v/>
      </c>
      <c r="B203" s="4"/>
      <c r="C203" s="5" t="s">
        <v>22</v>
      </c>
      <c r="D203" s="7" t="s">
        <v>1706</v>
      </c>
      <c r="E203" s="31"/>
      <c r="F203" s="31"/>
      <c r="G203" s="6" t="s">
        <v>1707</v>
      </c>
      <c r="H203" s="7">
        <f>VLOOKUP(D203,A!B$1:L$1126,3,FALSE)</f>
        <v>0</v>
      </c>
      <c r="I203" s="31">
        <f>VLOOKUP(D203,A!B$1:L$1126,3,FALSE)</f>
        <v>0</v>
      </c>
      <c r="J203" s="92"/>
      <c r="K203" s="63" t="str">
        <f>VLOOKUP(D203,A!B$1:L$1126,6,FALSE)</f>
        <v/>
      </c>
      <c r="L203" s="162"/>
      <c r="M203" s="43" t="s">
        <v>1708</v>
      </c>
      <c r="N203" s="94">
        <f>VLOOKUP(D203,A!B$1:L$1125,2,FALSE)</f>
        <v>0</v>
      </c>
      <c r="O203" s="94">
        <f>VLOOKUP(D203,A!B$1:L$1126,4,FALSE)</f>
        <v>0</v>
      </c>
      <c r="P203" s="10">
        <v>10</v>
      </c>
      <c r="Q203" s="10">
        <v>2.69</v>
      </c>
      <c r="R203" s="10">
        <f t="shared" si="38"/>
        <v>0</v>
      </c>
      <c r="S203" s="10">
        <f t="shared" si="39"/>
        <v>0</v>
      </c>
      <c r="T203" s="29" t="s">
        <v>321</v>
      </c>
      <c r="U203" s="145">
        <v>0.33</v>
      </c>
      <c r="V203" s="10" t="str">
        <f>VLOOKUP(D203,A!B$1:T$1125,16,FALSE)</f>
        <v/>
      </c>
      <c r="W203" s="10">
        <f t="shared" si="40"/>
        <v>0</v>
      </c>
      <c r="X203" s="29"/>
      <c r="Y203" s="29"/>
      <c r="Z203" s="29"/>
      <c r="AA203" s="29"/>
    </row>
    <row r="204" spans="1:27" s="3" customFormat="1" ht="13.5" hidden="1" customHeight="1" x14ac:dyDescent="0.25">
      <c r="A204" t="str">
        <f>IF(R204=0,"",COUNTIF(A$13:A203,"&gt;0")+1)</f>
        <v/>
      </c>
      <c r="B204" s="4"/>
      <c r="C204" s="5" t="s">
        <v>22</v>
      </c>
      <c r="D204" s="22" t="s">
        <v>34</v>
      </c>
      <c r="E204" s="89"/>
      <c r="F204" s="89"/>
      <c r="G204" s="23" t="s">
        <v>35</v>
      </c>
      <c r="H204" s="7">
        <f>VLOOKUP(D204,A!B$1:L$1126,3,FALSE)</f>
        <v>0</v>
      </c>
      <c r="I204" s="31">
        <f>VLOOKUP(D204,A!B$1:L$1126,3,FALSE)</f>
        <v>0</v>
      </c>
      <c r="J204" s="92"/>
      <c r="K204" s="63" t="str">
        <f>VLOOKUP(D204,A!B$1:L$1126,6,FALSE)</f>
        <v/>
      </c>
      <c r="L204" s="162"/>
      <c r="M204" s="44" t="s">
        <v>1709</v>
      </c>
      <c r="N204" s="94">
        <f>VLOOKUP(D204,A!B$1:L$1125,2,FALSE)</f>
        <v>0</v>
      </c>
      <c r="O204" s="94">
        <f>VLOOKUP(D204,A!B$1:L$1126,4,FALSE)</f>
        <v>0</v>
      </c>
      <c r="P204" s="10">
        <v>10</v>
      </c>
      <c r="Q204" s="10">
        <v>2.69</v>
      </c>
      <c r="R204" s="10">
        <f t="shared" si="38"/>
        <v>0</v>
      </c>
      <c r="S204" s="10">
        <f t="shared" si="39"/>
        <v>0</v>
      </c>
      <c r="T204" s="29" t="s">
        <v>321</v>
      </c>
      <c r="U204" s="145">
        <v>0.33</v>
      </c>
      <c r="V204" s="10" t="str">
        <f>VLOOKUP(D204,A!B$1:T$1125,16,FALSE)</f>
        <v/>
      </c>
      <c r="W204" s="10">
        <f t="shared" si="40"/>
        <v>0</v>
      </c>
      <c r="X204" s="29"/>
      <c r="Y204" s="29"/>
      <c r="Z204" s="29"/>
      <c r="AA204" s="29"/>
    </row>
    <row r="205" spans="1:27" s="3" customFormat="1" ht="13.5" hidden="1" customHeight="1" x14ac:dyDescent="0.25">
      <c r="A205" t="str">
        <f>IF(R205=0,"",COUNTIF(A$13:A204,"&gt;0")+1)</f>
        <v/>
      </c>
      <c r="B205" s="4"/>
      <c r="C205" s="5" t="s">
        <v>22</v>
      </c>
      <c r="D205" s="22" t="s">
        <v>1710</v>
      </c>
      <c r="E205" s="89"/>
      <c r="F205" s="89"/>
      <c r="G205" s="23" t="s">
        <v>35</v>
      </c>
      <c r="H205" s="7">
        <f>VLOOKUP(D205,A!B$1:L$1126,3,FALSE)</f>
        <v>0</v>
      </c>
      <c r="I205" s="31">
        <f>VLOOKUP(D205,A!B$1:L$1126,3,FALSE)</f>
        <v>0</v>
      </c>
      <c r="J205" s="92"/>
      <c r="K205" s="63" t="str">
        <f>VLOOKUP(D205,A!B$1:L$1126,6,FALSE)</f>
        <v/>
      </c>
      <c r="L205" s="162"/>
      <c r="M205" s="44" t="s">
        <v>1711</v>
      </c>
      <c r="N205" s="94">
        <f>VLOOKUP(D205,A!B$1:L$1125,2,FALSE)</f>
        <v>0</v>
      </c>
      <c r="O205" s="94">
        <f>VLOOKUP(D205,A!B$1:L$1126,4,FALSE)</f>
        <v>0</v>
      </c>
      <c r="P205" s="10">
        <v>10</v>
      </c>
      <c r="Q205" s="10">
        <v>2.69</v>
      </c>
      <c r="R205" s="10">
        <f t="shared" si="38"/>
        <v>0</v>
      </c>
      <c r="S205" s="10">
        <f t="shared" si="39"/>
        <v>0</v>
      </c>
      <c r="T205" s="29" t="s">
        <v>321</v>
      </c>
      <c r="U205" s="145">
        <v>0.33</v>
      </c>
      <c r="V205" s="10" t="str">
        <f>VLOOKUP(D205,A!B$1:T$1125,16,FALSE)</f>
        <v/>
      </c>
      <c r="W205" s="10">
        <f t="shared" si="40"/>
        <v>0</v>
      </c>
      <c r="X205" s="29"/>
      <c r="Y205" s="29"/>
      <c r="Z205" s="29"/>
      <c r="AA205" s="29"/>
    </row>
    <row r="206" spans="1:27" s="3" customFormat="1" ht="13.5" hidden="1" customHeight="1" x14ac:dyDescent="0.25">
      <c r="A206" t="str">
        <f>IF(R206=0,"",COUNTIF(A$13:A205,"&gt;0")+1)</f>
        <v/>
      </c>
      <c r="B206" s="4"/>
      <c r="C206" s="5" t="s">
        <v>22</v>
      </c>
      <c r="D206" s="22" t="s">
        <v>111</v>
      </c>
      <c r="E206" s="89"/>
      <c r="F206" s="89"/>
      <c r="G206" s="23" t="s">
        <v>112</v>
      </c>
      <c r="H206" s="7">
        <f>VLOOKUP(D206,A!B$1:L$1126,3,FALSE)</f>
        <v>0</v>
      </c>
      <c r="I206" s="31">
        <f>VLOOKUP(D206,A!B$1:L$1126,3,FALSE)</f>
        <v>0</v>
      </c>
      <c r="J206" s="92"/>
      <c r="K206" s="63" t="str">
        <f>VLOOKUP(D206,A!B$1:L$1126,6,FALSE)</f>
        <v/>
      </c>
      <c r="L206" s="162"/>
      <c r="M206" s="44" t="s">
        <v>113</v>
      </c>
      <c r="N206" s="94">
        <f>VLOOKUP(D206,A!B$1:L$1125,2,FALSE)</f>
        <v>0</v>
      </c>
      <c r="O206" s="94">
        <f>VLOOKUP(D206,A!B$1:L$1126,4,FALSE)</f>
        <v>0</v>
      </c>
      <c r="P206" s="10">
        <v>10</v>
      </c>
      <c r="Q206" s="10">
        <v>2.69</v>
      </c>
      <c r="R206" s="10">
        <f t="shared" si="38"/>
        <v>0</v>
      </c>
      <c r="S206" s="10">
        <f t="shared" si="39"/>
        <v>0</v>
      </c>
      <c r="T206" s="29" t="s">
        <v>321</v>
      </c>
      <c r="U206" s="145">
        <v>0.33</v>
      </c>
      <c r="V206" s="10" t="str">
        <f>VLOOKUP(D206,A!B$1:T$1125,16,FALSE)</f>
        <v/>
      </c>
      <c r="W206" s="10">
        <f t="shared" si="40"/>
        <v>0</v>
      </c>
      <c r="X206" s="29"/>
      <c r="Y206" s="29"/>
      <c r="Z206" s="29"/>
      <c r="AA206" s="29"/>
    </row>
    <row r="207" spans="1:27" s="3" customFormat="1" ht="13.5" hidden="1" customHeight="1" x14ac:dyDescent="0.25">
      <c r="A207" t="str">
        <f>IF(R207=0,"",COUNTIF(A$13:A206,"&gt;0")+1)</f>
        <v/>
      </c>
      <c r="B207" s="4"/>
      <c r="C207" s="5" t="s">
        <v>22</v>
      </c>
      <c r="D207" s="7" t="s">
        <v>1712</v>
      </c>
      <c r="E207" s="31"/>
      <c r="F207" s="31"/>
      <c r="G207" s="6" t="s">
        <v>1713</v>
      </c>
      <c r="H207" s="7">
        <f>VLOOKUP(D207,A!B$1:L$1126,3,FALSE)</f>
        <v>0</v>
      </c>
      <c r="I207" s="31">
        <f>VLOOKUP(D207,A!B$1:L$1126,3,FALSE)</f>
        <v>0</v>
      </c>
      <c r="J207" s="92"/>
      <c r="K207" s="63" t="str">
        <f>VLOOKUP(D207,A!B$1:L$1126,6,FALSE)</f>
        <v/>
      </c>
      <c r="L207" s="162"/>
      <c r="M207" s="43" t="s">
        <v>1714</v>
      </c>
      <c r="N207" s="94">
        <f>VLOOKUP(D207,A!B$1:L$1125,2,FALSE)</f>
        <v>0</v>
      </c>
      <c r="O207" s="94">
        <f>VLOOKUP(D207,A!B$1:L$1126,4,FALSE)</f>
        <v>0</v>
      </c>
      <c r="P207" s="10">
        <v>10</v>
      </c>
      <c r="Q207" s="10">
        <v>2.69</v>
      </c>
      <c r="R207" s="10">
        <f t="shared" si="38"/>
        <v>0</v>
      </c>
      <c r="S207" s="10">
        <f t="shared" si="39"/>
        <v>0</v>
      </c>
      <c r="T207" s="29" t="s">
        <v>321</v>
      </c>
      <c r="U207" s="145">
        <v>0.33</v>
      </c>
      <c r="V207" s="10" t="str">
        <f>VLOOKUP(D207,A!B$1:T$1125,16,FALSE)</f>
        <v/>
      </c>
      <c r="W207" s="10">
        <f t="shared" si="40"/>
        <v>0</v>
      </c>
      <c r="X207" s="29"/>
      <c r="Y207" s="29"/>
      <c r="Z207" s="29"/>
      <c r="AA207" s="29"/>
    </row>
    <row r="208" spans="1:27" s="3" customFormat="1" ht="13.5" hidden="1" customHeight="1" x14ac:dyDescent="0.25">
      <c r="A208" t="str">
        <f>IF(R208=0,"",COUNTIF(A$13:A207,"&gt;0")+1)</f>
        <v/>
      </c>
      <c r="B208" s="4"/>
      <c r="C208" s="5" t="s">
        <v>22</v>
      </c>
      <c r="D208" s="172" t="s">
        <v>1715</v>
      </c>
      <c r="E208" s="173"/>
      <c r="F208" s="173"/>
      <c r="G208" s="6" t="s">
        <v>1716</v>
      </c>
      <c r="H208" s="7">
        <f>VLOOKUP(D208,A!B$1:L$1126,3,FALSE)</f>
        <v>0</v>
      </c>
      <c r="I208" s="31">
        <f>VLOOKUP(D208,A!B$1:L$1126,3,FALSE)</f>
        <v>0</v>
      </c>
      <c r="J208" s="92"/>
      <c r="K208" s="63" t="str">
        <f>VLOOKUP(D208,A!B$1:L$1126,6,FALSE)</f>
        <v/>
      </c>
      <c r="L208" s="162"/>
      <c r="M208" s="43" t="s">
        <v>1717</v>
      </c>
      <c r="N208" s="94">
        <f>VLOOKUP(D208,A!B$1:L$1125,2,FALSE)</f>
        <v>0</v>
      </c>
      <c r="O208" s="94">
        <f>VLOOKUP(D208,A!B$1:L$1126,4,FALSE)</f>
        <v>0</v>
      </c>
      <c r="P208" s="10">
        <v>10</v>
      </c>
      <c r="Q208" s="10">
        <v>2.69</v>
      </c>
      <c r="R208" s="10">
        <f t="shared" ref="R208:R235" si="41">B208*P208</f>
        <v>0</v>
      </c>
      <c r="S208" s="10">
        <f t="shared" ref="S208:S236" si="42">R208*Q208</f>
        <v>0</v>
      </c>
      <c r="T208" s="29" t="s">
        <v>321</v>
      </c>
      <c r="U208" s="145">
        <v>0.33</v>
      </c>
      <c r="V208" s="10" t="str">
        <f>VLOOKUP(D208,A!B$1:T$1125,16,FALSE)</f>
        <v/>
      </c>
      <c r="W208" s="10">
        <f t="shared" ref="W208:W235" si="43">U208*B208</f>
        <v>0</v>
      </c>
      <c r="X208" s="29"/>
      <c r="Y208" s="29"/>
      <c r="Z208" s="29"/>
      <c r="AA208" s="29"/>
    </row>
    <row r="209" spans="1:77" s="3" customFormat="1" ht="13.5" hidden="1" customHeight="1" x14ac:dyDescent="0.25">
      <c r="A209" t="str">
        <f>IF(R209=0,"",COUNTIF(A$13:A208,"&gt;0")+1)</f>
        <v/>
      </c>
      <c r="B209" s="4"/>
      <c r="C209" s="5" t="s">
        <v>22</v>
      </c>
      <c r="D209" s="7" t="s">
        <v>1718</v>
      </c>
      <c r="E209" s="31"/>
      <c r="F209" s="31"/>
      <c r="G209" s="6" t="s">
        <v>1719</v>
      </c>
      <c r="H209" s="7">
        <f>VLOOKUP(D209,A!B$1:L$1126,3,FALSE)</f>
        <v>0</v>
      </c>
      <c r="I209" s="31">
        <f>VLOOKUP(D209,A!B$1:L$1126,3,FALSE)</f>
        <v>0</v>
      </c>
      <c r="J209" s="92"/>
      <c r="K209" s="63" t="str">
        <f>VLOOKUP(D209,A!B$1:L$1126,6,FALSE)</f>
        <v/>
      </c>
      <c r="L209" s="162"/>
      <c r="M209" s="43" t="s">
        <v>1720</v>
      </c>
      <c r="N209" s="94">
        <f>VLOOKUP(D209,A!B$1:L$1125,2,FALSE)</f>
        <v>0</v>
      </c>
      <c r="O209" s="94">
        <f>VLOOKUP(D209,A!B$1:L$1126,4,FALSE)</f>
        <v>0</v>
      </c>
      <c r="P209" s="10">
        <v>10</v>
      </c>
      <c r="Q209" s="10">
        <v>2.69</v>
      </c>
      <c r="R209" s="10">
        <f t="shared" si="41"/>
        <v>0</v>
      </c>
      <c r="S209" s="10">
        <f t="shared" si="42"/>
        <v>0</v>
      </c>
      <c r="T209" s="29" t="s">
        <v>321</v>
      </c>
      <c r="U209" s="145">
        <v>0.33</v>
      </c>
      <c r="V209" s="10" t="str">
        <f>VLOOKUP(D209,A!B$1:T$1125,16,FALSE)</f>
        <v/>
      </c>
      <c r="W209" s="10">
        <f t="shared" si="43"/>
        <v>0</v>
      </c>
      <c r="X209" s="29"/>
      <c r="Y209" s="29"/>
      <c r="Z209" s="29"/>
      <c r="AA209" s="29"/>
    </row>
    <row r="210" spans="1:77" s="3" customFormat="1" ht="13.5" hidden="1" customHeight="1" x14ac:dyDescent="0.25">
      <c r="A210" t="str">
        <f>IF(R210=0,"",COUNTIF(A$13:A209,"&gt;0")+1)</f>
        <v/>
      </c>
      <c r="B210" s="4"/>
      <c r="C210" s="5" t="s">
        <v>22</v>
      </c>
      <c r="D210" s="7" t="s">
        <v>1721</v>
      </c>
      <c r="E210" s="31"/>
      <c r="F210" s="31"/>
      <c r="G210" s="6" t="s">
        <v>1722</v>
      </c>
      <c r="H210" s="7">
        <f>VLOOKUP(D210,A!B$1:L$1126,3,FALSE)</f>
        <v>0</v>
      </c>
      <c r="I210" s="31">
        <f>VLOOKUP(D210,A!B$1:L$1126,3,FALSE)</f>
        <v>0</v>
      </c>
      <c r="J210" s="92"/>
      <c r="K210" s="63" t="str">
        <f>VLOOKUP(D210,A!B$1:L$1126,6,FALSE)</f>
        <v/>
      </c>
      <c r="L210" s="162"/>
      <c r="M210" s="43" t="s">
        <v>1723</v>
      </c>
      <c r="N210" s="94">
        <f>VLOOKUP(D210,A!B$1:L$1125,2,FALSE)</f>
        <v>0</v>
      </c>
      <c r="O210" s="94">
        <f>VLOOKUP(D210,A!B$1:L$1126,4,FALSE)</f>
        <v>0</v>
      </c>
      <c r="P210" s="10">
        <v>10</v>
      </c>
      <c r="Q210" s="10">
        <v>2.69</v>
      </c>
      <c r="R210" s="10">
        <f t="shared" si="41"/>
        <v>0</v>
      </c>
      <c r="S210" s="10">
        <f t="shared" si="42"/>
        <v>0</v>
      </c>
      <c r="T210" s="29" t="s">
        <v>321</v>
      </c>
      <c r="U210" s="145">
        <v>0.33</v>
      </c>
      <c r="V210" s="10" t="str">
        <f>VLOOKUP(D210,A!B$1:T$1125,16,FALSE)</f>
        <v/>
      </c>
      <c r="W210" s="10">
        <f t="shared" si="43"/>
        <v>0</v>
      </c>
      <c r="X210" s="29"/>
      <c r="Y210" s="29"/>
      <c r="Z210" s="29"/>
      <c r="AA210" s="29"/>
    </row>
    <row r="211" spans="1:77" s="3" customFormat="1" ht="13.5" hidden="1" customHeight="1" x14ac:dyDescent="0.25">
      <c r="A211" t="str">
        <f>IF(R211=0,"",COUNTIF(A$13:A210,"&gt;0")+1)</f>
        <v/>
      </c>
      <c r="B211" s="4"/>
      <c r="C211" s="5" t="s">
        <v>22</v>
      </c>
      <c r="D211" s="7" t="s">
        <v>280</v>
      </c>
      <c r="E211" s="31"/>
      <c r="F211" s="31"/>
      <c r="G211" s="6" t="s">
        <v>30</v>
      </c>
      <c r="H211" s="7">
        <f>VLOOKUP(D211,A!B$1:L$1126,3,FALSE)</f>
        <v>0</v>
      </c>
      <c r="I211" s="31">
        <f>VLOOKUP(D211,A!B$1:L$1126,3,FALSE)</f>
        <v>0</v>
      </c>
      <c r="J211" s="92"/>
      <c r="K211" s="63" t="str">
        <f>VLOOKUP(D211,A!B$1:L$1126,6,FALSE)</f>
        <v/>
      </c>
      <c r="L211" s="2"/>
      <c r="M211" s="42" t="s">
        <v>281</v>
      </c>
      <c r="N211" s="94">
        <f>VLOOKUP(D211,A!B$1:L$1125,2,FALSE)</f>
        <v>0</v>
      </c>
      <c r="O211" s="94">
        <f>VLOOKUP(D211,A!B$1:L$1126,4,FALSE)</f>
        <v>0</v>
      </c>
      <c r="P211" s="10">
        <v>10</v>
      </c>
      <c r="Q211" s="10">
        <v>2.69</v>
      </c>
      <c r="R211" s="10">
        <f t="shared" si="41"/>
        <v>0</v>
      </c>
      <c r="S211" s="10">
        <f t="shared" si="42"/>
        <v>0</v>
      </c>
      <c r="T211" s="29" t="s">
        <v>321</v>
      </c>
      <c r="U211" s="145">
        <v>0.33</v>
      </c>
      <c r="V211" s="10" t="str">
        <f>VLOOKUP(D211,A!B$1:T$1125,16,FALSE)</f>
        <v/>
      </c>
      <c r="W211" s="10">
        <f t="shared" si="43"/>
        <v>0</v>
      </c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</row>
    <row r="212" spans="1:77" s="1" customFormat="1" ht="13.5" hidden="1" customHeight="1" x14ac:dyDescent="0.25">
      <c r="A212" t="str">
        <f>IF(R212=0,"",COUNTIF(A$13:A211,"&gt;0")+1)</f>
        <v/>
      </c>
      <c r="B212" s="4"/>
      <c r="C212" s="5" t="s">
        <v>22</v>
      </c>
      <c r="D212" s="7" t="s">
        <v>192</v>
      </c>
      <c r="E212" s="31"/>
      <c r="F212" s="31"/>
      <c r="G212" s="6" t="s">
        <v>101</v>
      </c>
      <c r="H212" s="7">
        <f>VLOOKUP(D212,A!B$1:L$1126,3,FALSE)</f>
        <v>0</v>
      </c>
      <c r="I212" s="31">
        <f>VLOOKUP(D212,A!B$1:L$1126,3,FALSE)</f>
        <v>0</v>
      </c>
      <c r="J212" s="92"/>
      <c r="K212" s="63" t="str">
        <f>VLOOKUP(D212,A!B$1:L$1126,6,FALSE)</f>
        <v/>
      </c>
      <c r="L212" s="2"/>
      <c r="M212" s="42" t="s">
        <v>193</v>
      </c>
      <c r="N212" s="94">
        <f>VLOOKUP(D212,A!B$1:L$1125,2,FALSE)</f>
        <v>0</v>
      </c>
      <c r="O212" s="94">
        <f>VLOOKUP(D212,A!B$1:L$1126,4,FALSE)</f>
        <v>0</v>
      </c>
      <c r="P212" s="10">
        <v>10</v>
      </c>
      <c r="Q212" s="10">
        <v>2.69</v>
      </c>
      <c r="R212" s="10">
        <f t="shared" si="41"/>
        <v>0</v>
      </c>
      <c r="S212" s="10">
        <f t="shared" si="42"/>
        <v>0</v>
      </c>
      <c r="T212" s="29" t="s">
        <v>321</v>
      </c>
      <c r="U212" s="145">
        <v>0.33</v>
      </c>
      <c r="V212" s="10" t="str">
        <f>VLOOKUP(D212,A!B$1:T$1125,16,FALSE)</f>
        <v/>
      </c>
      <c r="W212" s="10">
        <f t="shared" si="43"/>
        <v>0</v>
      </c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3"/>
      <c r="BQ212" s="3"/>
      <c r="BR212" s="3"/>
      <c r="BS212" s="3"/>
      <c r="BT212" s="3"/>
      <c r="BU212" s="3"/>
      <c r="BV212" s="3"/>
      <c r="BW212" s="3"/>
      <c r="BX212" s="3"/>
      <c r="BY212" s="3"/>
    </row>
    <row r="213" spans="1:77" s="3" customFormat="1" ht="13.5" hidden="1" customHeight="1" x14ac:dyDescent="0.25">
      <c r="A213" t="str">
        <f>IF(R213=0,"",COUNTIF(A$13:A212,"&gt;0")+1)</f>
        <v/>
      </c>
      <c r="B213" s="4"/>
      <c r="C213" s="5" t="s">
        <v>22</v>
      </c>
      <c r="D213" s="7" t="s">
        <v>151</v>
      </c>
      <c r="E213" s="31"/>
      <c r="F213" s="31"/>
      <c r="G213" s="6" t="s">
        <v>101</v>
      </c>
      <c r="H213" s="7">
        <f>VLOOKUP(D213,A!B$1:L$1126,3,FALSE)</f>
        <v>0</v>
      </c>
      <c r="I213" s="31">
        <f>VLOOKUP(D213,A!B$1:L$1126,3,FALSE)</f>
        <v>0</v>
      </c>
      <c r="J213" s="92"/>
      <c r="K213" s="63" t="str">
        <f>VLOOKUP(D213,A!B$1:L$1126,6,FALSE)</f>
        <v/>
      </c>
      <c r="L213" s="2"/>
      <c r="M213" s="43" t="s">
        <v>152</v>
      </c>
      <c r="N213" s="94">
        <f>VLOOKUP(D213,A!B$1:L$1125,2,FALSE)</f>
        <v>0</v>
      </c>
      <c r="O213" s="94">
        <f>VLOOKUP(D213,A!B$1:L$1126,4,FALSE)</f>
        <v>0</v>
      </c>
      <c r="P213" s="10">
        <v>10</v>
      </c>
      <c r="Q213" s="10">
        <v>2.69</v>
      </c>
      <c r="R213" s="10">
        <f t="shared" si="41"/>
        <v>0</v>
      </c>
      <c r="S213" s="10">
        <f t="shared" si="42"/>
        <v>0</v>
      </c>
      <c r="T213" s="29" t="s">
        <v>321</v>
      </c>
      <c r="U213" s="145">
        <v>0.33</v>
      </c>
      <c r="V213" s="10" t="str">
        <f>VLOOKUP(D213,A!B$1:T$1125,16,FALSE)</f>
        <v/>
      </c>
      <c r="W213" s="10">
        <f t="shared" si="43"/>
        <v>0</v>
      </c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</row>
    <row r="214" spans="1:77" s="3" customFormat="1" ht="13.5" hidden="1" customHeight="1" x14ac:dyDescent="0.25">
      <c r="A214" t="str">
        <f>IF(R214=0,"",COUNTIF(A$13:A213,"&gt;0")+1)</f>
        <v/>
      </c>
      <c r="B214" s="4"/>
      <c r="C214" s="5" t="s">
        <v>22</v>
      </c>
      <c r="D214" s="7" t="s">
        <v>1724</v>
      </c>
      <c r="E214" s="31"/>
      <c r="F214" s="31"/>
      <c r="G214" s="6" t="s">
        <v>101</v>
      </c>
      <c r="H214" s="7">
        <f>VLOOKUP(D214,A!B$1:L$1126,3,FALSE)</f>
        <v>0</v>
      </c>
      <c r="I214" s="31">
        <f>VLOOKUP(D214,A!B$1:L$1126,3,FALSE)</f>
        <v>0</v>
      </c>
      <c r="J214" s="92"/>
      <c r="K214" s="63" t="str">
        <f>VLOOKUP(D214,A!B$1:L$1126,6,FALSE)</f>
        <v/>
      </c>
      <c r="L214" s="162"/>
      <c r="M214" s="42" t="s">
        <v>1725</v>
      </c>
      <c r="N214" s="94">
        <f>VLOOKUP(D214,A!B$1:L$1125,2,FALSE)</f>
        <v>0</v>
      </c>
      <c r="O214" s="94">
        <f>VLOOKUP(D214,A!B$1:L$1126,4,FALSE)</f>
        <v>0</v>
      </c>
      <c r="P214" s="10">
        <v>10</v>
      </c>
      <c r="Q214" s="10">
        <v>2.69</v>
      </c>
      <c r="R214" s="10">
        <f t="shared" si="41"/>
        <v>0</v>
      </c>
      <c r="S214" s="10">
        <f t="shared" si="42"/>
        <v>0</v>
      </c>
      <c r="T214" s="29" t="s">
        <v>321</v>
      </c>
      <c r="U214" s="145">
        <v>0.33</v>
      </c>
      <c r="V214" s="10" t="str">
        <f>VLOOKUP(D214,A!B$1:T$1125,16,FALSE)</f>
        <v/>
      </c>
      <c r="W214" s="10">
        <f t="shared" si="43"/>
        <v>0</v>
      </c>
      <c r="X214" s="29"/>
      <c r="Y214" s="29"/>
      <c r="Z214" s="29"/>
      <c r="AA214" s="29"/>
    </row>
    <row r="215" spans="1:77" s="1" customFormat="1" ht="13.5" hidden="1" customHeight="1" x14ac:dyDescent="0.25">
      <c r="A215" t="str">
        <f>IF(R215=0,"",COUNTIF(A$13:A214,"&gt;0")+1)</f>
        <v/>
      </c>
      <c r="B215" s="4"/>
      <c r="C215" s="5" t="s">
        <v>22</v>
      </c>
      <c r="D215" s="7" t="s">
        <v>1726</v>
      </c>
      <c r="E215" s="31"/>
      <c r="F215" s="31"/>
      <c r="G215" s="6" t="s">
        <v>101</v>
      </c>
      <c r="H215" s="7">
        <f>VLOOKUP(D215,A!B$1:L$1126,3,FALSE)</f>
        <v>0</v>
      </c>
      <c r="I215" s="31">
        <f>VLOOKUP(D215,A!B$1:L$1126,3,FALSE)</f>
        <v>0</v>
      </c>
      <c r="J215" s="92"/>
      <c r="K215" s="63" t="str">
        <f>VLOOKUP(D215,A!B$1:L$1126,6,FALSE)</f>
        <v/>
      </c>
      <c r="L215" s="162"/>
      <c r="M215" s="42" t="s">
        <v>1727</v>
      </c>
      <c r="N215" s="94">
        <f>VLOOKUP(D215,A!B$1:L$1125,2,FALSE)</f>
        <v>0</v>
      </c>
      <c r="O215" s="94">
        <f>VLOOKUP(D215,A!B$1:L$1126,4,FALSE)</f>
        <v>0</v>
      </c>
      <c r="P215" s="10">
        <v>10</v>
      </c>
      <c r="Q215" s="10">
        <v>2.69</v>
      </c>
      <c r="R215" s="10">
        <f t="shared" si="41"/>
        <v>0</v>
      </c>
      <c r="S215" s="10">
        <f t="shared" si="42"/>
        <v>0</v>
      </c>
      <c r="T215" s="29" t="s">
        <v>321</v>
      </c>
      <c r="U215" s="145">
        <v>0.33</v>
      </c>
      <c r="V215" s="10" t="str">
        <f>VLOOKUP(D215,A!B$1:T$1125,16,FALSE)</f>
        <v/>
      </c>
      <c r="W215" s="10">
        <f t="shared" si="43"/>
        <v>0</v>
      </c>
      <c r="X215" s="29"/>
      <c r="Y215" s="29"/>
      <c r="Z215" s="29"/>
      <c r="AA215" s="29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</row>
    <row r="216" spans="1:77" s="1" customFormat="1" ht="13.5" hidden="1" customHeight="1" x14ac:dyDescent="0.25">
      <c r="A216" t="str">
        <f>IF(R216=0,"",COUNTIF(A$13:A215,"&gt;0")+1)</f>
        <v/>
      </c>
      <c r="B216" s="182"/>
      <c r="C216" s="5" t="s">
        <v>22</v>
      </c>
      <c r="D216" s="7" t="s">
        <v>1728</v>
      </c>
      <c r="E216" s="31"/>
      <c r="F216" s="31"/>
      <c r="G216" s="6" t="s">
        <v>1729</v>
      </c>
      <c r="H216" s="7">
        <f>VLOOKUP(D216,A!B$1:L$1126,3,FALSE)</f>
        <v>0</v>
      </c>
      <c r="I216" s="31">
        <f>VLOOKUP(D216,A!B$1:L$1126,3,FALSE)</f>
        <v>0</v>
      </c>
      <c r="J216" s="92"/>
      <c r="K216" s="63" t="str">
        <f>VLOOKUP(D216,A!B$1:L$1126,6,FALSE)</f>
        <v/>
      </c>
      <c r="L216" s="42"/>
      <c r="M216" s="183" t="s">
        <v>1730</v>
      </c>
      <c r="N216" s="94">
        <f>VLOOKUP(D216,A!B$1:L$1125,2,FALSE)</f>
        <v>0</v>
      </c>
      <c r="O216" s="94">
        <f>VLOOKUP(D216,A!B$1:L$1126,4,FALSE)</f>
        <v>0</v>
      </c>
      <c r="P216" s="10">
        <v>10</v>
      </c>
      <c r="Q216" s="10">
        <v>2.69</v>
      </c>
      <c r="R216" s="10">
        <f t="shared" si="41"/>
        <v>0</v>
      </c>
      <c r="S216" s="10">
        <f t="shared" si="42"/>
        <v>0</v>
      </c>
      <c r="T216" s="29" t="s">
        <v>321</v>
      </c>
      <c r="U216" s="145">
        <v>0.33</v>
      </c>
      <c r="V216" s="10" t="str">
        <f>VLOOKUP(D216,A!B$1:T$1125,16,FALSE)</f>
        <v/>
      </c>
      <c r="W216" s="10">
        <f t="shared" si="43"/>
        <v>0</v>
      </c>
      <c r="X216" s="29"/>
      <c r="Y216" s="29"/>
      <c r="Z216" s="29"/>
      <c r="AA216" s="29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</row>
    <row r="217" spans="1:77" s="3" customFormat="1" ht="13.5" hidden="1" customHeight="1" x14ac:dyDescent="0.25">
      <c r="A217" t="str">
        <f>IF(R217=0,"",COUNTIF(A$13:A216,"&gt;0")+1)</f>
        <v/>
      </c>
      <c r="B217" s="4"/>
      <c r="C217" s="5" t="s">
        <v>22</v>
      </c>
      <c r="D217" s="18" t="s">
        <v>23</v>
      </c>
      <c r="E217" s="87"/>
      <c r="F217" s="87"/>
      <c r="G217" s="6" t="s">
        <v>24</v>
      </c>
      <c r="H217" s="7">
        <f>VLOOKUP(D217,A!B$1:L$1126,3,FALSE)</f>
        <v>0</v>
      </c>
      <c r="I217" s="31">
        <f>VLOOKUP(D217,A!B$1:L$1126,3,FALSE)</f>
        <v>0</v>
      </c>
      <c r="J217" s="92"/>
      <c r="K217" s="63" t="str">
        <f>VLOOKUP(D217,A!B$1:L$1126,6,FALSE)</f>
        <v/>
      </c>
      <c r="L217" s="2"/>
      <c r="M217" s="41" t="s">
        <v>25</v>
      </c>
      <c r="N217" s="94">
        <f>VLOOKUP(D217,A!B$1:L$1125,2,FALSE)</f>
        <v>0</v>
      </c>
      <c r="O217" s="94">
        <f>VLOOKUP(D217,A!B$1:L$1126,4,FALSE)</f>
        <v>0</v>
      </c>
      <c r="P217" s="10">
        <v>10</v>
      </c>
      <c r="Q217" s="10">
        <v>2.69</v>
      </c>
      <c r="R217" s="10">
        <f t="shared" si="41"/>
        <v>0</v>
      </c>
      <c r="S217" s="10">
        <f t="shared" si="42"/>
        <v>0</v>
      </c>
      <c r="T217" s="29" t="s">
        <v>321</v>
      </c>
      <c r="U217" s="145">
        <v>0.33</v>
      </c>
      <c r="V217" s="10" t="str">
        <f>VLOOKUP(D217,A!B$1:T$1125,16,FALSE)</f>
        <v/>
      </c>
      <c r="W217" s="10">
        <f t="shared" si="43"/>
        <v>0</v>
      </c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</row>
    <row r="218" spans="1:77" s="3" customFormat="1" ht="13.5" customHeight="1" x14ac:dyDescent="0.25">
      <c r="A218" t="str">
        <f>IF(R218=0,"",COUNTIF(A$13:A217,"&gt;0")+1)</f>
        <v/>
      </c>
      <c r="B218" s="4"/>
      <c r="C218" s="5" t="s">
        <v>22</v>
      </c>
      <c r="D218" s="7" t="s">
        <v>1731</v>
      </c>
      <c r="E218" s="31"/>
      <c r="F218" s="31"/>
      <c r="G218" s="6" t="s">
        <v>101</v>
      </c>
      <c r="H218" s="7">
        <f>VLOOKUP(D218,A!B$1:L$1126,3,FALSE)</f>
        <v>1</v>
      </c>
      <c r="I218" s="31">
        <f>VLOOKUP(D218,A!B$1:L$1126,3,FALSE)</f>
        <v>1</v>
      </c>
      <c r="J218" s="92"/>
      <c r="K218" s="63" t="str">
        <f>VLOOKUP(D218,A!B$1:L$1126,6,FALSE)</f>
        <v/>
      </c>
      <c r="L218" s="162"/>
      <c r="M218" s="41" t="s">
        <v>1732</v>
      </c>
      <c r="N218" s="94" t="str">
        <f>VLOOKUP(D218,A!B$1:L$1125,2,FALSE)</f>
        <v>y</v>
      </c>
      <c r="O218" s="94">
        <f>VLOOKUP(D218,A!B$1:L$1126,4,FALSE)</f>
        <v>1</v>
      </c>
      <c r="P218" s="10">
        <v>10</v>
      </c>
      <c r="Q218" s="10">
        <v>2.69</v>
      </c>
      <c r="R218" s="10">
        <f t="shared" si="41"/>
        <v>0</v>
      </c>
      <c r="S218" s="10">
        <f t="shared" si="42"/>
        <v>0</v>
      </c>
      <c r="T218" s="29" t="s">
        <v>321</v>
      </c>
      <c r="U218" s="145">
        <v>0.33</v>
      </c>
      <c r="V218" s="10" t="str">
        <f>VLOOKUP(D218,A!B$1:T$1125,16,FALSE)</f>
        <v/>
      </c>
      <c r="W218" s="10">
        <f t="shared" si="43"/>
        <v>0</v>
      </c>
      <c r="X218" s="29"/>
      <c r="Y218" s="29"/>
      <c r="Z218" s="29"/>
      <c r="AA218" s="29"/>
    </row>
    <row r="219" spans="1:77" s="3" customFormat="1" ht="12" hidden="1" customHeight="1" x14ac:dyDescent="0.25">
      <c r="A219" t="str">
        <f>IF(R219=0,"",COUNTIF(A$13:A218,"&gt;0")+1)</f>
        <v/>
      </c>
      <c r="B219" s="4"/>
      <c r="C219" s="5" t="s">
        <v>22</v>
      </c>
      <c r="D219" s="7" t="s">
        <v>1733</v>
      </c>
      <c r="E219" s="31"/>
      <c r="F219" s="31"/>
      <c r="G219" s="6" t="s">
        <v>1734</v>
      </c>
      <c r="H219" s="7">
        <f>VLOOKUP(D219,A!B$1:L$1126,3,FALSE)</f>
        <v>0</v>
      </c>
      <c r="I219" s="31">
        <f>VLOOKUP(D219,A!B$1:L$1126,3,FALSE)</f>
        <v>0</v>
      </c>
      <c r="J219" s="92"/>
      <c r="K219" s="63" t="str">
        <f>VLOOKUP(D219,A!B$1:L$1126,6,FALSE)</f>
        <v/>
      </c>
      <c r="L219" s="162"/>
      <c r="M219" s="41" t="s">
        <v>1735</v>
      </c>
      <c r="N219" s="94">
        <f>VLOOKUP(D219,A!B$1:L$1125,2,FALSE)</f>
        <v>0</v>
      </c>
      <c r="O219" s="94">
        <f>VLOOKUP(D219,A!B$1:L$1126,4,FALSE)</f>
        <v>0</v>
      </c>
      <c r="P219" s="10">
        <v>10</v>
      </c>
      <c r="Q219" s="10">
        <v>2.69</v>
      </c>
      <c r="R219" s="10">
        <f t="shared" si="41"/>
        <v>0</v>
      </c>
      <c r="S219" s="10">
        <f t="shared" si="42"/>
        <v>0</v>
      </c>
      <c r="T219" s="29" t="s">
        <v>321</v>
      </c>
      <c r="U219" s="145">
        <v>0.33</v>
      </c>
      <c r="V219" s="10" t="str">
        <f>VLOOKUP(D219,A!B$1:T$1125,16,FALSE)</f>
        <v/>
      </c>
      <c r="W219" s="10">
        <f t="shared" si="43"/>
        <v>0</v>
      </c>
      <c r="X219" s="29"/>
      <c r="Y219" s="29"/>
      <c r="Z219" s="29"/>
      <c r="AA219" s="29"/>
    </row>
    <row r="220" spans="1:77" s="3" customFormat="1" ht="13.5" hidden="1" customHeight="1" x14ac:dyDescent="0.25">
      <c r="A220" t="str">
        <f>IF(R220=0,"",COUNTIF(A$13:A219,"&gt;0")+1)</f>
        <v/>
      </c>
      <c r="B220" s="4"/>
      <c r="C220" s="5" t="s">
        <v>22</v>
      </c>
      <c r="D220" s="7" t="s">
        <v>1736</v>
      </c>
      <c r="E220" s="31"/>
      <c r="F220" s="31"/>
      <c r="G220" s="6" t="s">
        <v>1737</v>
      </c>
      <c r="H220" s="7">
        <f>VLOOKUP(D220,A!B$1:L$1126,3,FALSE)</f>
        <v>0</v>
      </c>
      <c r="I220" s="31">
        <f>VLOOKUP(D220,A!B$1:L$1126,3,FALSE)</f>
        <v>0</v>
      </c>
      <c r="J220" s="92"/>
      <c r="K220" s="63" t="str">
        <f>VLOOKUP(D220,A!B$1:L$1126,6,FALSE)</f>
        <v/>
      </c>
      <c r="L220" s="162"/>
      <c r="M220" s="41" t="s">
        <v>1738</v>
      </c>
      <c r="N220" s="94">
        <f>VLOOKUP(D220,A!B$1:L$1125,2,FALSE)</f>
        <v>0</v>
      </c>
      <c r="O220" s="94">
        <f>VLOOKUP(D220,A!B$1:L$1126,4,FALSE)</f>
        <v>0</v>
      </c>
      <c r="P220" s="10">
        <v>10</v>
      </c>
      <c r="Q220" s="10">
        <v>2.69</v>
      </c>
      <c r="R220" s="10">
        <f t="shared" si="41"/>
        <v>0</v>
      </c>
      <c r="S220" s="10">
        <f t="shared" si="42"/>
        <v>0</v>
      </c>
      <c r="T220" s="29" t="s">
        <v>321</v>
      </c>
      <c r="U220" s="145">
        <v>0.33</v>
      </c>
      <c r="V220" s="10" t="str">
        <f>VLOOKUP(D220,A!B$1:T$1125,16,FALSE)</f>
        <v/>
      </c>
      <c r="W220" s="10">
        <f t="shared" si="43"/>
        <v>0</v>
      </c>
      <c r="X220" s="29"/>
      <c r="Y220" s="29"/>
      <c r="Z220" s="29"/>
      <c r="AA220" s="29"/>
    </row>
    <row r="221" spans="1:77" ht="12.75" hidden="1" customHeight="1" x14ac:dyDescent="0.25">
      <c r="A221" t="str">
        <f>IF(R221=0,"",COUNTIF(A$13:A220,"&gt;0")+1)</f>
        <v/>
      </c>
      <c r="B221" s="4"/>
      <c r="C221" s="5" t="s">
        <v>22</v>
      </c>
      <c r="D221" s="7" t="s">
        <v>1739</v>
      </c>
      <c r="E221" s="31"/>
      <c r="F221" s="31"/>
      <c r="G221" s="6" t="s">
        <v>24</v>
      </c>
      <c r="H221" s="7">
        <f>VLOOKUP(D221,A!B$1:L$1126,3,FALSE)</f>
        <v>0</v>
      </c>
      <c r="I221" s="31">
        <f>VLOOKUP(D221,A!B$1:L$1126,3,FALSE)</f>
        <v>0</v>
      </c>
      <c r="J221" s="92"/>
      <c r="K221" s="63" t="str">
        <f>VLOOKUP(D221,A!B$1:L$1126,6,FALSE)</f>
        <v/>
      </c>
      <c r="L221" s="180"/>
      <c r="M221" s="43" t="s">
        <v>1740</v>
      </c>
      <c r="N221" s="94">
        <f>VLOOKUP(D221,A!B$1:L$1125,2,FALSE)</f>
        <v>0</v>
      </c>
      <c r="O221" s="94">
        <f>VLOOKUP(D221,A!B$1:L$1126,4,FALSE)</f>
        <v>0</v>
      </c>
      <c r="P221" s="10">
        <v>10</v>
      </c>
      <c r="Q221" s="10">
        <v>2.69</v>
      </c>
      <c r="R221" s="10">
        <f t="shared" si="41"/>
        <v>0</v>
      </c>
      <c r="S221" s="10">
        <f t="shared" si="42"/>
        <v>0</v>
      </c>
      <c r="T221" s="29" t="s">
        <v>321</v>
      </c>
      <c r="U221" s="145">
        <v>0.33</v>
      </c>
      <c r="V221" s="10" t="str">
        <f>VLOOKUP(D221,A!B$1:T$1125,16,FALSE)</f>
        <v/>
      </c>
      <c r="W221" s="10">
        <f t="shared" si="43"/>
        <v>0</v>
      </c>
      <c r="X221" s="29"/>
      <c r="Y221" s="29"/>
      <c r="Z221" s="29"/>
      <c r="AA221" s="29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</row>
    <row r="222" spans="1:77" ht="13.5" customHeight="1" x14ac:dyDescent="0.25">
      <c r="A222" t="str">
        <f>IF(R222=0,"",COUNTIF(A$13:A221,"&gt;0")+1)</f>
        <v/>
      </c>
      <c r="B222" s="4"/>
      <c r="C222" s="5" t="s">
        <v>22</v>
      </c>
      <c r="D222" s="7" t="s">
        <v>1804</v>
      </c>
      <c r="E222" s="31"/>
      <c r="F222" s="31"/>
      <c r="G222" s="6" t="s">
        <v>1803</v>
      </c>
      <c r="H222" s="7">
        <f>VLOOKUP(D222,A!B$1:L$1126,3,FALSE)</f>
        <v>1</v>
      </c>
      <c r="I222" s="31">
        <f>VLOOKUP(D222,A!B$1:L$1126,3,FALSE)</f>
        <v>1</v>
      </c>
      <c r="J222" s="92"/>
      <c r="K222" s="63" t="str">
        <f>VLOOKUP(D222,A!B$1:L$1126,6,FALSE)</f>
        <v/>
      </c>
      <c r="L222" s="180"/>
      <c r="M222" s="43" t="s">
        <v>1790</v>
      </c>
      <c r="N222" s="94" t="str">
        <f>VLOOKUP(D222,A!B$1:L$1125,2,FALSE)</f>
        <v>y</v>
      </c>
      <c r="O222" s="94">
        <f>VLOOKUP(D222,A!B$1:L$1126,4,FALSE)</f>
        <v>0</v>
      </c>
      <c r="P222" s="10">
        <v>10</v>
      </c>
      <c r="Q222" s="10">
        <v>2.69</v>
      </c>
      <c r="R222" s="10">
        <f t="shared" ref="R222" si="44">B222*P222</f>
        <v>0</v>
      </c>
      <c r="S222" s="10">
        <f t="shared" ref="S222" si="45">R222*Q222</f>
        <v>0</v>
      </c>
      <c r="T222" s="29" t="s">
        <v>321</v>
      </c>
      <c r="U222" s="145">
        <v>0.33</v>
      </c>
      <c r="V222" s="10">
        <f>VLOOKUP(D222,A!B$1:T$1125,16,FALSE)</f>
        <v>0</v>
      </c>
      <c r="W222" s="10">
        <f t="shared" ref="W222" si="46">U222*B222</f>
        <v>0</v>
      </c>
      <c r="X222" s="29"/>
      <c r="Y222" s="29"/>
      <c r="Z222" s="29"/>
      <c r="AA222" s="29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</row>
    <row r="223" spans="1:77" ht="13.5" customHeight="1" x14ac:dyDescent="0.25">
      <c r="A223" t="str">
        <f>IF(R223=0,"",COUNTIF(A$13:A222,"&gt;0")+1)</f>
        <v/>
      </c>
      <c r="B223" s="4"/>
      <c r="C223" s="5" t="s">
        <v>22</v>
      </c>
      <c r="D223" s="7" t="s">
        <v>1807</v>
      </c>
      <c r="E223" s="31"/>
      <c r="F223" s="31"/>
      <c r="G223" s="6" t="s">
        <v>1810</v>
      </c>
      <c r="H223" s="7">
        <f>VLOOKUP(D223,A!B$1:L$1126,3,FALSE)</f>
        <v>1</v>
      </c>
      <c r="I223" s="31">
        <f>VLOOKUP(D223,A!B$1:L$1126,3,FALSE)</f>
        <v>1</v>
      </c>
      <c r="J223" s="92"/>
      <c r="K223" s="63" t="str">
        <f>VLOOKUP(D223,A!B$1:L$1126,6,FALSE)</f>
        <v/>
      </c>
      <c r="L223" s="180"/>
      <c r="M223" s="43" t="s">
        <v>1812</v>
      </c>
      <c r="N223" s="94" t="str">
        <f>VLOOKUP(D223,A!B$1:L$1125,2,FALSE)</f>
        <v>y</v>
      </c>
      <c r="O223" s="94">
        <f>VLOOKUP(D223,A!B$1:L$1126,4,FALSE)</f>
        <v>0</v>
      </c>
      <c r="P223" s="10">
        <v>10</v>
      </c>
      <c r="Q223" s="10">
        <v>2.69</v>
      </c>
      <c r="R223" s="10">
        <f t="shared" ref="R223:R224" si="47">B223*P223</f>
        <v>0</v>
      </c>
      <c r="S223" s="10">
        <f t="shared" ref="S223:S224" si="48">R223*Q223</f>
        <v>0</v>
      </c>
      <c r="T223" s="29" t="s">
        <v>321</v>
      </c>
      <c r="U223" s="145">
        <v>0.33</v>
      </c>
      <c r="V223" s="10">
        <f>VLOOKUP(D223,A!B$1:T$1125,16,FALSE)</f>
        <v>0</v>
      </c>
      <c r="W223" s="10">
        <f t="shared" ref="W223:W224" si="49">U223*B223</f>
        <v>0</v>
      </c>
      <c r="X223" s="29"/>
      <c r="Y223" s="29"/>
      <c r="Z223" s="29"/>
      <c r="AA223" s="29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</row>
    <row r="224" spans="1:77" ht="14.25" customHeight="1" x14ac:dyDescent="0.25">
      <c r="A224" t="str">
        <f>IF(R224=0,"",COUNTIF(A$13:A223,"&gt;0")+1)</f>
        <v/>
      </c>
      <c r="B224" s="4"/>
      <c r="C224" s="5" t="s">
        <v>22</v>
      </c>
      <c r="D224" s="7" t="s">
        <v>1808</v>
      </c>
      <c r="E224" s="31"/>
      <c r="F224" s="31"/>
      <c r="G224" s="6" t="s">
        <v>1811</v>
      </c>
      <c r="H224" s="7">
        <f>VLOOKUP(D224,A!B$1:L$1126,3,FALSE)</f>
        <v>1</v>
      </c>
      <c r="I224" s="31">
        <f>VLOOKUP(D224,A!B$1:L$1126,3,FALSE)</f>
        <v>1</v>
      </c>
      <c r="J224" s="92"/>
      <c r="K224" s="63" t="str">
        <f>VLOOKUP(D224,A!B$1:L$1126,6,FALSE)</f>
        <v/>
      </c>
      <c r="L224" s="180"/>
      <c r="M224" s="43" t="s">
        <v>1813</v>
      </c>
      <c r="N224" s="94" t="str">
        <f>VLOOKUP(D224,A!B$1:L$1125,2,FALSE)</f>
        <v>y</v>
      </c>
      <c r="O224" s="94">
        <f>VLOOKUP(D224,A!B$1:L$1126,4,FALSE)</f>
        <v>0</v>
      </c>
      <c r="P224" s="10">
        <v>10</v>
      </c>
      <c r="Q224" s="10">
        <v>2.69</v>
      </c>
      <c r="R224" s="10">
        <f t="shared" si="47"/>
        <v>0</v>
      </c>
      <c r="S224" s="10">
        <f t="shared" si="48"/>
        <v>0</v>
      </c>
      <c r="T224" s="29" t="s">
        <v>321</v>
      </c>
      <c r="U224" s="145">
        <v>0.33</v>
      </c>
      <c r="V224" s="10">
        <f>VLOOKUP(D224,A!B$1:T$1125,16,FALSE)</f>
        <v>0</v>
      </c>
      <c r="W224" s="10">
        <f t="shared" si="49"/>
        <v>0</v>
      </c>
      <c r="X224" s="29"/>
      <c r="Y224" s="29"/>
      <c r="Z224" s="29"/>
      <c r="AA224" s="29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</row>
    <row r="225" spans="1:77" ht="12.75" hidden="1" customHeight="1" x14ac:dyDescent="0.25">
      <c r="A225" t="str">
        <f>IF(R225=0,"",COUNTIF(A$13:A224,"&gt;0")+1)</f>
        <v/>
      </c>
      <c r="B225" s="4"/>
      <c r="C225" s="5" t="s">
        <v>22</v>
      </c>
      <c r="D225" s="7" t="s">
        <v>252</v>
      </c>
      <c r="E225" s="31"/>
      <c r="F225" s="31"/>
      <c r="G225" s="6" t="s">
        <v>101</v>
      </c>
      <c r="H225" s="7">
        <f>VLOOKUP(D225,A!B$1:L$1126,3,FALSE)</f>
        <v>0</v>
      </c>
      <c r="I225" s="31">
        <f>VLOOKUP(D225,A!B$1:L$1126,3,FALSE)</f>
        <v>0</v>
      </c>
      <c r="J225" s="92"/>
      <c r="K225" s="63" t="str">
        <f>VLOOKUP(D225,A!B$1:L$1126,6,FALSE)</f>
        <v/>
      </c>
      <c r="L225" s="2"/>
      <c r="M225" s="41" t="s">
        <v>253</v>
      </c>
      <c r="N225" s="94">
        <f>VLOOKUP(D225,A!B$1:L$1125,2,FALSE)</f>
        <v>0</v>
      </c>
      <c r="O225" s="94">
        <f>VLOOKUP(D225,A!B$1:L$1126,4,FALSE)</f>
        <v>0</v>
      </c>
      <c r="P225" s="10">
        <v>10</v>
      </c>
      <c r="Q225" s="10">
        <v>2.69</v>
      </c>
      <c r="R225" s="10">
        <f t="shared" si="41"/>
        <v>0</v>
      </c>
      <c r="S225" s="10">
        <f t="shared" si="42"/>
        <v>0</v>
      </c>
      <c r="T225" s="29" t="s">
        <v>321</v>
      </c>
      <c r="U225" s="145">
        <v>0.33</v>
      </c>
      <c r="V225" s="10" t="str">
        <f>VLOOKUP(D225,A!B$1:T$1125,16,FALSE)</f>
        <v/>
      </c>
      <c r="W225" s="10">
        <f t="shared" si="43"/>
        <v>0</v>
      </c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3"/>
      <c r="BQ225" s="3"/>
      <c r="BR225" s="3"/>
      <c r="BS225" s="3"/>
      <c r="BT225" s="3"/>
      <c r="BU225" s="3"/>
      <c r="BV225" s="3"/>
      <c r="BW225" s="3"/>
      <c r="BX225" s="3"/>
      <c r="BY225" s="3"/>
    </row>
    <row r="226" spans="1:77" s="3" customFormat="1" ht="12.75" hidden="1" customHeight="1" x14ac:dyDescent="0.25">
      <c r="A226" t="str">
        <f>IF(R226=0,"",COUNTIF(A$13:A225,"&gt;0")+1)</f>
        <v/>
      </c>
      <c r="B226" s="4"/>
      <c r="C226" s="5" t="s">
        <v>22</v>
      </c>
      <c r="D226" s="172" t="s">
        <v>1741</v>
      </c>
      <c r="E226" s="173"/>
      <c r="F226" s="173"/>
      <c r="G226" s="36" t="s">
        <v>87</v>
      </c>
      <c r="H226" s="7">
        <f>VLOOKUP(D226,A!B$1:L$1126,3,FALSE)</f>
        <v>0</v>
      </c>
      <c r="I226" s="31">
        <f>VLOOKUP(D226,A!B$1:L$1126,3,FALSE)</f>
        <v>0</v>
      </c>
      <c r="J226" s="92"/>
      <c r="K226" s="63" t="str">
        <f>VLOOKUP(D226,A!B$1:L$1126,6,FALSE)</f>
        <v/>
      </c>
      <c r="L226" s="162"/>
      <c r="M226" s="43" t="s">
        <v>88</v>
      </c>
      <c r="N226" s="94">
        <f>VLOOKUP(D226,A!B$1:L$1125,2,FALSE)</f>
        <v>0</v>
      </c>
      <c r="O226" s="94">
        <f>VLOOKUP(D226,A!B$1:L$1126,4,FALSE)</f>
        <v>0</v>
      </c>
      <c r="P226" s="10">
        <v>10</v>
      </c>
      <c r="Q226" s="10">
        <v>2.69</v>
      </c>
      <c r="R226" s="10">
        <f t="shared" si="41"/>
        <v>0</v>
      </c>
      <c r="S226" s="10">
        <f t="shared" si="42"/>
        <v>0</v>
      </c>
      <c r="T226" s="29" t="s">
        <v>321</v>
      </c>
      <c r="U226" s="145">
        <v>0.33</v>
      </c>
      <c r="V226" s="10" t="str">
        <f>VLOOKUP(D226,A!B$1:T$1125,16,FALSE)</f>
        <v/>
      </c>
      <c r="W226" s="10">
        <f t="shared" si="43"/>
        <v>0</v>
      </c>
      <c r="X226" s="29"/>
      <c r="Y226" s="29"/>
      <c r="Z226" s="29"/>
      <c r="AA226" s="29"/>
    </row>
    <row r="227" spans="1:77" s="3" customFormat="1" ht="12.75" hidden="1" customHeight="1" x14ac:dyDescent="0.25">
      <c r="A227" t="str">
        <f>IF(R227=0,"",COUNTIF(A$13:A226,"&gt;0")+1)</f>
        <v/>
      </c>
      <c r="B227" s="4"/>
      <c r="C227" s="5" t="s">
        <v>22</v>
      </c>
      <c r="D227" s="7" t="s">
        <v>1742</v>
      </c>
      <c r="E227" s="31"/>
      <c r="F227" s="31"/>
      <c r="G227" s="36" t="s">
        <v>87</v>
      </c>
      <c r="H227" s="7">
        <f>VLOOKUP(D227,A!B$1:L$1126,3,FALSE)</f>
        <v>0</v>
      </c>
      <c r="I227" s="31">
        <f>VLOOKUP(D227,A!B$1:L$1126,3,FALSE)</f>
        <v>0</v>
      </c>
      <c r="J227" s="92"/>
      <c r="K227" s="63" t="str">
        <f>VLOOKUP(D227,A!B$1:L$1126,6,FALSE)</f>
        <v/>
      </c>
      <c r="L227" s="162"/>
      <c r="M227" s="43" t="s">
        <v>1743</v>
      </c>
      <c r="N227" s="94">
        <f>VLOOKUP(D227,A!B$1:L$1125,2,FALSE)</f>
        <v>0</v>
      </c>
      <c r="O227" s="94">
        <f>VLOOKUP(D227,A!B$1:L$1126,4,FALSE)</f>
        <v>0</v>
      </c>
      <c r="P227" s="10">
        <v>10</v>
      </c>
      <c r="Q227" s="10">
        <v>2.69</v>
      </c>
      <c r="R227" s="10">
        <f t="shared" si="41"/>
        <v>0</v>
      </c>
      <c r="S227" s="10">
        <f t="shared" si="42"/>
        <v>0</v>
      </c>
      <c r="T227" s="29" t="s">
        <v>321</v>
      </c>
      <c r="U227" s="145">
        <v>0.33</v>
      </c>
      <c r="V227" s="10" t="str">
        <f>VLOOKUP(D227,A!B$1:T$1125,16,FALSE)</f>
        <v/>
      </c>
      <c r="W227" s="10">
        <f t="shared" si="43"/>
        <v>0</v>
      </c>
      <c r="X227" s="29"/>
      <c r="Y227" s="29"/>
      <c r="Z227" s="29"/>
      <c r="AA227" s="29"/>
    </row>
    <row r="228" spans="1:77" s="3" customFormat="1" ht="12.75" hidden="1" customHeight="1" x14ac:dyDescent="0.25">
      <c r="A228" t="str">
        <f>IF(R228=0,"",COUNTIF(A$13:A227,"&gt;0")+1)</f>
        <v/>
      </c>
      <c r="B228" s="4"/>
      <c r="C228" s="5" t="s">
        <v>22</v>
      </c>
      <c r="D228" s="7" t="s">
        <v>159</v>
      </c>
      <c r="E228" s="31"/>
      <c r="F228" s="31"/>
      <c r="G228" s="36" t="s">
        <v>87</v>
      </c>
      <c r="H228" s="7">
        <f>VLOOKUP(D228,A!B$1:L$1126,3,FALSE)</f>
        <v>0</v>
      </c>
      <c r="I228" s="31">
        <f>VLOOKUP(D228,A!B$1:L$1126,3,FALSE)</f>
        <v>0</v>
      </c>
      <c r="J228" s="92"/>
      <c r="K228" s="63" t="str">
        <f>VLOOKUP(D228,A!B$1:L$1126,6,FALSE)</f>
        <v/>
      </c>
      <c r="L228" s="2"/>
      <c r="M228" s="43" t="s">
        <v>88</v>
      </c>
      <c r="N228" s="94">
        <f>VLOOKUP(D228,A!B$1:L$1125,2,FALSE)</f>
        <v>0</v>
      </c>
      <c r="O228" s="94">
        <f>VLOOKUP(D228,A!B$1:L$1126,4,FALSE)</f>
        <v>0</v>
      </c>
      <c r="P228" s="10">
        <v>10</v>
      </c>
      <c r="Q228" s="10">
        <v>2.69</v>
      </c>
      <c r="R228" s="10">
        <f t="shared" si="41"/>
        <v>0</v>
      </c>
      <c r="S228" s="10">
        <f t="shared" si="42"/>
        <v>0</v>
      </c>
      <c r="T228" s="29" t="s">
        <v>321</v>
      </c>
      <c r="U228" s="145">
        <v>0.33</v>
      </c>
      <c r="V228" s="10" t="str">
        <f>VLOOKUP(D228,A!B$1:T$1125,16,FALSE)</f>
        <v/>
      </c>
      <c r="W228" s="10">
        <f t="shared" si="43"/>
        <v>0</v>
      </c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</row>
    <row r="229" spans="1:77" s="3" customFormat="1" ht="12.75" hidden="1" customHeight="1" x14ac:dyDescent="0.25">
      <c r="A229" t="str">
        <f>IF(R229=0,"",COUNTIF(A$13:A228,"&gt;0")+1)</f>
        <v/>
      </c>
      <c r="B229" s="4"/>
      <c r="C229" s="5" t="s">
        <v>22</v>
      </c>
      <c r="D229" s="7" t="s">
        <v>1745</v>
      </c>
      <c r="E229" s="31"/>
      <c r="F229" s="31"/>
      <c r="G229" s="36" t="s">
        <v>87</v>
      </c>
      <c r="H229" s="7">
        <f>VLOOKUP(D229,A!B$1:L$1126,3,FALSE)</f>
        <v>0</v>
      </c>
      <c r="I229" s="31">
        <f>VLOOKUP(D229,A!B$1:L$1126,3,FALSE)</f>
        <v>0</v>
      </c>
      <c r="J229" s="92"/>
      <c r="K229" s="63" t="str">
        <f>VLOOKUP(D229,A!B$1:L$1126,6,FALSE)</f>
        <v/>
      </c>
      <c r="L229" s="162"/>
      <c r="M229" s="43" t="s">
        <v>1746</v>
      </c>
      <c r="N229" s="94">
        <f>VLOOKUP(D229,A!B$1:L$1125,2,FALSE)</f>
        <v>0</v>
      </c>
      <c r="O229" s="94">
        <f>VLOOKUP(D229,A!B$1:L$1126,4,FALSE)</f>
        <v>0</v>
      </c>
      <c r="P229" s="10">
        <v>10</v>
      </c>
      <c r="Q229" s="10">
        <v>2.69</v>
      </c>
      <c r="R229" s="10">
        <f t="shared" si="41"/>
        <v>0</v>
      </c>
      <c r="S229" s="10">
        <f t="shared" si="42"/>
        <v>0</v>
      </c>
      <c r="T229" s="29" t="s">
        <v>321</v>
      </c>
      <c r="U229" s="145">
        <v>0.33</v>
      </c>
      <c r="V229" s="10" t="str">
        <f>VLOOKUP(D229,A!B$1:T$1125,16,FALSE)</f>
        <v/>
      </c>
      <c r="W229" s="10">
        <f t="shared" si="43"/>
        <v>0</v>
      </c>
      <c r="X229" s="29"/>
      <c r="Y229" s="29"/>
      <c r="Z229" s="29"/>
      <c r="AA229" s="29"/>
    </row>
    <row r="230" spans="1:77" s="3" customFormat="1" ht="12.75" hidden="1" customHeight="1" x14ac:dyDescent="0.25">
      <c r="A230" t="str">
        <f>IF(R230=0,"",COUNTIF(A$13:A229,"&gt;0")+1)</f>
        <v/>
      </c>
      <c r="B230" s="4"/>
      <c r="C230" s="5" t="s">
        <v>22</v>
      </c>
      <c r="D230" s="172" t="s">
        <v>1747</v>
      </c>
      <c r="E230" s="173"/>
      <c r="F230" s="173"/>
      <c r="G230" s="36" t="s">
        <v>87</v>
      </c>
      <c r="H230" s="7">
        <f>VLOOKUP(D230,A!B$1:L$1126,3,FALSE)</f>
        <v>0</v>
      </c>
      <c r="I230" s="31">
        <f>VLOOKUP(D230,A!B$1:L$1126,3,FALSE)</f>
        <v>0</v>
      </c>
      <c r="J230" s="92"/>
      <c r="K230" s="63" t="str">
        <f>VLOOKUP(D230,A!B$1:L$1126,6,FALSE)</f>
        <v/>
      </c>
      <c r="L230" s="162"/>
      <c r="M230" s="43" t="s">
        <v>1748</v>
      </c>
      <c r="N230" s="94">
        <f>VLOOKUP(D230,A!B$1:L$1125,2,FALSE)</f>
        <v>0</v>
      </c>
      <c r="O230" s="94">
        <f>VLOOKUP(D230,A!B$1:L$1126,4,FALSE)</f>
        <v>0</v>
      </c>
      <c r="P230" s="10">
        <v>10</v>
      </c>
      <c r="Q230" s="10">
        <v>2.69</v>
      </c>
      <c r="R230" s="10">
        <f t="shared" si="41"/>
        <v>0</v>
      </c>
      <c r="S230" s="10">
        <f t="shared" si="42"/>
        <v>0</v>
      </c>
      <c r="T230" s="29" t="s">
        <v>321</v>
      </c>
      <c r="U230" s="145">
        <v>0.33</v>
      </c>
      <c r="V230" s="10" t="str">
        <f>VLOOKUP(D230,A!B$1:T$1125,16,FALSE)</f>
        <v/>
      </c>
      <c r="W230" s="10">
        <f t="shared" si="43"/>
        <v>0</v>
      </c>
      <c r="X230" s="29"/>
      <c r="Y230" s="29"/>
      <c r="Z230" s="29"/>
      <c r="AA230" s="29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</row>
    <row r="231" spans="1:77" s="3" customFormat="1" ht="12.75" hidden="1" customHeight="1" x14ac:dyDescent="0.25">
      <c r="A231" t="str">
        <f>IF(R231=0,"",COUNTIF(A$13:A230,"&gt;0")+1)</f>
        <v/>
      </c>
      <c r="B231" s="4"/>
      <c r="C231" s="5" t="s">
        <v>22</v>
      </c>
      <c r="D231" s="7" t="s">
        <v>1749</v>
      </c>
      <c r="E231" s="31"/>
      <c r="F231" s="31"/>
      <c r="G231" s="6" t="s">
        <v>1750</v>
      </c>
      <c r="H231" s="7">
        <f>VLOOKUP(D231,A!B$1:L$1126,3,FALSE)</f>
        <v>0</v>
      </c>
      <c r="I231" s="31">
        <f>VLOOKUP(D231,A!B$1:L$1126,3,FALSE)</f>
        <v>0</v>
      </c>
      <c r="J231" s="92"/>
      <c r="K231" s="63" t="str">
        <f>VLOOKUP(D231,A!B$1:L$1126,6,FALSE)</f>
        <v/>
      </c>
      <c r="L231" s="162"/>
      <c r="M231" s="43" t="s">
        <v>1751</v>
      </c>
      <c r="N231" s="94">
        <f>VLOOKUP(D231,A!B$1:L$1125,2,FALSE)</f>
        <v>0</v>
      </c>
      <c r="O231" s="94">
        <f>VLOOKUP(D231,A!B$1:L$1126,4,FALSE)</f>
        <v>0</v>
      </c>
      <c r="P231" s="10">
        <v>10</v>
      </c>
      <c r="Q231" s="10">
        <v>2.69</v>
      </c>
      <c r="R231" s="10">
        <f t="shared" si="41"/>
        <v>0</v>
      </c>
      <c r="S231" s="10">
        <f t="shared" si="42"/>
        <v>0</v>
      </c>
      <c r="T231" s="29" t="s">
        <v>321</v>
      </c>
      <c r="U231" s="145">
        <v>0.33</v>
      </c>
      <c r="V231" s="10" t="str">
        <f>VLOOKUP(D231,A!B$1:T$1125,16,FALSE)</f>
        <v/>
      </c>
      <c r="W231" s="10">
        <f t="shared" si="43"/>
        <v>0</v>
      </c>
      <c r="X231" s="29"/>
      <c r="Y231" s="29"/>
      <c r="Z231" s="29"/>
      <c r="AA231" s="29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</row>
    <row r="232" spans="1:77" s="3" customFormat="1" ht="12.75" hidden="1" customHeight="1" x14ac:dyDescent="0.25">
      <c r="A232" t="str">
        <f>IF(R232=0,"",COUNTIF(A$13:A231,"&gt;0")+1)</f>
        <v/>
      </c>
      <c r="B232" s="4"/>
      <c r="C232" s="5" t="s">
        <v>22</v>
      </c>
      <c r="D232" s="7" t="s">
        <v>1752</v>
      </c>
      <c r="E232" s="31"/>
      <c r="F232" s="31"/>
      <c r="G232" s="6" t="s">
        <v>1750</v>
      </c>
      <c r="H232" s="7">
        <f>VLOOKUP(D232,A!B$1:L$1126,3,FALSE)</f>
        <v>0</v>
      </c>
      <c r="I232" s="31">
        <f>VLOOKUP(D232,A!B$1:L$1126,3,FALSE)</f>
        <v>0</v>
      </c>
      <c r="J232" s="92"/>
      <c r="K232" s="63" t="str">
        <f>VLOOKUP(D232,A!B$1:L$1126,6,FALSE)</f>
        <v/>
      </c>
      <c r="L232" s="162"/>
      <c r="M232" s="43" t="s">
        <v>1753</v>
      </c>
      <c r="N232" s="94">
        <f>VLOOKUP(D232,A!B$1:L$1125,2,FALSE)</f>
        <v>0</v>
      </c>
      <c r="O232" s="94">
        <f>VLOOKUP(D232,A!B$1:L$1126,4,FALSE)</f>
        <v>0</v>
      </c>
      <c r="P232" s="10">
        <v>10</v>
      </c>
      <c r="Q232" s="10">
        <v>2.69</v>
      </c>
      <c r="R232" s="10">
        <f t="shared" si="41"/>
        <v>0</v>
      </c>
      <c r="S232" s="10">
        <f t="shared" si="42"/>
        <v>0</v>
      </c>
      <c r="T232" s="29" t="s">
        <v>321</v>
      </c>
      <c r="U232" s="145">
        <v>0.33</v>
      </c>
      <c r="V232" s="10" t="str">
        <f>VLOOKUP(D232,A!B$1:T$1125,16,FALSE)</f>
        <v/>
      </c>
      <c r="W232" s="10">
        <f t="shared" si="43"/>
        <v>0</v>
      </c>
      <c r="X232" s="29"/>
      <c r="Y232" s="29"/>
      <c r="Z232" s="29"/>
      <c r="AA232" s="29"/>
    </row>
    <row r="233" spans="1:77" s="3" customFormat="1" ht="12.75" hidden="1" customHeight="1" x14ac:dyDescent="0.25">
      <c r="A233" t="str">
        <f>IF(R233=0,"",COUNTIF(A$13:A232,"&gt;0")+1)</f>
        <v/>
      </c>
      <c r="B233" s="4"/>
      <c r="C233" s="5" t="s">
        <v>22</v>
      </c>
      <c r="D233" s="168" t="s">
        <v>1754</v>
      </c>
      <c r="E233" s="169"/>
      <c r="F233" s="169"/>
      <c r="G233" s="6" t="s">
        <v>1755</v>
      </c>
      <c r="H233" s="7">
        <f>VLOOKUP(D233,A!B$1:L$1126,3,FALSE)</f>
        <v>0</v>
      </c>
      <c r="I233" s="31">
        <f>VLOOKUP(D233,A!B$1:L$1126,3,FALSE)</f>
        <v>0</v>
      </c>
      <c r="J233" s="92"/>
      <c r="K233" s="63" t="str">
        <f>VLOOKUP(D233,A!B$1:L$1126,6,FALSE)</f>
        <v/>
      </c>
      <c r="L233" s="162"/>
      <c r="M233" s="41" t="s">
        <v>1756</v>
      </c>
      <c r="N233" s="94">
        <f>VLOOKUP(D233,A!B$1:L$1125,2,FALSE)</f>
        <v>0</v>
      </c>
      <c r="O233" s="94">
        <f>VLOOKUP(D233,A!B$1:L$1126,4,FALSE)</f>
        <v>0</v>
      </c>
      <c r="P233" s="10">
        <v>10</v>
      </c>
      <c r="Q233" s="10">
        <v>2.69</v>
      </c>
      <c r="R233" s="10">
        <f t="shared" si="41"/>
        <v>0</v>
      </c>
      <c r="S233" s="10">
        <f t="shared" si="42"/>
        <v>0</v>
      </c>
      <c r="T233" s="29" t="s">
        <v>321</v>
      </c>
      <c r="U233" s="145">
        <v>0.33</v>
      </c>
      <c r="V233" s="10" t="str">
        <f>VLOOKUP(D233,A!B$1:T$1125,16,FALSE)</f>
        <v/>
      </c>
      <c r="W233" s="10">
        <f t="shared" si="43"/>
        <v>0</v>
      </c>
      <c r="X233" s="29"/>
      <c r="Y233" s="29"/>
      <c r="Z233" s="29"/>
      <c r="AA233" s="29"/>
    </row>
    <row r="234" spans="1:77" s="3" customFormat="1" ht="12.75" hidden="1" customHeight="1" x14ac:dyDescent="0.25">
      <c r="A234" t="str">
        <f>IF(R234=0,"",COUNTIF(A$13:A233,"&gt;0")+1)</f>
        <v/>
      </c>
      <c r="B234" s="4"/>
      <c r="C234" s="5" t="s">
        <v>22</v>
      </c>
      <c r="D234" s="7" t="s">
        <v>1757</v>
      </c>
      <c r="E234" s="31"/>
      <c r="F234" s="31"/>
      <c r="G234" s="6" t="s">
        <v>1750</v>
      </c>
      <c r="H234" s="7">
        <f>VLOOKUP(D234,A!B$1:L$1126,3,FALSE)</f>
        <v>0</v>
      </c>
      <c r="I234" s="31">
        <f>VLOOKUP(D234,A!B$1:L$1126,3,FALSE)</f>
        <v>0</v>
      </c>
      <c r="J234" s="92"/>
      <c r="K234" s="63" t="str">
        <f>VLOOKUP(D234,A!B$1:L$1126,6,FALSE)</f>
        <v/>
      </c>
      <c r="L234" s="162"/>
      <c r="M234" s="43" t="s">
        <v>1758</v>
      </c>
      <c r="N234" s="94">
        <f>VLOOKUP(D234,A!B$1:L$1125,2,FALSE)</f>
        <v>0</v>
      </c>
      <c r="O234" s="94">
        <f>VLOOKUP(D234,A!B$1:L$1126,4,FALSE)</f>
        <v>0</v>
      </c>
      <c r="P234" s="10">
        <v>10</v>
      </c>
      <c r="Q234" s="10">
        <v>2.69</v>
      </c>
      <c r="R234" s="10">
        <f t="shared" si="41"/>
        <v>0</v>
      </c>
      <c r="S234" s="10">
        <f t="shared" si="42"/>
        <v>0</v>
      </c>
      <c r="T234" s="29" t="s">
        <v>321</v>
      </c>
      <c r="U234" s="145">
        <v>0.33</v>
      </c>
      <c r="V234" s="10" t="str">
        <f>VLOOKUP(D234,A!B$1:T$1125,16,FALSE)</f>
        <v/>
      </c>
      <c r="W234" s="10">
        <f t="shared" si="43"/>
        <v>0</v>
      </c>
      <c r="X234" s="29"/>
      <c r="Y234" s="29"/>
      <c r="Z234" s="29"/>
      <c r="AA234" s="29"/>
    </row>
    <row r="235" spans="1:77" s="3" customFormat="1" ht="12.75" hidden="1" customHeight="1" x14ac:dyDescent="0.25">
      <c r="A235" t="str">
        <f>IF(R235=0,"",COUNTIF(A$13:A234,"&gt;0")+1)</f>
        <v/>
      </c>
      <c r="B235" s="4"/>
      <c r="C235" s="5" t="s">
        <v>22</v>
      </c>
      <c r="D235" s="172" t="s">
        <v>1759</v>
      </c>
      <c r="E235" s="173"/>
      <c r="F235" s="173"/>
      <c r="G235" s="6" t="s">
        <v>1760</v>
      </c>
      <c r="H235" s="7">
        <f>VLOOKUP(D235,A!B$1:L$1126,3,FALSE)</f>
        <v>0</v>
      </c>
      <c r="I235" s="31">
        <f>VLOOKUP(D235,A!B$1:L$1126,3,FALSE)</f>
        <v>0</v>
      </c>
      <c r="J235" s="92"/>
      <c r="K235" s="63" t="str">
        <f>VLOOKUP(D235,A!B$1:L$1126,6,FALSE)</f>
        <v/>
      </c>
      <c r="L235" s="162"/>
      <c r="M235" s="41" t="s">
        <v>1761</v>
      </c>
      <c r="N235" s="94">
        <f>VLOOKUP(D235,A!B$1:L$1125,2,FALSE)</f>
        <v>0</v>
      </c>
      <c r="O235" s="94">
        <f>VLOOKUP(D235,A!B$1:L$1126,4,FALSE)</f>
        <v>0</v>
      </c>
      <c r="P235" s="10">
        <v>10</v>
      </c>
      <c r="Q235" s="10">
        <v>2.69</v>
      </c>
      <c r="R235" s="10">
        <f t="shared" si="41"/>
        <v>0</v>
      </c>
      <c r="S235" s="10">
        <f t="shared" si="42"/>
        <v>0</v>
      </c>
      <c r="T235" s="29" t="s">
        <v>321</v>
      </c>
      <c r="U235" s="145">
        <v>0.33</v>
      </c>
      <c r="V235" s="10" t="str">
        <f>VLOOKUP(D235,A!B$1:T$1125,16,FALSE)</f>
        <v/>
      </c>
      <c r="W235" s="10">
        <f t="shared" si="43"/>
        <v>0</v>
      </c>
      <c r="X235" s="29"/>
      <c r="Y235" s="29"/>
      <c r="Z235" s="29"/>
      <c r="AA235" s="29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</row>
    <row r="236" spans="1:77" s="3" customFormat="1" ht="13.5" customHeight="1" x14ac:dyDescent="0.25">
      <c r="A236" t="str">
        <f>IF(R236=0,"",COUNTIF(A$13:A235,"&gt;0")+1)</f>
        <v/>
      </c>
      <c r="B236" s="4"/>
      <c r="C236" s="5" t="s">
        <v>22</v>
      </c>
      <c r="D236" s="7" t="s">
        <v>282</v>
      </c>
      <c r="E236" s="31"/>
      <c r="F236" s="31"/>
      <c r="G236" s="20" t="s">
        <v>26</v>
      </c>
      <c r="H236" s="7">
        <f>VLOOKUP(D236,A!B$1:L$1126,3,FALSE)</f>
        <v>2</v>
      </c>
      <c r="I236" s="31">
        <f>VLOOKUP(D236,A!B$1:L$1126,3,FALSE)</f>
        <v>2</v>
      </c>
      <c r="J236" s="92"/>
      <c r="K236" s="63" t="str">
        <f>VLOOKUP(D236,A!B$1:L$1126,6,FALSE)</f>
        <v/>
      </c>
      <c r="L236" s="2"/>
      <c r="M236" s="41" t="s">
        <v>27</v>
      </c>
      <c r="N236" s="94" t="str">
        <f>VLOOKUP(D236,A!B$1:L$1125,2,FALSE)</f>
        <v>y</v>
      </c>
      <c r="O236" s="94">
        <f>VLOOKUP(D236,A!B$1:L$1126,4,FALSE)</f>
        <v>1</v>
      </c>
      <c r="P236" s="10">
        <v>10</v>
      </c>
      <c r="Q236" s="10">
        <v>2.69</v>
      </c>
      <c r="R236" s="10">
        <f>B236*P236</f>
        <v>0</v>
      </c>
      <c r="S236" s="10">
        <f t="shared" si="42"/>
        <v>0</v>
      </c>
      <c r="T236" s="29" t="s">
        <v>321</v>
      </c>
      <c r="U236" s="145">
        <v>0.33</v>
      </c>
      <c r="V236" s="10" t="str">
        <f>VLOOKUP(D236,A!B$1:T$1125,16,FALSE)</f>
        <v/>
      </c>
      <c r="W236" s="10">
        <f>U236*B236</f>
        <v>0</v>
      </c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</row>
    <row r="237" spans="1:77" s="3" customFormat="1" ht="12.75" hidden="1" customHeight="1" x14ac:dyDescent="0.25">
      <c r="A237" t="str">
        <f>IF(R237=0,"",COUNTIF(A$13:A236,"&gt;0")+1)</f>
        <v/>
      </c>
      <c r="B237" s="4"/>
      <c r="C237" s="5" t="s">
        <v>22</v>
      </c>
      <c r="D237" s="7" t="s">
        <v>1762</v>
      </c>
      <c r="E237" s="31"/>
      <c r="F237" s="31"/>
      <c r="G237" s="20" t="s">
        <v>26</v>
      </c>
      <c r="H237" s="7">
        <f>VLOOKUP(D237,A!B$1:L$1126,3,FALSE)</f>
        <v>0</v>
      </c>
      <c r="I237" s="31">
        <f>VLOOKUP(D237,A!B$1:L$1126,3,FALSE)</f>
        <v>0</v>
      </c>
      <c r="J237" s="92"/>
      <c r="K237" s="63" t="str">
        <f>VLOOKUP(D237,A!B$1:L$1126,6,FALSE)</f>
        <v/>
      </c>
      <c r="L237" s="162"/>
      <c r="M237" s="41" t="s">
        <v>1763</v>
      </c>
      <c r="N237" s="94">
        <f>VLOOKUP(D237,A!B$1:L$1125,2,FALSE)</f>
        <v>0</v>
      </c>
      <c r="O237" s="94">
        <f>VLOOKUP(D237,A!B$1:L$1126,4,FALSE)</f>
        <v>0</v>
      </c>
      <c r="P237" s="10">
        <v>10</v>
      </c>
      <c r="Q237" s="10">
        <v>2.69</v>
      </c>
      <c r="R237" s="10">
        <f t="shared" ref="R237:R242" si="50">B237*P237</f>
        <v>0</v>
      </c>
      <c r="S237" s="10">
        <f t="shared" ref="S237:S241" si="51">R237*Q237</f>
        <v>0</v>
      </c>
      <c r="T237" s="29" t="s">
        <v>321</v>
      </c>
      <c r="U237" s="145">
        <v>0.33</v>
      </c>
      <c r="V237" s="10" t="str">
        <f>VLOOKUP(D237,A!B$1:T$1125,16,FALSE)</f>
        <v/>
      </c>
      <c r="W237" s="10">
        <f t="shared" ref="W237:W241" si="52">U237*B237</f>
        <v>0</v>
      </c>
      <c r="X237" s="29"/>
      <c r="Y237" s="29"/>
      <c r="Z237" s="29"/>
      <c r="AA237" s="29"/>
    </row>
    <row r="238" spans="1:77" s="3" customFormat="1" ht="12.75" hidden="1" customHeight="1" x14ac:dyDescent="0.25">
      <c r="A238" t="str">
        <f>IF(R238=0,"",COUNTIF(A$13:A237,"&gt;0")+1)</f>
        <v/>
      </c>
      <c r="B238" s="4"/>
      <c r="C238" s="5" t="s">
        <v>22</v>
      </c>
      <c r="D238" s="7" t="s">
        <v>1764</v>
      </c>
      <c r="E238" s="31"/>
      <c r="F238" s="31"/>
      <c r="G238" s="20" t="s">
        <v>26</v>
      </c>
      <c r="H238" s="7">
        <f>VLOOKUP(D238,A!B$1:L$1126,3,FALSE)</f>
        <v>0</v>
      </c>
      <c r="I238" s="31">
        <f>VLOOKUP(D238,A!B$1:L$1126,3,FALSE)</f>
        <v>0</v>
      </c>
      <c r="J238" s="92"/>
      <c r="K238" s="63" t="str">
        <f>VLOOKUP(D238,A!B$1:L$1126,6,FALSE)</f>
        <v/>
      </c>
      <c r="L238" s="162"/>
      <c r="M238" s="41" t="s">
        <v>1765</v>
      </c>
      <c r="N238" s="94">
        <f>VLOOKUP(D238,A!B$1:L$1125,2,FALSE)</f>
        <v>0</v>
      </c>
      <c r="O238" s="94">
        <f>VLOOKUP(D238,A!B$1:L$1126,4,FALSE)</f>
        <v>0</v>
      </c>
      <c r="P238" s="10">
        <v>10</v>
      </c>
      <c r="Q238" s="10">
        <v>2.69</v>
      </c>
      <c r="R238" s="10">
        <f t="shared" si="50"/>
        <v>0</v>
      </c>
      <c r="S238" s="10">
        <f t="shared" si="51"/>
        <v>0</v>
      </c>
      <c r="T238" s="29" t="s">
        <v>321</v>
      </c>
      <c r="U238" s="145">
        <v>0.33</v>
      </c>
      <c r="V238" s="10" t="str">
        <f>VLOOKUP(D238,A!B$1:T$1125,16,FALSE)</f>
        <v/>
      </c>
      <c r="W238" s="10">
        <f t="shared" si="52"/>
        <v>0</v>
      </c>
      <c r="X238" s="29"/>
      <c r="Y238" s="29"/>
      <c r="Z238" s="29"/>
      <c r="AA238" s="29"/>
    </row>
    <row r="239" spans="1:77" s="3" customFormat="1" ht="12.75" hidden="1" customHeight="1" x14ac:dyDescent="0.25">
      <c r="A239" t="str">
        <f>IF(R239=0,"",COUNTIF(A$13:A238,"&gt;0")+1)</f>
        <v/>
      </c>
      <c r="B239" s="4"/>
      <c r="C239" s="5" t="s">
        <v>22</v>
      </c>
      <c r="D239" s="7" t="s">
        <v>1766</v>
      </c>
      <c r="E239" s="31"/>
      <c r="F239" s="31"/>
      <c r="G239" s="6" t="s">
        <v>284</v>
      </c>
      <c r="H239" s="7">
        <f>VLOOKUP(D239,A!B$1:L$1126,3,FALSE)</f>
        <v>0</v>
      </c>
      <c r="I239" s="31">
        <f>VLOOKUP(D239,A!B$1:L$1126,3,FALSE)</f>
        <v>0</v>
      </c>
      <c r="J239" s="92"/>
      <c r="K239" s="63" t="str">
        <f>VLOOKUP(D239,A!B$1:L$1126,6,FALSE)</f>
        <v/>
      </c>
      <c r="L239" s="162"/>
      <c r="M239" s="41" t="s">
        <v>1767</v>
      </c>
      <c r="N239" s="94">
        <f>VLOOKUP(D239,A!B$1:L$1125,2,FALSE)</f>
        <v>0</v>
      </c>
      <c r="O239" s="94">
        <f>VLOOKUP(D239,A!B$1:L$1126,4,FALSE)</f>
        <v>0</v>
      </c>
      <c r="P239" s="10">
        <v>10</v>
      </c>
      <c r="Q239" s="10">
        <v>2.69</v>
      </c>
      <c r="R239" s="10">
        <f t="shared" si="50"/>
        <v>0</v>
      </c>
      <c r="S239" s="10">
        <f t="shared" si="51"/>
        <v>0</v>
      </c>
      <c r="T239" s="29" t="s">
        <v>321</v>
      </c>
      <c r="U239" s="145">
        <v>0.33</v>
      </c>
      <c r="V239" s="10" t="str">
        <f>VLOOKUP(D239,A!B$1:T$1125,16,FALSE)</f>
        <v/>
      </c>
      <c r="W239" s="10">
        <f t="shared" si="52"/>
        <v>0</v>
      </c>
      <c r="X239" s="29"/>
      <c r="Y239" s="29"/>
      <c r="Z239" s="29"/>
      <c r="AA239" s="29"/>
    </row>
    <row r="240" spans="1:77" s="3" customFormat="1" ht="13.5" customHeight="1" x14ac:dyDescent="0.25">
      <c r="A240" t="str">
        <f>IF(R240=0,"",COUNTIF(A$13:A239,"&gt;0")+1)</f>
        <v/>
      </c>
      <c r="B240" s="4"/>
      <c r="C240" s="5" t="s">
        <v>22</v>
      </c>
      <c r="D240" s="7" t="s">
        <v>283</v>
      </c>
      <c r="E240" s="31"/>
      <c r="F240" s="31"/>
      <c r="G240" s="6" t="s">
        <v>284</v>
      </c>
      <c r="H240" s="7">
        <f>VLOOKUP(D240,A!B$1:L$1126,3,FALSE)</f>
        <v>1</v>
      </c>
      <c r="I240" s="31">
        <f>VLOOKUP(D240,A!B$1:L$1126,3,FALSE)</f>
        <v>1</v>
      </c>
      <c r="J240" s="92"/>
      <c r="K240" s="63" t="str">
        <f>VLOOKUP(D240,A!B$1:L$1126,6,FALSE)</f>
        <v/>
      </c>
      <c r="L240" s="2"/>
      <c r="M240" s="41" t="s">
        <v>285</v>
      </c>
      <c r="N240" s="94" t="str">
        <f>VLOOKUP(D240,A!B$1:L$1125,2,FALSE)</f>
        <v>y</v>
      </c>
      <c r="O240" s="94">
        <f>VLOOKUP(D240,A!B$1:L$1126,4,FALSE)</f>
        <v>0</v>
      </c>
      <c r="P240" s="10">
        <v>10</v>
      </c>
      <c r="Q240" s="10">
        <v>2.69</v>
      </c>
      <c r="R240" s="10">
        <f t="shared" si="50"/>
        <v>0</v>
      </c>
      <c r="S240" s="10">
        <f t="shared" si="51"/>
        <v>0</v>
      </c>
      <c r="T240" s="29" t="s">
        <v>321</v>
      </c>
      <c r="U240" s="145">
        <v>0.33</v>
      </c>
      <c r="V240" s="10" t="str">
        <f>VLOOKUP(D240,A!B$1:T$1125,16,FALSE)</f>
        <v/>
      </c>
      <c r="W240" s="10">
        <f t="shared" si="52"/>
        <v>0</v>
      </c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</row>
    <row r="241" spans="1:67" s="3" customFormat="1" ht="12.75" hidden="1" customHeight="1" x14ac:dyDescent="0.25">
      <c r="A241" t="str">
        <f>IF(R241=0,"",COUNTIF(A$13:A240,"&gt;0")+1)</f>
        <v/>
      </c>
      <c r="B241" s="4"/>
      <c r="C241" s="5" t="s">
        <v>22</v>
      </c>
      <c r="D241" s="7" t="s">
        <v>1768</v>
      </c>
      <c r="E241" s="31"/>
      <c r="F241" s="31"/>
      <c r="G241" s="6" t="s">
        <v>284</v>
      </c>
      <c r="H241" s="7">
        <f>VLOOKUP(D241,A!B$1:L$1126,3,FALSE)</f>
        <v>0</v>
      </c>
      <c r="I241" s="31">
        <f>VLOOKUP(D241,A!B$1:L$1126,3,FALSE)</f>
        <v>0</v>
      </c>
      <c r="J241" s="92"/>
      <c r="K241" s="63" t="str">
        <f>VLOOKUP(D241,A!B$1:L$1126,6,FALSE)</f>
        <v/>
      </c>
      <c r="L241" s="162"/>
      <c r="M241" s="41" t="s">
        <v>1769</v>
      </c>
      <c r="N241" s="94">
        <f>VLOOKUP(D241,A!B$1:L$1125,2,FALSE)</f>
        <v>0</v>
      </c>
      <c r="O241" s="94">
        <f>VLOOKUP(D241,A!B$1:L$1126,4,FALSE)</f>
        <v>0</v>
      </c>
      <c r="P241" s="10">
        <v>10</v>
      </c>
      <c r="Q241" s="10">
        <v>2.69</v>
      </c>
      <c r="R241" s="10">
        <f t="shared" si="50"/>
        <v>0</v>
      </c>
      <c r="S241" s="10">
        <f t="shared" si="51"/>
        <v>0</v>
      </c>
      <c r="T241" s="29" t="s">
        <v>321</v>
      </c>
      <c r="U241" s="145">
        <v>0.33</v>
      </c>
      <c r="V241" s="10" t="str">
        <f>VLOOKUP(D241,A!B$1:T$1125,16,FALSE)</f>
        <v/>
      </c>
      <c r="W241" s="10">
        <f t="shared" si="52"/>
        <v>0</v>
      </c>
      <c r="X241" s="10"/>
      <c r="Y241" s="10"/>
      <c r="Z241" s="10"/>
      <c r="AA241" s="10"/>
      <c r="AB241" s="8"/>
      <c r="AC241" s="8"/>
      <c r="AD241" s="8"/>
      <c r="AE241" s="8"/>
      <c r="AF241" s="8"/>
    </row>
    <row r="242" spans="1:67" s="3" customFormat="1" ht="13.5" customHeight="1" x14ac:dyDescent="0.25">
      <c r="A242" t="str">
        <f>IF(R242=0,"",COUNTIF(A$13:A241,"&gt;0")+1)</f>
        <v/>
      </c>
      <c r="B242" s="82">
        <f>SUM(B13:B241)</f>
        <v>0</v>
      </c>
      <c r="C242" s="5" t="s">
        <v>22</v>
      </c>
      <c r="D242" s="24" t="s">
        <v>36</v>
      </c>
      <c r="E242" s="88" t="s">
        <v>4</v>
      </c>
      <c r="F242" s="96"/>
      <c r="G242" s="84"/>
      <c r="H242" s="84"/>
      <c r="I242" s="84"/>
      <c r="J242" s="84"/>
      <c r="K242" s="84"/>
      <c r="L242" s="84"/>
      <c r="M242" s="84"/>
      <c r="N242" s="94"/>
      <c r="O242" s="94"/>
      <c r="P242" s="10">
        <v>10</v>
      </c>
      <c r="Q242" s="151"/>
      <c r="R242" s="10">
        <f t="shared" si="50"/>
        <v>0</v>
      </c>
      <c r="S242" s="10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</row>
    <row r="243" spans="1:67" ht="15" customHeight="1" x14ac:dyDescent="0.25">
      <c r="A243" t="str">
        <f>IF(R243=0,"",COUNTIF(A$13:A242,"&gt;0")+1)</f>
        <v/>
      </c>
      <c r="N243" s="94"/>
      <c r="O243" s="94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  <c r="AT243" s="115"/>
      <c r="AU243" s="115"/>
      <c r="AV243" s="115"/>
      <c r="AW243" s="115"/>
      <c r="AX243" s="115"/>
      <c r="AY243" s="115"/>
      <c r="AZ243" s="115"/>
      <c r="BA243" s="115"/>
      <c r="BB243" s="115"/>
      <c r="BC243" s="115"/>
      <c r="BD243" s="115"/>
      <c r="BE243" s="115"/>
      <c r="BF243" s="115"/>
      <c r="BG243" s="115"/>
      <c r="BH243" s="115"/>
      <c r="BI243" s="115"/>
      <c r="BJ243" s="115"/>
      <c r="BK243" s="115"/>
      <c r="BL243" s="115"/>
      <c r="BM243" s="115"/>
      <c r="BN243" s="115"/>
      <c r="BO243" s="115"/>
    </row>
    <row r="244" spans="1:67" s="3" customFormat="1" ht="21" customHeight="1" x14ac:dyDescent="0.25">
      <c r="A244" t="str">
        <f>IF(R244=0,"",COUNTIF(A$13:A243,"&gt;0")+1)</f>
        <v/>
      </c>
      <c r="B244" s="234" t="s">
        <v>162</v>
      </c>
      <c r="C244" s="235"/>
      <c r="D244" s="235"/>
      <c r="E244" s="235"/>
      <c r="F244" s="235"/>
      <c r="G244" s="236"/>
      <c r="H244" s="123"/>
      <c r="I244" s="124"/>
      <c r="J244" s="137"/>
      <c r="K244" s="137"/>
      <c r="L244" s="137" t="s">
        <v>73</v>
      </c>
      <c r="M244" s="27">
        <v>3.25</v>
      </c>
      <c r="N244" s="94"/>
      <c r="O244" s="94"/>
      <c r="P244" s="30"/>
      <c r="Q244" s="30"/>
      <c r="R244" s="30"/>
      <c r="S244" s="10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</row>
    <row r="245" spans="1:67" s="3" customFormat="1" ht="12" customHeight="1" x14ac:dyDescent="0.25">
      <c r="A245" t="str">
        <f>IF(R245=0,"",COUNTIF(A$13:A244,"&gt;0")+1)</f>
        <v/>
      </c>
      <c r="B245" s="237" t="s">
        <v>18</v>
      </c>
      <c r="C245" s="238"/>
      <c r="D245" s="16" t="s">
        <v>19</v>
      </c>
      <c r="E245" s="86"/>
      <c r="F245" s="86"/>
      <c r="G245" s="17" t="s">
        <v>20</v>
      </c>
      <c r="H245" s="118"/>
      <c r="I245" s="117"/>
      <c r="J245" s="117"/>
      <c r="K245" s="122" t="s">
        <v>17</v>
      </c>
      <c r="L245" s="119">
        <v>5021353002225</v>
      </c>
      <c r="M245" s="121" t="s">
        <v>21</v>
      </c>
      <c r="N245" s="94"/>
      <c r="O245" s="94"/>
      <c r="P245" s="30"/>
      <c r="Q245" s="30"/>
      <c r="R245" s="30"/>
      <c r="S245" s="10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</row>
    <row r="246" spans="1:67" s="3" customFormat="1" ht="13.5" customHeight="1" x14ac:dyDescent="0.25">
      <c r="A246" t="str">
        <f>IF(R246=0,"",COUNTIF(A$13:A245,"&gt;0")+1)</f>
        <v/>
      </c>
      <c r="B246" s="4"/>
      <c r="C246" s="5" t="s">
        <v>22</v>
      </c>
      <c r="D246" s="7" t="s">
        <v>57</v>
      </c>
      <c r="E246" s="31"/>
      <c r="F246" s="31"/>
      <c r="G246" s="77" t="s">
        <v>61</v>
      </c>
      <c r="H246" s="7">
        <f>VLOOKUP(D246,A!B$1:L$1126,3,FALSE)</f>
        <v>1</v>
      </c>
      <c r="I246" s="31">
        <f>VLOOKUP(D246,A!B$1:L$1126,3,FALSE)</f>
        <v>1</v>
      </c>
      <c r="J246" s="92"/>
      <c r="K246" s="91" t="str">
        <f>VLOOKUP(D246,A!B$1:L$1126,6,FALSE)</f>
        <v/>
      </c>
      <c r="L246" s="31"/>
      <c r="M246" s="39" t="s">
        <v>60</v>
      </c>
      <c r="N246" s="94" t="str">
        <f>VLOOKUP(D246,A!B$1:L$1125,2,FALSE)</f>
        <v>y</v>
      </c>
      <c r="O246" s="94">
        <f>VLOOKUP(D246,A!B$1:L$1126,4,FALSE)</f>
        <v>0</v>
      </c>
      <c r="P246" s="10">
        <v>10</v>
      </c>
      <c r="Q246" s="10">
        <v>3.25</v>
      </c>
      <c r="R246" s="10">
        <f>B246*P246</f>
        <v>0</v>
      </c>
      <c r="S246" s="10">
        <f t="shared" ref="S246:S309" si="53">R246*Q246</f>
        <v>0</v>
      </c>
      <c r="T246" s="10" t="s">
        <v>162</v>
      </c>
      <c r="U246" s="145">
        <v>0.33</v>
      </c>
      <c r="V246" s="10" t="str">
        <f>VLOOKUP(D246,A!B$1:T$1125,16,FALSE)</f>
        <v/>
      </c>
      <c r="W246" s="10">
        <f t="shared" ref="W246:W309" si="54">U246*B246</f>
        <v>0</v>
      </c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</row>
    <row r="247" spans="1:67" s="3" customFormat="1" ht="13.5" hidden="1" customHeight="1" x14ac:dyDescent="0.25">
      <c r="A247" t="str">
        <f>IF(R247=0,"",COUNTIF(A$13:A246,"&gt;0")+1)</f>
        <v/>
      </c>
      <c r="B247" s="4"/>
      <c r="C247" s="5" t="s">
        <v>22</v>
      </c>
      <c r="D247" s="175" t="s">
        <v>774</v>
      </c>
      <c r="E247" s="176"/>
      <c r="F247" s="176"/>
      <c r="G247" s="21" t="s">
        <v>775</v>
      </c>
      <c r="H247" s="7">
        <f>VLOOKUP(D247,A!B$1:L$1126,3,FALSE)</f>
        <v>0</v>
      </c>
      <c r="I247" s="31">
        <f>VLOOKUP(D247,A!B$1:L$1126,3,FALSE)</f>
        <v>0</v>
      </c>
      <c r="J247" s="92"/>
      <c r="K247" s="91" t="str">
        <f>VLOOKUP(D247,A!B$1:L$1126,6,FALSE)</f>
        <v/>
      </c>
      <c r="L247" s="162"/>
      <c r="M247" s="41" t="s">
        <v>776</v>
      </c>
      <c r="N247" s="94">
        <f>VLOOKUP(D247,A!B$1:L$1125,2,FALSE)</f>
        <v>0</v>
      </c>
      <c r="O247" s="94">
        <f>VLOOKUP(D247,A!B$1:L$1126,4,FALSE)</f>
        <v>0</v>
      </c>
      <c r="P247" s="10">
        <v>10</v>
      </c>
      <c r="Q247" s="10">
        <v>3.25</v>
      </c>
      <c r="R247" s="10">
        <f t="shared" ref="R247:R310" si="55">B247*P247</f>
        <v>0</v>
      </c>
      <c r="S247" s="10">
        <f t="shared" si="53"/>
        <v>0</v>
      </c>
      <c r="T247" s="10" t="s">
        <v>162</v>
      </c>
      <c r="U247" s="145">
        <v>0.33</v>
      </c>
      <c r="V247" s="10" t="str">
        <f>VLOOKUP(D247,A!B$1:T$1125,16,FALSE)</f>
        <v/>
      </c>
      <c r="W247" s="10">
        <f t="shared" si="54"/>
        <v>0</v>
      </c>
      <c r="X247" s="29"/>
      <c r="Y247" s="29"/>
      <c r="Z247" s="29"/>
      <c r="AA247" s="29"/>
    </row>
    <row r="248" spans="1:67" s="3" customFormat="1" ht="13.5" hidden="1" customHeight="1" x14ac:dyDescent="0.25">
      <c r="A248" t="str">
        <f>IF(R248=0,"",COUNTIF(A$13:A247,"&gt;0")+1)</f>
        <v/>
      </c>
      <c r="B248" s="4"/>
      <c r="C248" s="5" t="s">
        <v>22</v>
      </c>
      <c r="D248" s="7" t="s">
        <v>777</v>
      </c>
      <c r="E248" s="31"/>
      <c r="F248" s="31"/>
      <c r="G248" s="21" t="s">
        <v>778</v>
      </c>
      <c r="H248" s="7">
        <f>VLOOKUP(D248,A!B$1:L$1126,3,FALSE)</f>
        <v>0</v>
      </c>
      <c r="I248" s="31">
        <f>VLOOKUP(D248,A!B$1:L$1126,3,FALSE)</f>
        <v>0</v>
      </c>
      <c r="J248" s="92"/>
      <c r="K248" s="91" t="str">
        <f>VLOOKUP(D248,A!B$1:L$1126,6,FALSE)</f>
        <v/>
      </c>
      <c r="L248" s="162"/>
      <c r="M248" s="41" t="s">
        <v>779</v>
      </c>
      <c r="N248" s="94">
        <f>VLOOKUP(D248,A!B$1:L$1125,2,FALSE)</f>
        <v>0</v>
      </c>
      <c r="O248" s="94">
        <f>VLOOKUP(D248,A!B$1:L$1126,4,FALSE)</f>
        <v>0</v>
      </c>
      <c r="P248" s="10">
        <v>10</v>
      </c>
      <c r="Q248" s="10">
        <v>3.25</v>
      </c>
      <c r="R248" s="10">
        <f t="shared" si="55"/>
        <v>0</v>
      </c>
      <c r="S248" s="10">
        <f t="shared" si="53"/>
        <v>0</v>
      </c>
      <c r="T248" s="10" t="s">
        <v>162</v>
      </c>
      <c r="U248" s="145">
        <v>0.33</v>
      </c>
      <c r="V248" s="10" t="str">
        <f>VLOOKUP(D248,A!B$1:T$1125,16,FALSE)</f>
        <v/>
      </c>
      <c r="W248" s="10">
        <f t="shared" si="54"/>
        <v>0</v>
      </c>
      <c r="X248" s="29"/>
      <c r="Y248" s="29"/>
      <c r="Z248" s="29"/>
      <c r="AA248" s="29"/>
    </row>
    <row r="249" spans="1:67" s="3" customFormat="1" ht="13.5" hidden="1" customHeight="1" x14ac:dyDescent="0.25">
      <c r="A249" t="str">
        <f>IF(R249=0,"",COUNTIF(A$13:A248,"&gt;0")+1)</f>
        <v/>
      </c>
      <c r="B249" s="4"/>
      <c r="C249" s="5" t="s">
        <v>22</v>
      </c>
      <c r="D249" s="7" t="s">
        <v>780</v>
      </c>
      <c r="E249" s="31"/>
      <c r="F249" s="31"/>
      <c r="G249" s="21" t="s">
        <v>781</v>
      </c>
      <c r="H249" s="7">
        <f>VLOOKUP(D249,A!B$1:L$1126,3,FALSE)</f>
        <v>0</v>
      </c>
      <c r="I249" s="31">
        <f>VLOOKUP(D249,A!B$1:L$1126,3,FALSE)</f>
        <v>0</v>
      </c>
      <c r="J249" s="92"/>
      <c r="K249" s="91" t="str">
        <f>VLOOKUP(D249,A!B$1:L$1126,6,FALSE)</f>
        <v/>
      </c>
      <c r="L249" s="162"/>
      <c r="M249" s="43" t="s">
        <v>782</v>
      </c>
      <c r="N249" s="94">
        <f>VLOOKUP(D249,A!B$1:L$1125,2,FALSE)</f>
        <v>0</v>
      </c>
      <c r="O249" s="94">
        <f>VLOOKUP(D249,A!B$1:L$1126,4,FALSE)</f>
        <v>0</v>
      </c>
      <c r="P249" s="10">
        <v>10</v>
      </c>
      <c r="Q249" s="10">
        <v>3.25</v>
      </c>
      <c r="R249" s="10">
        <f t="shared" si="55"/>
        <v>0</v>
      </c>
      <c r="S249" s="10">
        <f t="shared" si="53"/>
        <v>0</v>
      </c>
      <c r="T249" s="10" t="s">
        <v>162</v>
      </c>
      <c r="U249" s="145">
        <v>0.33</v>
      </c>
      <c r="V249" s="10" t="str">
        <f>VLOOKUP(D249,A!B$1:T$1125,16,FALSE)</f>
        <v/>
      </c>
      <c r="W249" s="10">
        <f t="shared" si="54"/>
        <v>0</v>
      </c>
      <c r="X249" s="29"/>
      <c r="Y249" s="29"/>
      <c r="Z249" s="29"/>
      <c r="AA249" s="29"/>
    </row>
    <row r="250" spans="1:67" s="3" customFormat="1" ht="13.5" hidden="1" customHeight="1" x14ac:dyDescent="0.25">
      <c r="A250" t="str">
        <f>IF(R250=0,"",COUNTIF(A$13:A249,"&gt;0")+1)</f>
        <v/>
      </c>
      <c r="B250" s="4"/>
      <c r="C250" s="5" t="s">
        <v>22</v>
      </c>
      <c r="D250" s="7" t="s">
        <v>783</v>
      </c>
      <c r="E250" s="31"/>
      <c r="F250" s="31"/>
      <c r="G250" s="21" t="s">
        <v>784</v>
      </c>
      <c r="H250" s="7">
        <f>VLOOKUP(D250,A!B$1:L$1126,3,FALSE)</f>
        <v>0</v>
      </c>
      <c r="I250" s="31">
        <f>VLOOKUP(D250,A!B$1:L$1126,3,FALSE)</f>
        <v>0</v>
      </c>
      <c r="J250" s="92"/>
      <c r="K250" s="91" t="str">
        <f>VLOOKUP(D250,A!B$1:L$1126,6,FALSE)</f>
        <v/>
      </c>
      <c r="L250" s="162"/>
      <c r="M250" s="41" t="s">
        <v>785</v>
      </c>
      <c r="N250" s="94">
        <f>VLOOKUP(D250,A!B$1:L$1125,2,FALSE)</f>
        <v>0</v>
      </c>
      <c r="O250" s="94">
        <f>VLOOKUP(D250,A!B$1:L$1126,4,FALSE)</f>
        <v>0</v>
      </c>
      <c r="P250" s="10">
        <v>10</v>
      </c>
      <c r="Q250" s="10">
        <v>3.25</v>
      </c>
      <c r="R250" s="10">
        <f t="shared" si="55"/>
        <v>0</v>
      </c>
      <c r="S250" s="10">
        <f t="shared" si="53"/>
        <v>0</v>
      </c>
      <c r="T250" s="10" t="s">
        <v>162</v>
      </c>
      <c r="U250" s="145">
        <v>0.33</v>
      </c>
      <c r="V250" s="10" t="str">
        <f>VLOOKUP(D250,A!B$1:T$1125,16,FALSE)</f>
        <v/>
      </c>
      <c r="W250" s="10">
        <f t="shared" si="54"/>
        <v>0</v>
      </c>
      <c r="X250" s="29"/>
      <c r="Y250" s="29"/>
      <c r="Z250" s="29"/>
      <c r="AA250" s="29"/>
    </row>
    <row r="251" spans="1:67" s="3" customFormat="1" ht="13.5" hidden="1" customHeight="1" x14ac:dyDescent="0.25">
      <c r="A251" t="str">
        <f>IF(R251=0,"",COUNTIF(A$13:A250,"&gt;0")+1)</f>
        <v/>
      </c>
      <c r="B251" s="4"/>
      <c r="C251" s="5" t="s">
        <v>22</v>
      </c>
      <c r="D251" s="7" t="s">
        <v>786</v>
      </c>
      <c r="E251" s="31"/>
      <c r="F251" s="31"/>
      <c r="G251" s="21" t="s">
        <v>784</v>
      </c>
      <c r="H251" s="7">
        <f>VLOOKUP(D251,A!B$1:L$1126,3,FALSE)</f>
        <v>0</v>
      </c>
      <c r="I251" s="31">
        <f>VLOOKUP(D251,A!B$1:L$1126,3,FALSE)</f>
        <v>0</v>
      </c>
      <c r="J251" s="92"/>
      <c r="K251" s="91" t="str">
        <f>VLOOKUP(D251,A!B$1:L$1126,6,FALSE)</f>
        <v/>
      </c>
      <c r="L251" s="162"/>
      <c r="M251" s="43" t="s">
        <v>787</v>
      </c>
      <c r="N251" s="94">
        <f>VLOOKUP(D251,A!B$1:L$1125,2,FALSE)</f>
        <v>0</v>
      </c>
      <c r="O251" s="94">
        <f>VLOOKUP(D251,A!B$1:L$1126,4,FALSE)</f>
        <v>0</v>
      </c>
      <c r="P251" s="10">
        <v>10</v>
      </c>
      <c r="Q251" s="10">
        <v>3.25</v>
      </c>
      <c r="R251" s="10">
        <f t="shared" si="55"/>
        <v>0</v>
      </c>
      <c r="S251" s="10">
        <f t="shared" si="53"/>
        <v>0</v>
      </c>
      <c r="T251" s="10" t="s">
        <v>162</v>
      </c>
      <c r="U251" s="145">
        <v>0.33</v>
      </c>
      <c r="V251" s="10" t="str">
        <f>VLOOKUP(D251,A!B$1:T$1125,16,FALSE)</f>
        <v/>
      </c>
      <c r="W251" s="10">
        <f t="shared" si="54"/>
        <v>0</v>
      </c>
      <c r="X251" s="29"/>
      <c r="Y251" s="29"/>
      <c r="Z251" s="29"/>
      <c r="AA251" s="29"/>
    </row>
    <row r="252" spans="1:67" s="3" customFormat="1" ht="13.5" hidden="1" customHeight="1" x14ac:dyDescent="0.25">
      <c r="A252" t="str">
        <f>IF(R252=0,"",COUNTIF(A$13:A251,"&gt;0")+1)</f>
        <v/>
      </c>
      <c r="B252" s="4"/>
      <c r="C252" s="5" t="s">
        <v>22</v>
      </c>
      <c r="D252" s="7" t="s">
        <v>788</v>
      </c>
      <c r="E252" s="31"/>
      <c r="F252" s="31"/>
      <c r="G252" s="6" t="s">
        <v>784</v>
      </c>
      <c r="H252" s="7">
        <f>VLOOKUP(D252,A!B$1:L$1126,3,FALSE)</f>
        <v>0</v>
      </c>
      <c r="I252" s="31">
        <f>VLOOKUP(D252,A!B$1:L$1126,3,FALSE)</f>
        <v>0</v>
      </c>
      <c r="J252" s="92"/>
      <c r="K252" s="91" t="str">
        <f>VLOOKUP(D252,A!B$1:L$1126,6,FALSE)</f>
        <v/>
      </c>
      <c r="L252" s="162"/>
      <c r="M252" s="43" t="s">
        <v>789</v>
      </c>
      <c r="N252" s="94">
        <f>VLOOKUP(D252,A!B$1:L$1125,2,FALSE)</f>
        <v>0</v>
      </c>
      <c r="O252" s="94">
        <f>VLOOKUP(D252,A!B$1:L$1126,4,FALSE)</f>
        <v>0</v>
      </c>
      <c r="P252" s="10">
        <v>10</v>
      </c>
      <c r="Q252" s="10">
        <v>3.25</v>
      </c>
      <c r="R252" s="10">
        <f t="shared" si="55"/>
        <v>0</v>
      </c>
      <c r="S252" s="10">
        <f t="shared" si="53"/>
        <v>0</v>
      </c>
      <c r="T252" s="10" t="s">
        <v>162</v>
      </c>
      <c r="U252" s="145">
        <v>0.33</v>
      </c>
      <c r="V252" s="10" t="str">
        <f>VLOOKUP(D252,A!B$1:T$1125,16,FALSE)</f>
        <v/>
      </c>
      <c r="W252" s="10">
        <f t="shared" si="54"/>
        <v>0</v>
      </c>
      <c r="X252" s="29"/>
      <c r="Y252" s="29"/>
      <c r="Z252" s="29"/>
      <c r="AA252" s="29"/>
    </row>
    <row r="253" spans="1:67" s="3" customFormat="1" ht="13.5" hidden="1" customHeight="1" x14ac:dyDescent="0.25">
      <c r="A253" t="str">
        <f>IF(R253=0,"",COUNTIF(A$13:A252,"&gt;0")+1)</f>
        <v/>
      </c>
      <c r="B253" s="4"/>
      <c r="C253" s="5" t="s">
        <v>22</v>
      </c>
      <c r="D253" s="7" t="s">
        <v>790</v>
      </c>
      <c r="E253" s="31"/>
      <c r="F253" s="31"/>
      <c r="G253" s="6" t="s">
        <v>784</v>
      </c>
      <c r="H253" s="7">
        <f>VLOOKUP(D253,A!B$1:L$1126,3,FALSE)</f>
        <v>0</v>
      </c>
      <c r="I253" s="31">
        <f>VLOOKUP(D253,A!B$1:L$1126,3,FALSE)</f>
        <v>0</v>
      </c>
      <c r="J253" s="92"/>
      <c r="K253" s="91" t="str">
        <f>VLOOKUP(D253,A!B$1:L$1126,6,FALSE)</f>
        <v/>
      </c>
      <c r="L253" s="162"/>
      <c r="M253" s="43" t="s">
        <v>791</v>
      </c>
      <c r="N253" s="94">
        <f>VLOOKUP(D253,A!B$1:L$1125,2,FALSE)</f>
        <v>0</v>
      </c>
      <c r="O253" s="94">
        <f>VLOOKUP(D253,A!B$1:L$1126,4,FALSE)</f>
        <v>0</v>
      </c>
      <c r="P253" s="10">
        <v>10</v>
      </c>
      <c r="Q253" s="10">
        <v>3.25</v>
      </c>
      <c r="R253" s="10">
        <f t="shared" si="55"/>
        <v>0</v>
      </c>
      <c r="S253" s="10">
        <f t="shared" si="53"/>
        <v>0</v>
      </c>
      <c r="T253" s="10" t="s">
        <v>162</v>
      </c>
      <c r="U253" s="145">
        <v>0.33</v>
      </c>
      <c r="V253" s="10" t="str">
        <f>VLOOKUP(D253,A!B$1:T$1125,16,FALSE)</f>
        <v/>
      </c>
      <c r="W253" s="10">
        <f t="shared" si="54"/>
        <v>0</v>
      </c>
      <c r="X253" s="29"/>
      <c r="Y253" s="29"/>
      <c r="Z253" s="29"/>
      <c r="AA253" s="29"/>
    </row>
    <row r="254" spans="1:67" s="3" customFormat="1" ht="13.5" hidden="1" customHeight="1" x14ac:dyDescent="0.25">
      <c r="A254" t="str">
        <f>IF(R254=0,"",COUNTIF(A$13:A253,"&gt;0")+1)</f>
        <v/>
      </c>
      <c r="B254" s="4"/>
      <c r="C254" s="5" t="s">
        <v>22</v>
      </c>
      <c r="D254" s="7" t="s">
        <v>792</v>
      </c>
      <c r="E254" s="31"/>
      <c r="F254" s="31"/>
      <c r="G254" s="6" t="s">
        <v>784</v>
      </c>
      <c r="H254" s="7">
        <f>VLOOKUP(D254,A!B$1:L$1126,3,FALSE)</f>
        <v>0</v>
      </c>
      <c r="I254" s="31">
        <f>VLOOKUP(D254,A!B$1:L$1126,3,FALSE)</f>
        <v>0</v>
      </c>
      <c r="J254" s="92"/>
      <c r="K254" s="91" t="str">
        <f>VLOOKUP(D254,A!B$1:L$1126,6,FALSE)</f>
        <v/>
      </c>
      <c r="L254" s="162"/>
      <c r="M254" s="43" t="s">
        <v>793</v>
      </c>
      <c r="N254" s="94">
        <f>VLOOKUP(D254,A!B$1:L$1125,2,FALSE)</f>
        <v>0</v>
      </c>
      <c r="O254" s="94">
        <f>VLOOKUP(D254,A!B$1:L$1126,4,FALSE)</f>
        <v>0</v>
      </c>
      <c r="P254" s="10">
        <v>10</v>
      </c>
      <c r="Q254" s="10">
        <v>3.25</v>
      </c>
      <c r="R254" s="10">
        <f t="shared" si="55"/>
        <v>0</v>
      </c>
      <c r="S254" s="10">
        <f t="shared" si="53"/>
        <v>0</v>
      </c>
      <c r="T254" s="10" t="s">
        <v>162</v>
      </c>
      <c r="U254" s="145">
        <v>0.33</v>
      </c>
      <c r="V254" s="10" t="str">
        <f>VLOOKUP(D254,A!B$1:T$1125,16,FALSE)</f>
        <v/>
      </c>
      <c r="W254" s="10">
        <f t="shared" si="54"/>
        <v>0</v>
      </c>
      <c r="X254" s="29"/>
      <c r="Y254" s="29"/>
      <c r="Z254" s="29"/>
      <c r="AA254" s="29"/>
    </row>
    <row r="255" spans="1:67" s="3" customFormat="1" ht="13.5" hidden="1" customHeight="1" x14ac:dyDescent="0.25">
      <c r="A255" t="str">
        <f>IF(R255=0,"",COUNTIF(A$13:A254,"&gt;0")+1)</f>
        <v/>
      </c>
      <c r="B255" s="4"/>
      <c r="C255" s="5" t="s">
        <v>22</v>
      </c>
      <c r="D255" s="7" t="s">
        <v>794</v>
      </c>
      <c r="E255" s="31"/>
      <c r="F255" s="31"/>
      <c r="G255" s="6" t="s">
        <v>784</v>
      </c>
      <c r="H255" s="7">
        <f>VLOOKUP(D255,A!B$1:L$1126,3,FALSE)</f>
        <v>0</v>
      </c>
      <c r="I255" s="31">
        <f>VLOOKUP(D255,A!B$1:L$1126,3,FALSE)</f>
        <v>0</v>
      </c>
      <c r="J255" s="92"/>
      <c r="K255" s="91" t="str">
        <f>VLOOKUP(D255,A!B$1:L$1126,6,FALSE)</f>
        <v/>
      </c>
      <c r="L255" s="162"/>
      <c r="M255" s="43" t="s">
        <v>787</v>
      </c>
      <c r="N255" s="94">
        <f>VLOOKUP(D255,A!B$1:L$1125,2,FALSE)</f>
        <v>0</v>
      </c>
      <c r="O255" s="94">
        <f>VLOOKUP(D255,A!B$1:L$1126,4,FALSE)</f>
        <v>0</v>
      </c>
      <c r="P255" s="10">
        <v>10</v>
      </c>
      <c r="Q255" s="10">
        <v>3.25</v>
      </c>
      <c r="R255" s="10">
        <f t="shared" si="55"/>
        <v>0</v>
      </c>
      <c r="S255" s="10">
        <f t="shared" si="53"/>
        <v>0</v>
      </c>
      <c r="T255" s="10" t="s">
        <v>162</v>
      </c>
      <c r="U255" s="145">
        <v>0.33</v>
      </c>
      <c r="V255" s="10" t="str">
        <f>VLOOKUP(D255,A!B$1:T$1125,16,FALSE)</f>
        <v/>
      </c>
      <c r="W255" s="10">
        <f t="shared" si="54"/>
        <v>0</v>
      </c>
      <c r="X255" s="29"/>
      <c r="Y255" s="29"/>
      <c r="Z255" s="29"/>
      <c r="AA255" s="29"/>
    </row>
    <row r="256" spans="1:67" s="3" customFormat="1" ht="13.5" hidden="1" customHeight="1" x14ac:dyDescent="0.25">
      <c r="A256" t="str">
        <f>IF(R256=0,"",COUNTIF(A$13:A255,"&gt;0")+1)</f>
        <v/>
      </c>
      <c r="B256" s="4"/>
      <c r="C256" s="5" t="s">
        <v>22</v>
      </c>
      <c r="D256" s="7" t="s">
        <v>795</v>
      </c>
      <c r="E256" s="31"/>
      <c r="F256" s="31"/>
      <c r="G256" s="6" t="s">
        <v>784</v>
      </c>
      <c r="H256" s="7">
        <f>VLOOKUP(D256,A!B$1:L$1126,3,FALSE)</f>
        <v>0</v>
      </c>
      <c r="I256" s="31">
        <f>VLOOKUP(D256,A!B$1:L$1126,3,FALSE)</f>
        <v>0</v>
      </c>
      <c r="J256" s="92"/>
      <c r="K256" s="91" t="str">
        <f>VLOOKUP(D256,A!B$1:L$1126,6,FALSE)</f>
        <v/>
      </c>
      <c r="L256" s="162"/>
      <c r="M256" s="42" t="s">
        <v>796</v>
      </c>
      <c r="N256" s="94">
        <f>VLOOKUP(D256,A!B$1:L$1125,2,FALSE)</f>
        <v>0</v>
      </c>
      <c r="O256" s="94">
        <f>VLOOKUP(D256,A!B$1:L$1126,4,FALSE)</f>
        <v>0</v>
      </c>
      <c r="P256" s="10">
        <v>10</v>
      </c>
      <c r="Q256" s="10">
        <v>3.25</v>
      </c>
      <c r="R256" s="10">
        <f t="shared" si="55"/>
        <v>0</v>
      </c>
      <c r="S256" s="10">
        <f t="shared" si="53"/>
        <v>0</v>
      </c>
      <c r="T256" s="10" t="s">
        <v>162</v>
      </c>
      <c r="U256" s="145">
        <v>0.33</v>
      </c>
      <c r="V256" s="10" t="str">
        <f>VLOOKUP(D256,A!B$1:T$1125,16,FALSE)</f>
        <v/>
      </c>
      <c r="W256" s="10">
        <f t="shared" si="54"/>
        <v>0</v>
      </c>
      <c r="X256" s="29"/>
      <c r="Y256" s="29"/>
      <c r="Z256" s="29"/>
      <c r="AA256" s="29"/>
    </row>
    <row r="257" spans="1:27" s="3" customFormat="1" ht="13.5" hidden="1" customHeight="1" x14ac:dyDescent="0.25">
      <c r="A257" t="str">
        <f>IF(R257=0,"",COUNTIF(A$13:A256,"&gt;0")+1)</f>
        <v/>
      </c>
      <c r="B257" s="4"/>
      <c r="C257" s="5" t="s">
        <v>22</v>
      </c>
      <c r="D257" s="7" t="s">
        <v>797</v>
      </c>
      <c r="E257" s="31"/>
      <c r="F257" s="31"/>
      <c r="G257" s="6" t="s">
        <v>784</v>
      </c>
      <c r="H257" s="7">
        <f>VLOOKUP(D257,A!B$1:L$1126,3,FALSE)</f>
        <v>0</v>
      </c>
      <c r="I257" s="31">
        <f>VLOOKUP(D257,A!B$1:L$1126,3,FALSE)</f>
        <v>0</v>
      </c>
      <c r="J257" s="92"/>
      <c r="K257" s="91" t="str">
        <f>VLOOKUP(D257,A!B$1:L$1126,6,FALSE)</f>
        <v/>
      </c>
      <c r="L257" s="162"/>
      <c r="M257" s="43" t="s">
        <v>798</v>
      </c>
      <c r="N257" s="94">
        <f>VLOOKUP(D257,A!B$1:L$1125,2,FALSE)</f>
        <v>0</v>
      </c>
      <c r="O257" s="94">
        <f>VLOOKUP(D257,A!B$1:L$1126,4,FALSE)</f>
        <v>0</v>
      </c>
      <c r="P257" s="10">
        <v>10</v>
      </c>
      <c r="Q257" s="10">
        <v>3.25</v>
      </c>
      <c r="R257" s="10">
        <f t="shared" si="55"/>
        <v>0</v>
      </c>
      <c r="S257" s="10">
        <f t="shared" si="53"/>
        <v>0</v>
      </c>
      <c r="T257" s="10" t="s">
        <v>162</v>
      </c>
      <c r="U257" s="145">
        <v>0.33</v>
      </c>
      <c r="V257" s="10" t="str">
        <f>VLOOKUP(D257,A!B$1:T$1125,16,FALSE)</f>
        <v/>
      </c>
      <c r="W257" s="10">
        <f t="shared" si="54"/>
        <v>0</v>
      </c>
      <c r="X257" s="29"/>
      <c r="Y257" s="29"/>
      <c r="Z257" s="29"/>
      <c r="AA257" s="29"/>
    </row>
    <row r="258" spans="1:27" s="3" customFormat="1" ht="13.5" hidden="1" customHeight="1" x14ac:dyDescent="0.25">
      <c r="A258" t="str">
        <f>IF(R258=0,"",COUNTIF(A$13:A257,"&gt;0")+1)</f>
        <v/>
      </c>
      <c r="B258" s="4"/>
      <c r="C258" s="5" t="s">
        <v>22</v>
      </c>
      <c r="D258" s="7" t="s">
        <v>799</v>
      </c>
      <c r="E258" s="31"/>
      <c r="F258" s="31"/>
      <c r="G258" s="6" t="s">
        <v>784</v>
      </c>
      <c r="H258" s="7">
        <f>VLOOKUP(D258,A!B$1:L$1126,3,FALSE)</f>
        <v>0</v>
      </c>
      <c r="I258" s="31">
        <f>VLOOKUP(D258,A!B$1:L$1126,3,FALSE)</f>
        <v>0</v>
      </c>
      <c r="J258" s="92"/>
      <c r="K258" s="91" t="str">
        <f>VLOOKUP(D258,A!B$1:L$1126,6,FALSE)</f>
        <v/>
      </c>
      <c r="L258" s="162"/>
      <c r="M258" s="43" t="s">
        <v>800</v>
      </c>
      <c r="N258" s="94">
        <f>VLOOKUP(D258,A!B$1:L$1125,2,FALSE)</f>
        <v>0</v>
      </c>
      <c r="O258" s="94">
        <f>VLOOKUP(D258,A!B$1:L$1126,4,FALSE)</f>
        <v>0</v>
      </c>
      <c r="P258" s="10">
        <v>10</v>
      </c>
      <c r="Q258" s="10">
        <v>3.25</v>
      </c>
      <c r="R258" s="10">
        <f t="shared" si="55"/>
        <v>0</v>
      </c>
      <c r="S258" s="10">
        <f t="shared" si="53"/>
        <v>0</v>
      </c>
      <c r="T258" s="10" t="s">
        <v>162</v>
      </c>
      <c r="U258" s="145">
        <v>0.33</v>
      </c>
      <c r="V258" s="10" t="str">
        <f>VLOOKUP(D258,A!B$1:T$1125,16,FALSE)</f>
        <v/>
      </c>
      <c r="W258" s="10">
        <f t="shared" si="54"/>
        <v>0</v>
      </c>
      <c r="X258" s="29"/>
      <c r="Y258" s="29"/>
      <c r="Z258" s="29"/>
      <c r="AA258" s="29"/>
    </row>
    <row r="259" spans="1:27" s="3" customFormat="1" ht="13.5" hidden="1" customHeight="1" x14ac:dyDescent="0.25">
      <c r="A259" t="str">
        <f>IF(R259=0,"",COUNTIF(A$13:A258,"&gt;0")+1)</f>
        <v/>
      </c>
      <c r="B259" s="4"/>
      <c r="C259" s="5" t="s">
        <v>22</v>
      </c>
      <c r="D259" s="7" t="s">
        <v>801</v>
      </c>
      <c r="E259" s="31"/>
      <c r="F259" s="31"/>
      <c r="G259" s="6" t="s">
        <v>784</v>
      </c>
      <c r="H259" s="7">
        <f>VLOOKUP(D259,A!B$1:L$1126,3,FALSE)</f>
        <v>0</v>
      </c>
      <c r="I259" s="31">
        <f>VLOOKUP(D259,A!B$1:L$1126,3,FALSE)</f>
        <v>0</v>
      </c>
      <c r="J259" s="92"/>
      <c r="K259" s="91" t="str">
        <f>VLOOKUP(D259,A!B$1:L$1126,6,FALSE)</f>
        <v/>
      </c>
      <c r="L259" s="162"/>
      <c r="M259" s="43" t="s">
        <v>802</v>
      </c>
      <c r="N259" s="94">
        <f>VLOOKUP(D259,A!B$1:L$1125,2,FALSE)</f>
        <v>0</v>
      </c>
      <c r="O259" s="94">
        <f>VLOOKUP(D259,A!B$1:L$1126,4,FALSE)</f>
        <v>0</v>
      </c>
      <c r="P259" s="10">
        <v>10</v>
      </c>
      <c r="Q259" s="10">
        <v>3.25</v>
      </c>
      <c r="R259" s="10">
        <f t="shared" si="55"/>
        <v>0</v>
      </c>
      <c r="S259" s="10">
        <f t="shared" si="53"/>
        <v>0</v>
      </c>
      <c r="T259" s="10" t="s">
        <v>162</v>
      </c>
      <c r="U259" s="145">
        <v>0.33</v>
      </c>
      <c r="V259" s="10" t="str">
        <f>VLOOKUP(D259,A!B$1:T$1125,16,FALSE)</f>
        <v/>
      </c>
      <c r="W259" s="10">
        <f t="shared" si="54"/>
        <v>0</v>
      </c>
      <c r="X259" s="29"/>
      <c r="Y259" s="29"/>
      <c r="Z259" s="29"/>
      <c r="AA259" s="29"/>
    </row>
    <row r="260" spans="1:27" s="3" customFormat="1" ht="13.5" hidden="1" customHeight="1" x14ac:dyDescent="0.25">
      <c r="A260" t="str">
        <f>IF(R260=0,"",COUNTIF(A$13:A259,"&gt;0")+1)</f>
        <v/>
      </c>
      <c r="B260" s="4"/>
      <c r="C260" s="5" t="s">
        <v>22</v>
      </c>
      <c r="D260" s="7" t="s">
        <v>803</v>
      </c>
      <c r="E260" s="31"/>
      <c r="F260" s="31"/>
      <c r="G260" s="6" t="s">
        <v>784</v>
      </c>
      <c r="H260" s="7">
        <f>VLOOKUP(D260,A!B$1:L$1126,3,FALSE)</f>
        <v>0</v>
      </c>
      <c r="I260" s="31">
        <f>VLOOKUP(D260,A!B$1:L$1126,3,FALSE)</f>
        <v>0</v>
      </c>
      <c r="J260" s="92"/>
      <c r="K260" s="91" t="str">
        <f>VLOOKUP(D260,A!B$1:L$1126,6,FALSE)</f>
        <v/>
      </c>
      <c r="L260" s="162"/>
      <c r="M260" s="42" t="s">
        <v>804</v>
      </c>
      <c r="N260" s="94">
        <f>VLOOKUP(D260,A!B$1:L$1125,2,FALSE)</f>
        <v>0</v>
      </c>
      <c r="O260" s="94">
        <f>VLOOKUP(D260,A!B$1:L$1126,4,FALSE)</f>
        <v>0</v>
      </c>
      <c r="P260" s="10">
        <v>10</v>
      </c>
      <c r="Q260" s="10">
        <v>3.25</v>
      </c>
      <c r="R260" s="10">
        <f t="shared" si="55"/>
        <v>0</v>
      </c>
      <c r="S260" s="10">
        <f t="shared" si="53"/>
        <v>0</v>
      </c>
      <c r="T260" s="10" t="s">
        <v>162</v>
      </c>
      <c r="U260" s="145">
        <v>0.33</v>
      </c>
      <c r="V260" s="10" t="str">
        <f>VLOOKUP(D260,A!B$1:T$1125,16,FALSE)</f>
        <v/>
      </c>
      <c r="W260" s="10">
        <f t="shared" si="54"/>
        <v>0</v>
      </c>
      <c r="X260" s="29"/>
      <c r="Y260" s="29"/>
      <c r="Z260" s="29"/>
      <c r="AA260" s="29"/>
    </row>
    <row r="261" spans="1:27" s="3" customFormat="1" ht="13.5" hidden="1" customHeight="1" x14ac:dyDescent="0.25">
      <c r="A261" t="str">
        <f>IF(R261=0,"",COUNTIF(A$13:A260,"&gt;0")+1)</f>
        <v/>
      </c>
      <c r="B261" s="4"/>
      <c r="C261" s="5" t="s">
        <v>22</v>
      </c>
      <c r="D261" s="7" t="s">
        <v>805</v>
      </c>
      <c r="E261" s="31"/>
      <c r="F261" s="31"/>
      <c r="G261" s="6" t="s">
        <v>784</v>
      </c>
      <c r="H261" s="7">
        <f>VLOOKUP(D261,A!B$1:L$1126,3,FALSE)</f>
        <v>0</v>
      </c>
      <c r="I261" s="31">
        <f>VLOOKUP(D261,A!B$1:L$1126,3,FALSE)</f>
        <v>0</v>
      </c>
      <c r="J261" s="92"/>
      <c r="K261" s="91" t="str">
        <f>VLOOKUP(D261,A!B$1:L$1126,6,FALSE)</f>
        <v/>
      </c>
      <c r="L261" s="162"/>
      <c r="M261" s="41" t="s">
        <v>802</v>
      </c>
      <c r="N261" s="94">
        <f>VLOOKUP(D261,A!B$1:L$1125,2,FALSE)</f>
        <v>0</v>
      </c>
      <c r="O261" s="94">
        <f>VLOOKUP(D261,A!B$1:L$1126,4,FALSE)</f>
        <v>0</v>
      </c>
      <c r="P261" s="10">
        <v>10</v>
      </c>
      <c r="Q261" s="10">
        <v>3.25</v>
      </c>
      <c r="R261" s="10">
        <f t="shared" si="55"/>
        <v>0</v>
      </c>
      <c r="S261" s="10">
        <f t="shared" si="53"/>
        <v>0</v>
      </c>
      <c r="T261" s="10" t="s">
        <v>162</v>
      </c>
      <c r="U261" s="145">
        <v>0.33</v>
      </c>
      <c r="V261" s="10" t="str">
        <f>VLOOKUP(D261,A!B$1:T$1125,16,FALSE)</f>
        <v/>
      </c>
      <c r="W261" s="10">
        <f t="shared" si="54"/>
        <v>0</v>
      </c>
      <c r="X261" s="29"/>
      <c r="Y261" s="29"/>
      <c r="Z261" s="29"/>
      <c r="AA261" s="29"/>
    </row>
    <row r="262" spans="1:27" s="3" customFormat="1" ht="13.5" hidden="1" customHeight="1" x14ac:dyDescent="0.25">
      <c r="A262" t="str">
        <f>IF(R262=0,"",COUNTIF(A$13:A261,"&gt;0")+1)</f>
        <v/>
      </c>
      <c r="B262" s="4"/>
      <c r="C262" s="5" t="s">
        <v>22</v>
      </c>
      <c r="D262" s="7" t="s">
        <v>806</v>
      </c>
      <c r="E262" s="31"/>
      <c r="F262" s="31"/>
      <c r="G262" s="6" t="s">
        <v>784</v>
      </c>
      <c r="H262" s="7">
        <f>VLOOKUP(D262,A!B$1:L$1126,3,FALSE)</f>
        <v>0</v>
      </c>
      <c r="I262" s="31">
        <f>VLOOKUP(D262,A!B$1:L$1126,3,FALSE)</f>
        <v>0</v>
      </c>
      <c r="J262" s="92"/>
      <c r="K262" s="91" t="str">
        <f>VLOOKUP(D262,A!B$1:L$1126,6,FALSE)</f>
        <v/>
      </c>
      <c r="L262" s="162"/>
      <c r="M262" s="41" t="s">
        <v>807</v>
      </c>
      <c r="N262" s="94">
        <f>VLOOKUP(D262,A!B$1:L$1125,2,FALSE)</f>
        <v>0</v>
      </c>
      <c r="O262" s="94">
        <f>VLOOKUP(D262,A!B$1:L$1126,4,FALSE)</f>
        <v>0</v>
      </c>
      <c r="P262" s="10">
        <v>10</v>
      </c>
      <c r="Q262" s="10">
        <v>3.25</v>
      </c>
      <c r="R262" s="10">
        <f t="shared" si="55"/>
        <v>0</v>
      </c>
      <c r="S262" s="10">
        <f t="shared" si="53"/>
        <v>0</v>
      </c>
      <c r="T262" s="10" t="s">
        <v>162</v>
      </c>
      <c r="U262" s="145">
        <v>0.33</v>
      </c>
      <c r="V262" s="10" t="str">
        <f>VLOOKUP(D262,A!B$1:T$1125,16,FALSE)</f>
        <v/>
      </c>
      <c r="W262" s="10">
        <f t="shared" si="54"/>
        <v>0</v>
      </c>
      <c r="X262" s="29"/>
      <c r="Y262" s="29"/>
      <c r="Z262" s="29"/>
      <c r="AA262" s="29"/>
    </row>
    <row r="263" spans="1:27" s="3" customFormat="1" ht="13.5" hidden="1" customHeight="1" x14ac:dyDescent="0.25">
      <c r="A263" t="str">
        <f>IF(R263=0,"",COUNTIF(A$13:A262,"&gt;0")+1)</f>
        <v/>
      </c>
      <c r="B263" s="4"/>
      <c r="C263" s="5" t="s">
        <v>22</v>
      </c>
      <c r="D263" s="7" t="s">
        <v>808</v>
      </c>
      <c r="E263" s="31"/>
      <c r="F263" s="31"/>
      <c r="G263" s="6" t="s">
        <v>784</v>
      </c>
      <c r="H263" s="7">
        <f>VLOOKUP(D263,A!B$1:L$1126,3,FALSE)</f>
        <v>0</v>
      </c>
      <c r="I263" s="31">
        <f>VLOOKUP(D263,A!B$1:L$1126,3,FALSE)</f>
        <v>0</v>
      </c>
      <c r="J263" s="92"/>
      <c r="K263" s="91" t="str">
        <f>VLOOKUP(D263,A!B$1:L$1126,6,FALSE)</f>
        <v/>
      </c>
      <c r="L263" s="162"/>
      <c r="M263" s="41" t="s">
        <v>809</v>
      </c>
      <c r="N263" s="94">
        <f>VLOOKUP(D263,A!B$1:L$1125,2,FALSE)</f>
        <v>0</v>
      </c>
      <c r="O263" s="94">
        <f>VLOOKUP(D263,A!B$1:L$1126,4,FALSE)</f>
        <v>0</v>
      </c>
      <c r="P263" s="10">
        <v>10</v>
      </c>
      <c r="Q263" s="10">
        <v>3.25</v>
      </c>
      <c r="R263" s="10">
        <f t="shared" si="55"/>
        <v>0</v>
      </c>
      <c r="S263" s="10">
        <f t="shared" si="53"/>
        <v>0</v>
      </c>
      <c r="T263" s="10" t="s">
        <v>162</v>
      </c>
      <c r="U263" s="145">
        <v>0.33</v>
      </c>
      <c r="V263" s="10" t="str">
        <f>VLOOKUP(D263,A!B$1:T$1125,16,FALSE)</f>
        <v/>
      </c>
      <c r="W263" s="10">
        <f t="shared" si="54"/>
        <v>0</v>
      </c>
      <c r="X263" s="29"/>
      <c r="Y263" s="29"/>
      <c r="Z263" s="29"/>
      <c r="AA263" s="29"/>
    </row>
    <row r="264" spans="1:27" s="3" customFormat="1" ht="13.5" hidden="1" customHeight="1" x14ac:dyDescent="0.25">
      <c r="A264" t="str">
        <f>IF(R264=0,"",COUNTIF(A$13:A263,"&gt;0")+1)</f>
        <v/>
      </c>
      <c r="B264" s="4"/>
      <c r="C264" s="5" t="s">
        <v>22</v>
      </c>
      <c r="D264" s="7" t="s">
        <v>810</v>
      </c>
      <c r="E264" s="31"/>
      <c r="F264" s="31"/>
      <c r="G264" s="6" t="s">
        <v>784</v>
      </c>
      <c r="H264" s="7">
        <f>VLOOKUP(D264,A!B$1:L$1126,3,FALSE)</f>
        <v>0</v>
      </c>
      <c r="I264" s="31">
        <f>VLOOKUP(D264,A!B$1:L$1126,3,FALSE)</f>
        <v>0</v>
      </c>
      <c r="J264" s="92"/>
      <c r="K264" s="91" t="str">
        <f>VLOOKUP(D264,A!B$1:L$1126,6,FALSE)</f>
        <v/>
      </c>
      <c r="L264" s="162"/>
      <c r="M264" s="41" t="s">
        <v>811</v>
      </c>
      <c r="N264" s="94">
        <f>VLOOKUP(D264,A!B$1:L$1125,2,FALSE)</f>
        <v>0</v>
      </c>
      <c r="O264" s="94">
        <f>VLOOKUP(D264,A!B$1:L$1126,4,FALSE)</f>
        <v>0</v>
      </c>
      <c r="P264" s="10">
        <v>10</v>
      </c>
      <c r="Q264" s="10">
        <v>3.25</v>
      </c>
      <c r="R264" s="10">
        <f t="shared" si="55"/>
        <v>0</v>
      </c>
      <c r="S264" s="10">
        <f t="shared" si="53"/>
        <v>0</v>
      </c>
      <c r="T264" s="10" t="s">
        <v>162</v>
      </c>
      <c r="U264" s="145">
        <v>0.33</v>
      </c>
      <c r="V264" s="10" t="str">
        <f>VLOOKUP(D264,A!B$1:T$1125,16,FALSE)</f>
        <v/>
      </c>
      <c r="W264" s="10">
        <f t="shared" si="54"/>
        <v>0</v>
      </c>
      <c r="X264" s="29"/>
      <c r="Y264" s="29"/>
      <c r="Z264" s="29"/>
      <c r="AA264" s="29"/>
    </row>
    <row r="265" spans="1:27" s="3" customFormat="1" ht="13.5" hidden="1" customHeight="1" x14ac:dyDescent="0.25">
      <c r="A265" t="str">
        <f>IF(R265=0,"",COUNTIF(A$13:A264,"&gt;0")+1)</f>
        <v/>
      </c>
      <c r="B265" s="4"/>
      <c r="C265" s="5" t="s">
        <v>22</v>
      </c>
      <c r="D265" s="7" t="s">
        <v>812</v>
      </c>
      <c r="E265" s="31"/>
      <c r="F265" s="31"/>
      <c r="G265" s="6" t="s">
        <v>784</v>
      </c>
      <c r="H265" s="7">
        <f>VLOOKUP(D265,A!B$1:L$1126,3,FALSE)</f>
        <v>0</v>
      </c>
      <c r="I265" s="31">
        <f>VLOOKUP(D265,A!B$1:L$1126,3,FALSE)</f>
        <v>0</v>
      </c>
      <c r="J265" s="92"/>
      <c r="K265" s="91" t="str">
        <f>VLOOKUP(D265,A!B$1:L$1126,6,FALSE)</f>
        <v/>
      </c>
      <c r="L265" s="162"/>
      <c r="M265" s="41" t="s">
        <v>813</v>
      </c>
      <c r="N265" s="94">
        <f>VLOOKUP(D265,A!B$1:L$1125,2,FALSE)</f>
        <v>0</v>
      </c>
      <c r="O265" s="94">
        <f>VLOOKUP(D265,A!B$1:L$1126,4,FALSE)</f>
        <v>0</v>
      </c>
      <c r="P265" s="10">
        <v>10</v>
      </c>
      <c r="Q265" s="10">
        <v>3.25</v>
      </c>
      <c r="R265" s="10">
        <f t="shared" si="55"/>
        <v>0</v>
      </c>
      <c r="S265" s="10">
        <f t="shared" si="53"/>
        <v>0</v>
      </c>
      <c r="T265" s="10" t="s">
        <v>162</v>
      </c>
      <c r="U265" s="145">
        <v>0.33</v>
      </c>
      <c r="V265" s="10" t="str">
        <f>VLOOKUP(D265,A!B$1:T$1125,16,FALSE)</f>
        <v/>
      </c>
      <c r="W265" s="10">
        <f t="shared" si="54"/>
        <v>0</v>
      </c>
      <c r="X265" s="29"/>
      <c r="Y265" s="29"/>
      <c r="Z265" s="29"/>
      <c r="AA265" s="29"/>
    </row>
    <row r="266" spans="1:27" s="3" customFormat="1" ht="13.5" hidden="1" customHeight="1" x14ac:dyDescent="0.25">
      <c r="A266" t="str">
        <f>IF(R266=0,"",COUNTIF(A$13:A265,"&gt;0")+1)</f>
        <v/>
      </c>
      <c r="B266" s="4"/>
      <c r="C266" s="5" t="s">
        <v>22</v>
      </c>
      <c r="D266" s="7" t="s">
        <v>814</v>
      </c>
      <c r="E266" s="31"/>
      <c r="F266" s="31"/>
      <c r="G266" s="6" t="s">
        <v>784</v>
      </c>
      <c r="H266" s="7">
        <f>VLOOKUP(D266,A!B$1:L$1126,3,FALSE)</f>
        <v>0</v>
      </c>
      <c r="I266" s="31">
        <f>VLOOKUP(D266,A!B$1:L$1126,3,FALSE)</f>
        <v>0</v>
      </c>
      <c r="J266" s="92"/>
      <c r="K266" s="91" t="str">
        <f>VLOOKUP(D266,A!B$1:L$1126,6,FALSE)</f>
        <v/>
      </c>
      <c r="L266" s="162"/>
      <c r="M266" s="41" t="s">
        <v>815</v>
      </c>
      <c r="N266" s="94">
        <f>VLOOKUP(D266,A!B$1:L$1125,2,FALSE)</f>
        <v>0</v>
      </c>
      <c r="O266" s="94">
        <f>VLOOKUP(D266,A!B$1:L$1126,4,FALSE)</f>
        <v>0</v>
      </c>
      <c r="P266" s="10">
        <v>10</v>
      </c>
      <c r="Q266" s="10">
        <v>3.25</v>
      </c>
      <c r="R266" s="10">
        <f t="shared" si="55"/>
        <v>0</v>
      </c>
      <c r="S266" s="10">
        <f t="shared" si="53"/>
        <v>0</v>
      </c>
      <c r="T266" s="10" t="s">
        <v>162</v>
      </c>
      <c r="U266" s="145">
        <v>0.33</v>
      </c>
      <c r="V266" s="10" t="str">
        <f>VLOOKUP(D266,A!B$1:T$1125,16,FALSE)</f>
        <v/>
      </c>
      <c r="W266" s="10">
        <f t="shared" si="54"/>
        <v>0</v>
      </c>
      <c r="X266" s="29"/>
      <c r="Y266" s="29"/>
      <c r="Z266" s="29"/>
      <c r="AA266" s="29"/>
    </row>
    <row r="267" spans="1:27" s="3" customFormat="1" ht="13.5" hidden="1" customHeight="1" x14ac:dyDescent="0.25">
      <c r="A267" t="str">
        <f>IF(R267=0,"",COUNTIF(A$13:A266,"&gt;0")+1)</f>
        <v/>
      </c>
      <c r="B267" s="4"/>
      <c r="C267" s="5" t="s">
        <v>22</v>
      </c>
      <c r="D267" s="7" t="s">
        <v>816</v>
      </c>
      <c r="E267" s="31"/>
      <c r="F267" s="31"/>
      <c r="G267" s="6" t="s">
        <v>784</v>
      </c>
      <c r="H267" s="7">
        <f>VLOOKUP(D267,A!B$1:L$1126,3,FALSE)</f>
        <v>0</v>
      </c>
      <c r="I267" s="31">
        <f>VLOOKUP(D267,A!B$1:L$1126,3,FALSE)</f>
        <v>0</v>
      </c>
      <c r="J267" s="92"/>
      <c r="K267" s="91" t="str">
        <f>VLOOKUP(D267,A!B$1:L$1126,6,FALSE)</f>
        <v/>
      </c>
      <c r="L267" s="162"/>
      <c r="M267" s="41" t="s">
        <v>817</v>
      </c>
      <c r="N267" s="94">
        <f>VLOOKUP(D267,A!B$1:L$1125,2,FALSE)</f>
        <v>0</v>
      </c>
      <c r="O267" s="94">
        <f>VLOOKUP(D267,A!B$1:L$1126,4,FALSE)</f>
        <v>0</v>
      </c>
      <c r="P267" s="10">
        <v>10</v>
      </c>
      <c r="Q267" s="10">
        <v>3.25</v>
      </c>
      <c r="R267" s="10">
        <f t="shared" si="55"/>
        <v>0</v>
      </c>
      <c r="S267" s="10">
        <f t="shared" si="53"/>
        <v>0</v>
      </c>
      <c r="T267" s="10" t="s">
        <v>162</v>
      </c>
      <c r="U267" s="145">
        <v>0.33</v>
      </c>
      <c r="V267" s="10" t="str">
        <f>VLOOKUP(D267,A!B$1:T$1125,16,FALSE)</f>
        <v/>
      </c>
      <c r="W267" s="10">
        <f t="shared" si="54"/>
        <v>0</v>
      </c>
      <c r="X267" s="29"/>
      <c r="Y267" s="29"/>
      <c r="Z267" s="29"/>
      <c r="AA267" s="29"/>
    </row>
    <row r="268" spans="1:27" s="3" customFormat="1" ht="13.5" hidden="1" customHeight="1" x14ac:dyDescent="0.25">
      <c r="A268" t="str">
        <f>IF(R268=0,"",COUNTIF(A$13:A267,"&gt;0")+1)</f>
        <v/>
      </c>
      <c r="B268" s="4"/>
      <c r="C268" s="5" t="s">
        <v>22</v>
      </c>
      <c r="D268" s="7" t="s">
        <v>818</v>
      </c>
      <c r="E268" s="31"/>
      <c r="F268" s="31"/>
      <c r="G268" s="6" t="s">
        <v>784</v>
      </c>
      <c r="H268" s="7">
        <f>VLOOKUP(D268,A!B$1:L$1126,3,FALSE)</f>
        <v>0</v>
      </c>
      <c r="I268" s="31">
        <f>VLOOKUP(D268,A!B$1:L$1126,3,FALSE)</f>
        <v>0</v>
      </c>
      <c r="J268" s="92"/>
      <c r="K268" s="91" t="str">
        <f>VLOOKUP(D268,A!B$1:L$1126,6,FALSE)</f>
        <v/>
      </c>
      <c r="L268" s="162"/>
      <c r="M268" s="41" t="s">
        <v>819</v>
      </c>
      <c r="N268" s="94">
        <f>VLOOKUP(D268,A!B$1:L$1125,2,FALSE)</f>
        <v>0</v>
      </c>
      <c r="O268" s="94">
        <f>VLOOKUP(D268,A!B$1:L$1126,4,FALSE)</f>
        <v>0</v>
      </c>
      <c r="P268" s="10">
        <v>10</v>
      </c>
      <c r="Q268" s="10">
        <v>3.25</v>
      </c>
      <c r="R268" s="10">
        <f t="shared" si="55"/>
        <v>0</v>
      </c>
      <c r="S268" s="10">
        <f t="shared" si="53"/>
        <v>0</v>
      </c>
      <c r="T268" s="10" t="s">
        <v>162</v>
      </c>
      <c r="U268" s="145">
        <v>0.33</v>
      </c>
      <c r="V268" s="10" t="str">
        <f>VLOOKUP(D268,A!B$1:T$1125,16,FALSE)</f>
        <v/>
      </c>
      <c r="W268" s="10">
        <f t="shared" si="54"/>
        <v>0</v>
      </c>
      <c r="X268" s="29"/>
      <c r="Y268" s="29"/>
      <c r="Z268" s="29"/>
      <c r="AA268" s="29"/>
    </row>
    <row r="269" spans="1:27" s="3" customFormat="1" ht="13.5" hidden="1" customHeight="1" x14ac:dyDescent="0.25">
      <c r="A269" t="str">
        <f>IF(R269=0,"",COUNTIF(A$13:A268,"&gt;0")+1)</f>
        <v/>
      </c>
      <c r="B269" s="4"/>
      <c r="C269" s="5" t="s">
        <v>22</v>
      </c>
      <c r="D269" s="7" t="s">
        <v>820</v>
      </c>
      <c r="E269" s="31"/>
      <c r="F269" s="31"/>
      <c r="G269" s="6" t="s">
        <v>784</v>
      </c>
      <c r="H269" s="7">
        <f>VLOOKUP(D269,A!B$1:L$1126,3,FALSE)</f>
        <v>0</v>
      </c>
      <c r="I269" s="31">
        <f>VLOOKUP(D269,A!B$1:L$1126,3,FALSE)</f>
        <v>0</v>
      </c>
      <c r="J269" s="92"/>
      <c r="K269" s="91" t="str">
        <f>VLOOKUP(D269,A!B$1:L$1126,6,FALSE)</f>
        <v/>
      </c>
      <c r="L269" s="162"/>
      <c r="M269" s="41" t="s">
        <v>821</v>
      </c>
      <c r="N269" s="94">
        <f>VLOOKUP(D269,A!B$1:L$1125,2,FALSE)</f>
        <v>0</v>
      </c>
      <c r="O269" s="94">
        <f>VLOOKUP(D269,A!B$1:L$1126,4,FALSE)</f>
        <v>0</v>
      </c>
      <c r="P269" s="10">
        <v>10</v>
      </c>
      <c r="Q269" s="10">
        <v>3.25</v>
      </c>
      <c r="R269" s="10">
        <f t="shared" si="55"/>
        <v>0</v>
      </c>
      <c r="S269" s="10">
        <f t="shared" si="53"/>
        <v>0</v>
      </c>
      <c r="T269" s="10" t="s">
        <v>162</v>
      </c>
      <c r="U269" s="145">
        <v>0.33</v>
      </c>
      <c r="V269" s="10" t="str">
        <f>VLOOKUP(D269,A!B$1:T$1125,16,FALSE)</f>
        <v/>
      </c>
      <c r="W269" s="10">
        <f t="shared" si="54"/>
        <v>0</v>
      </c>
      <c r="X269" s="29"/>
      <c r="Y269" s="29"/>
      <c r="Z269" s="29"/>
      <c r="AA269" s="29"/>
    </row>
    <row r="270" spans="1:27" s="3" customFormat="1" ht="13.5" hidden="1" customHeight="1" x14ac:dyDescent="0.25">
      <c r="A270" t="str">
        <f>IF(R270=0,"",COUNTIF(A$13:A269,"&gt;0")+1)</f>
        <v/>
      </c>
      <c r="B270" s="4"/>
      <c r="C270" s="5" t="s">
        <v>22</v>
      </c>
      <c r="D270" s="7" t="s">
        <v>822</v>
      </c>
      <c r="E270" s="31"/>
      <c r="F270" s="31"/>
      <c r="G270" s="6" t="s">
        <v>784</v>
      </c>
      <c r="H270" s="7">
        <f>VLOOKUP(D270,A!B$1:L$1126,3,FALSE)</f>
        <v>0</v>
      </c>
      <c r="I270" s="31">
        <f>VLOOKUP(D270,A!B$1:L$1126,3,FALSE)</f>
        <v>0</v>
      </c>
      <c r="J270" s="92"/>
      <c r="K270" s="91" t="str">
        <f>VLOOKUP(D270,A!B$1:L$1126,6,FALSE)</f>
        <v/>
      </c>
      <c r="L270" s="162"/>
      <c r="M270" s="41" t="s">
        <v>823</v>
      </c>
      <c r="N270" s="94">
        <f>VLOOKUP(D270,A!B$1:L$1125,2,FALSE)</f>
        <v>0</v>
      </c>
      <c r="O270" s="94">
        <f>VLOOKUP(D270,A!B$1:L$1126,4,FALSE)</f>
        <v>0</v>
      </c>
      <c r="P270" s="10">
        <v>10</v>
      </c>
      <c r="Q270" s="10">
        <v>3.25</v>
      </c>
      <c r="R270" s="10">
        <f t="shared" si="55"/>
        <v>0</v>
      </c>
      <c r="S270" s="10">
        <f t="shared" si="53"/>
        <v>0</v>
      </c>
      <c r="T270" s="10" t="s">
        <v>162</v>
      </c>
      <c r="U270" s="145">
        <v>0.33</v>
      </c>
      <c r="V270" s="10" t="str">
        <f>VLOOKUP(D270,A!B$1:T$1125,16,FALSE)</f>
        <v/>
      </c>
      <c r="W270" s="10">
        <f t="shared" si="54"/>
        <v>0</v>
      </c>
      <c r="X270" s="29"/>
      <c r="Y270" s="29"/>
      <c r="Z270" s="29"/>
      <c r="AA270" s="29"/>
    </row>
    <row r="271" spans="1:27" s="3" customFormat="1" ht="13.5" hidden="1" customHeight="1" x14ac:dyDescent="0.25">
      <c r="A271" t="str">
        <f>IF(R271=0,"",COUNTIF(A$13:A270,"&gt;0")+1)</f>
        <v/>
      </c>
      <c r="B271" s="4"/>
      <c r="C271" s="5" t="s">
        <v>22</v>
      </c>
      <c r="D271" s="7" t="s">
        <v>824</v>
      </c>
      <c r="E271" s="31"/>
      <c r="F271" s="31"/>
      <c r="G271" s="6" t="s">
        <v>784</v>
      </c>
      <c r="H271" s="7">
        <f>VLOOKUP(D271,A!B$1:L$1126,3,FALSE)</f>
        <v>0</v>
      </c>
      <c r="I271" s="31">
        <f>VLOOKUP(D271,A!B$1:L$1126,3,FALSE)</f>
        <v>0</v>
      </c>
      <c r="J271" s="92"/>
      <c r="K271" s="91" t="str">
        <f>VLOOKUP(D271,A!B$1:L$1126,6,FALSE)</f>
        <v/>
      </c>
      <c r="L271" s="162"/>
      <c r="M271" s="41" t="s">
        <v>825</v>
      </c>
      <c r="N271" s="94">
        <f>VLOOKUP(D271,A!B$1:L$1125,2,FALSE)</f>
        <v>0</v>
      </c>
      <c r="O271" s="94">
        <f>VLOOKUP(D271,A!B$1:L$1126,4,FALSE)</f>
        <v>0</v>
      </c>
      <c r="P271" s="10">
        <v>10</v>
      </c>
      <c r="Q271" s="10">
        <v>3.25</v>
      </c>
      <c r="R271" s="10">
        <f t="shared" si="55"/>
        <v>0</v>
      </c>
      <c r="S271" s="10">
        <f t="shared" si="53"/>
        <v>0</v>
      </c>
      <c r="T271" s="10" t="s">
        <v>162</v>
      </c>
      <c r="U271" s="145">
        <v>0.33</v>
      </c>
      <c r="V271" s="10" t="str">
        <f>VLOOKUP(D271,A!B$1:T$1125,16,FALSE)</f>
        <v/>
      </c>
      <c r="W271" s="10">
        <f t="shared" si="54"/>
        <v>0</v>
      </c>
      <c r="X271" s="29"/>
      <c r="Y271" s="29"/>
      <c r="Z271" s="29"/>
      <c r="AA271" s="29"/>
    </row>
    <row r="272" spans="1:27" s="3" customFormat="1" ht="13.5" hidden="1" customHeight="1" x14ac:dyDescent="0.25">
      <c r="A272" t="str">
        <f>IF(R272=0,"",COUNTIF(A$13:A271,"&gt;0")+1)</f>
        <v/>
      </c>
      <c r="B272" s="4"/>
      <c r="C272" s="5" t="s">
        <v>22</v>
      </c>
      <c r="D272" s="7" t="s">
        <v>826</v>
      </c>
      <c r="E272" s="31"/>
      <c r="F272" s="31"/>
      <c r="G272" s="6" t="s">
        <v>784</v>
      </c>
      <c r="H272" s="7">
        <f>VLOOKUP(D272,A!B$1:L$1126,3,FALSE)</f>
        <v>0</v>
      </c>
      <c r="I272" s="31">
        <f>VLOOKUP(D272,A!B$1:L$1126,3,FALSE)</f>
        <v>0</v>
      </c>
      <c r="J272" s="92"/>
      <c r="K272" s="91" t="str">
        <f>VLOOKUP(D272,A!B$1:L$1126,6,FALSE)</f>
        <v/>
      </c>
      <c r="L272" s="162"/>
      <c r="M272" s="41" t="s">
        <v>827</v>
      </c>
      <c r="N272" s="94">
        <f>VLOOKUP(D272,A!B$1:L$1125,2,FALSE)</f>
        <v>0</v>
      </c>
      <c r="O272" s="94">
        <f>VLOOKUP(D272,A!B$1:L$1126,4,FALSE)</f>
        <v>0</v>
      </c>
      <c r="P272" s="10">
        <v>10</v>
      </c>
      <c r="Q272" s="10">
        <v>3.25</v>
      </c>
      <c r="R272" s="10">
        <f t="shared" si="55"/>
        <v>0</v>
      </c>
      <c r="S272" s="10">
        <f t="shared" si="53"/>
        <v>0</v>
      </c>
      <c r="T272" s="10" t="s">
        <v>162</v>
      </c>
      <c r="U272" s="145">
        <v>0.33</v>
      </c>
      <c r="V272" s="10" t="str">
        <f>VLOOKUP(D272,A!B$1:T$1125,16,FALSE)</f>
        <v/>
      </c>
      <c r="W272" s="10">
        <f t="shared" si="54"/>
        <v>0</v>
      </c>
      <c r="X272" s="29"/>
      <c r="Y272" s="29"/>
      <c r="Z272" s="29"/>
      <c r="AA272" s="29"/>
    </row>
    <row r="273" spans="1:27" s="3" customFormat="1" ht="13.5" hidden="1" customHeight="1" x14ac:dyDescent="0.25">
      <c r="A273" t="str">
        <f>IF(R273=0,"",COUNTIF(A$13:A272,"&gt;0")+1)</f>
        <v/>
      </c>
      <c r="B273" s="4"/>
      <c r="C273" s="5" t="s">
        <v>22</v>
      </c>
      <c r="D273" s="7" t="s">
        <v>828</v>
      </c>
      <c r="E273" s="31"/>
      <c r="F273" s="31"/>
      <c r="G273" s="6" t="s">
        <v>784</v>
      </c>
      <c r="H273" s="7">
        <f>VLOOKUP(D273,A!B$1:L$1126,3,FALSE)</f>
        <v>0</v>
      </c>
      <c r="I273" s="31">
        <f>VLOOKUP(D273,A!B$1:L$1126,3,FALSE)</f>
        <v>0</v>
      </c>
      <c r="J273" s="92"/>
      <c r="K273" s="91" t="str">
        <f>VLOOKUP(D273,A!B$1:L$1126,6,FALSE)</f>
        <v/>
      </c>
      <c r="L273" s="162"/>
      <c r="M273" s="41" t="s">
        <v>829</v>
      </c>
      <c r="N273" s="94">
        <f>VLOOKUP(D273,A!B$1:L$1125,2,FALSE)</f>
        <v>0</v>
      </c>
      <c r="O273" s="94">
        <f>VLOOKUP(D273,A!B$1:L$1126,4,FALSE)</f>
        <v>0</v>
      </c>
      <c r="P273" s="10">
        <v>10</v>
      </c>
      <c r="Q273" s="10">
        <v>3.25</v>
      </c>
      <c r="R273" s="10">
        <f t="shared" si="55"/>
        <v>0</v>
      </c>
      <c r="S273" s="10">
        <f t="shared" si="53"/>
        <v>0</v>
      </c>
      <c r="T273" s="10" t="s">
        <v>162</v>
      </c>
      <c r="U273" s="145">
        <v>0.33</v>
      </c>
      <c r="V273" s="10" t="str">
        <f>VLOOKUP(D273,A!B$1:T$1125,16,FALSE)</f>
        <v/>
      </c>
      <c r="W273" s="10">
        <f t="shared" si="54"/>
        <v>0</v>
      </c>
      <c r="X273" s="29"/>
      <c r="Y273" s="29"/>
      <c r="Z273" s="29"/>
      <c r="AA273" s="29"/>
    </row>
    <row r="274" spans="1:27" s="3" customFormat="1" ht="13.5" hidden="1" customHeight="1" x14ac:dyDescent="0.25">
      <c r="A274" t="str">
        <f>IF(R274=0,"",COUNTIF(A$13:A273,"&gt;0")+1)</f>
        <v/>
      </c>
      <c r="B274" s="4"/>
      <c r="C274" s="5" t="s">
        <v>22</v>
      </c>
      <c r="D274" s="7" t="s">
        <v>830</v>
      </c>
      <c r="E274" s="31"/>
      <c r="F274" s="31"/>
      <c r="G274" s="6" t="s">
        <v>784</v>
      </c>
      <c r="H274" s="7">
        <f>VLOOKUP(D274,A!B$1:L$1126,3,FALSE)</f>
        <v>0</v>
      </c>
      <c r="I274" s="31">
        <f>VLOOKUP(D274,A!B$1:L$1126,3,FALSE)</f>
        <v>0</v>
      </c>
      <c r="J274" s="92"/>
      <c r="K274" s="91" t="str">
        <f>VLOOKUP(D274,A!B$1:L$1126,6,FALSE)</f>
        <v/>
      </c>
      <c r="L274" s="162"/>
      <c r="M274" s="41" t="s">
        <v>831</v>
      </c>
      <c r="N274" s="94">
        <f>VLOOKUP(D274,A!B$1:L$1125,2,FALSE)</f>
        <v>0</v>
      </c>
      <c r="O274" s="94">
        <f>VLOOKUP(D274,A!B$1:L$1126,4,FALSE)</f>
        <v>0</v>
      </c>
      <c r="P274" s="10">
        <v>10</v>
      </c>
      <c r="Q274" s="10">
        <v>3.25</v>
      </c>
      <c r="R274" s="10">
        <f t="shared" si="55"/>
        <v>0</v>
      </c>
      <c r="S274" s="10">
        <f t="shared" si="53"/>
        <v>0</v>
      </c>
      <c r="T274" s="10" t="s">
        <v>162</v>
      </c>
      <c r="U274" s="145">
        <v>0.33</v>
      </c>
      <c r="V274" s="10" t="str">
        <f>VLOOKUP(D274,A!B$1:T$1125,16,FALSE)</f>
        <v/>
      </c>
      <c r="W274" s="10">
        <f t="shared" si="54"/>
        <v>0</v>
      </c>
      <c r="X274" s="29"/>
      <c r="Y274" s="29"/>
      <c r="Z274" s="29"/>
      <c r="AA274" s="29"/>
    </row>
    <row r="275" spans="1:27" s="3" customFormat="1" ht="13.5" hidden="1" customHeight="1" x14ac:dyDescent="0.25">
      <c r="A275" t="str">
        <f>IF(R275=0,"",COUNTIF(A$13:A274,"&gt;0")+1)</f>
        <v/>
      </c>
      <c r="B275" s="4"/>
      <c r="C275" s="5" t="s">
        <v>22</v>
      </c>
      <c r="D275" s="7" t="s">
        <v>832</v>
      </c>
      <c r="E275" s="31"/>
      <c r="F275" s="31"/>
      <c r="G275" s="6" t="s">
        <v>784</v>
      </c>
      <c r="H275" s="7">
        <f>VLOOKUP(D275,A!B$1:L$1126,3,FALSE)</f>
        <v>0</v>
      </c>
      <c r="I275" s="31">
        <f>VLOOKUP(D275,A!B$1:L$1126,3,FALSE)</f>
        <v>0</v>
      </c>
      <c r="J275" s="92"/>
      <c r="K275" s="91" t="str">
        <f>VLOOKUP(D275,A!B$1:L$1126,6,FALSE)</f>
        <v/>
      </c>
      <c r="L275" s="162"/>
      <c r="M275" s="41" t="s">
        <v>833</v>
      </c>
      <c r="N275" s="94">
        <f>VLOOKUP(D275,A!B$1:L$1125,2,FALSE)</f>
        <v>0</v>
      </c>
      <c r="O275" s="94">
        <f>VLOOKUP(D275,A!B$1:L$1126,4,FALSE)</f>
        <v>0</v>
      </c>
      <c r="P275" s="10">
        <v>10</v>
      </c>
      <c r="Q275" s="10">
        <v>3.25</v>
      </c>
      <c r="R275" s="10">
        <f t="shared" si="55"/>
        <v>0</v>
      </c>
      <c r="S275" s="10">
        <f t="shared" si="53"/>
        <v>0</v>
      </c>
      <c r="T275" s="10" t="s">
        <v>162</v>
      </c>
      <c r="U275" s="145">
        <v>0.33</v>
      </c>
      <c r="V275" s="10" t="str">
        <f>VLOOKUP(D275,A!B$1:T$1125,16,FALSE)</f>
        <v/>
      </c>
      <c r="W275" s="10">
        <f t="shared" si="54"/>
        <v>0</v>
      </c>
      <c r="X275" s="29"/>
      <c r="Y275" s="29"/>
      <c r="Z275" s="29"/>
      <c r="AA275" s="29"/>
    </row>
    <row r="276" spans="1:27" s="3" customFormat="1" ht="13.5" hidden="1" customHeight="1" x14ac:dyDescent="0.25">
      <c r="A276" t="str">
        <f>IF(R276=0,"",COUNTIF(A$13:A275,"&gt;0")+1)</f>
        <v/>
      </c>
      <c r="B276" s="4"/>
      <c r="C276" s="5" t="s">
        <v>22</v>
      </c>
      <c r="D276" s="7" t="s">
        <v>834</v>
      </c>
      <c r="E276" s="31"/>
      <c r="F276" s="31"/>
      <c r="G276" s="6" t="s">
        <v>784</v>
      </c>
      <c r="H276" s="7">
        <f>VLOOKUP(D276,A!B$1:L$1126,3,FALSE)</f>
        <v>0</v>
      </c>
      <c r="I276" s="31">
        <f>VLOOKUP(D276,A!B$1:L$1126,3,FALSE)</f>
        <v>0</v>
      </c>
      <c r="J276" s="92"/>
      <c r="K276" s="91" t="str">
        <f>VLOOKUP(D276,A!B$1:L$1126,6,FALSE)</f>
        <v/>
      </c>
      <c r="L276" s="162"/>
      <c r="M276" s="41" t="s">
        <v>835</v>
      </c>
      <c r="N276" s="94">
        <f>VLOOKUP(D276,A!B$1:L$1125,2,FALSE)</f>
        <v>0</v>
      </c>
      <c r="O276" s="94">
        <f>VLOOKUP(D276,A!B$1:L$1126,4,FALSE)</f>
        <v>0</v>
      </c>
      <c r="P276" s="10">
        <v>10</v>
      </c>
      <c r="Q276" s="10">
        <v>3.25</v>
      </c>
      <c r="R276" s="10">
        <f t="shared" si="55"/>
        <v>0</v>
      </c>
      <c r="S276" s="10">
        <f t="shared" si="53"/>
        <v>0</v>
      </c>
      <c r="T276" s="10" t="s">
        <v>162</v>
      </c>
      <c r="U276" s="145">
        <v>0.33</v>
      </c>
      <c r="V276" s="10" t="str">
        <f>VLOOKUP(D276,A!B$1:T$1125,16,FALSE)</f>
        <v/>
      </c>
      <c r="W276" s="10">
        <f t="shared" si="54"/>
        <v>0</v>
      </c>
      <c r="X276" s="29"/>
      <c r="Y276" s="29"/>
      <c r="Z276" s="29"/>
      <c r="AA276" s="29"/>
    </row>
    <row r="277" spans="1:27" s="3" customFormat="1" ht="13.5" customHeight="1" x14ac:dyDescent="0.25">
      <c r="A277" t="str">
        <f>IF(R277=0,"",COUNTIF(A$13:A276,"&gt;0")+1)</f>
        <v/>
      </c>
      <c r="B277" s="4"/>
      <c r="C277" s="5" t="s">
        <v>22</v>
      </c>
      <c r="D277" s="7" t="s">
        <v>102</v>
      </c>
      <c r="E277" s="31"/>
      <c r="F277" s="31"/>
      <c r="G277" s="6" t="s">
        <v>103</v>
      </c>
      <c r="H277" s="7">
        <f>VLOOKUP(D277,A!B$1:L$1126,3,FALSE)</f>
        <v>2</v>
      </c>
      <c r="I277" s="31">
        <f>VLOOKUP(D277,A!B$1:L$1126,3,FALSE)</f>
        <v>2</v>
      </c>
      <c r="J277" s="92"/>
      <c r="K277" s="91" t="str">
        <f>VLOOKUP(D277,A!B$1:L$1126,6,FALSE)</f>
        <v/>
      </c>
      <c r="L277" s="162"/>
      <c r="M277" s="41" t="s">
        <v>104</v>
      </c>
      <c r="N277" s="94" t="str">
        <f>VLOOKUP(D277,A!B$1:L$1125,2,FALSE)</f>
        <v>y</v>
      </c>
      <c r="O277" s="94">
        <f>VLOOKUP(D277,A!B$1:L$1126,4,FALSE)</f>
        <v>0</v>
      </c>
      <c r="P277" s="10">
        <v>10</v>
      </c>
      <c r="Q277" s="10">
        <v>3.25</v>
      </c>
      <c r="R277" s="10">
        <f t="shared" si="55"/>
        <v>0</v>
      </c>
      <c r="S277" s="10">
        <f t="shared" si="53"/>
        <v>0</v>
      </c>
      <c r="T277" s="10" t="s">
        <v>162</v>
      </c>
      <c r="U277" s="145">
        <v>0.33</v>
      </c>
      <c r="V277" s="10" t="str">
        <f>VLOOKUP(D277,A!B$1:T$1125,16,FALSE)</f>
        <v/>
      </c>
      <c r="W277" s="10">
        <f t="shared" si="54"/>
        <v>0</v>
      </c>
      <c r="X277" s="29"/>
      <c r="Y277" s="29"/>
      <c r="Z277" s="29"/>
      <c r="AA277" s="29"/>
    </row>
    <row r="278" spans="1:27" s="3" customFormat="1" ht="13.5" hidden="1" customHeight="1" x14ac:dyDescent="0.25">
      <c r="A278" t="str">
        <f>IF(R278=0,"",COUNTIF(A$13:A277,"&gt;0")+1)</f>
        <v/>
      </c>
      <c r="B278" s="4"/>
      <c r="C278" s="5" t="s">
        <v>22</v>
      </c>
      <c r="D278" s="7" t="s">
        <v>836</v>
      </c>
      <c r="E278" s="31"/>
      <c r="F278" s="31"/>
      <c r="G278" s="6" t="s">
        <v>837</v>
      </c>
      <c r="H278" s="7">
        <f>VLOOKUP(D278,A!B$1:L$1126,3,FALSE)</f>
        <v>0</v>
      </c>
      <c r="I278" s="31">
        <f>VLOOKUP(D278,A!B$1:L$1126,3,FALSE)</f>
        <v>0</v>
      </c>
      <c r="J278" s="92"/>
      <c r="K278" s="91" t="str">
        <f>VLOOKUP(D278,A!B$1:L$1126,6,FALSE)</f>
        <v/>
      </c>
      <c r="L278" s="162"/>
      <c r="M278" s="41" t="s">
        <v>838</v>
      </c>
      <c r="N278" s="94">
        <f>VLOOKUP(D278,A!B$1:L$1125,2,FALSE)</f>
        <v>0</v>
      </c>
      <c r="O278" s="94">
        <f>VLOOKUP(D278,A!B$1:L$1126,4,FALSE)</f>
        <v>0</v>
      </c>
      <c r="P278" s="10">
        <v>10</v>
      </c>
      <c r="Q278" s="10">
        <v>3.25</v>
      </c>
      <c r="R278" s="10">
        <f t="shared" si="55"/>
        <v>0</v>
      </c>
      <c r="S278" s="10">
        <f t="shared" si="53"/>
        <v>0</v>
      </c>
      <c r="T278" s="10" t="s">
        <v>162</v>
      </c>
      <c r="U278" s="145">
        <v>0.33</v>
      </c>
      <c r="V278" s="10" t="str">
        <f>VLOOKUP(D278,A!B$1:T$1125,16,FALSE)</f>
        <v/>
      </c>
      <c r="W278" s="10">
        <f t="shared" si="54"/>
        <v>0</v>
      </c>
      <c r="X278" s="29"/>
      <c r="Y278" s="29"/>
      <c r="Z278" s="29"/>
      <c r="AA278" s="29"/>
    </row>
    <row r="279" spans="1:27" s="3" customFormat="1" ht="13.5" hidden="1" customHeight="1" x14ac:dyDescent="0.25">
      <c r="A279" t="str">
        <f>IF(R279=0,"",COUNTIF(A$13:A278,"&gt;0")+1)</f>
        <v/>
      </c>
      <c r="B279" s="4"/>
      <c r="C279" s="5" t="s">
        <v>22</v>
      </c>
      <c r="D279" s="7" t="s">
        <v>839</v>
      </c>
      <c r="E279" s="31"/>
      <c r="F279" s="31"/>
      <c r="G279" s="6" t="s">
        <v>840</v>
      </c>
      <c r="H279" s="7">
        <f>VLOOKUP(D279,A!B$1:L$1126,3,FALSE)</f>
        <v>0</v>
      </c>
      <c r="I279" s="31">
        <f>VLOOKUP(D279,A!B$1:L$1126,3,FALSE)</f>
        <v>0</v>
      </c>
      <c r="J279" s="92"/>
      <c r="K279" s="91" t="str">
        <f>VLOOKUP(D279,A!B$1:L$1126,6,FALSE)</f>
        <v/>
      </c>
      <c r="L279" s="162"/>
      <c r="M279" s="43" t="s">
        <v>841</v>
      </c>
      <c r="N279" s="94">
        <f>VLOOKUP(D279,A!B$1:L$1125,2,FALSE)</f>
        <v>0</v>
      </c>
      <c r="O279" s="94">
        <f>VLOOKUP(D279,A!B$1:L$1126,4,FALSE)</f>
        <v>0</v>
      </c>
      <c r="P279" s="10">
        <v>10</v>
      </c>
      <c r="Q279" s="10">
        <v>3.25</v>
      </c>
      <c r="R279" s="10">
        <f t="shared" si="55"/>
        <v>0</v>
      </c>
      <c r="S279" s="10">
        <f t="shared" si="53"/>
        <v>0</v>
      </c>
      <c r="T279" s="10" t="s">
        <v>162</v>
      </c>
      <c r="U279" s="145">
        <v>0.33</v>
      </c>
      <c r="V279" s="10" t="str">
        <f>VLOOKUP(D279,A!B$1:T$1125,16,FALSE)</f>
        <v/>
      </c>
      <c r="W279" s="10">
        <f t="shared" si="54"/>
        <v>0</v>
      </c>
      <c r="X279" s="29"/>
      <c r="Y279" s="29"/>
      <c r="Z279" s="29"/>
      <c r="AA279" s="29"/>
    </row>
    <row r="280" spans="1:27" s="3" customFormat="1" ht="13.5" hidden="1" customHeight="1" x14ac:dyDescent="0.25">
      <c r="A280" t="str">
        <f>IF(R280=0,"",COUNTIF(A$13:A279,"&gt;0")+1)</f>
        <v/>
      </c>
      <c r="B280" s="4"/>
      <c r="C280" s="5" t="s">
        <v>22</v>
      </c>
      <c r="D280" s="7" t="s">
        <v>842</v>
      </c>
      <c r="E280" s="31"/>
      <c r="F280" s="31"/>
      <c r="G280" s="6" t="s">
        <v>843</v>
      </c>
      <c r="H280" s="7">
        <f>VLOOKUP(D280,A!B$1:L$1126,3,FALSE)</f>
        <v>0</v>
      </c>
      <c r="I280" s="31">
        <f>VLOOKUP(D280,A!B$1:L$1126,3,FALSE)</f>
        <v>0</v>
      </c>
      <c r="J280" s="92"/>
      <c r="K280" s="91" t="str">
        <f>VLOOKUP(D280,A!B$1:L$1126,6,FALSE)</f>
        <v/>
      </c>
      <c r="L280" s="162"/>
      <c r="M280" s="41" t="s">
        <v>844</v>
      </c>
      <c r="N280" s="94">
        <f>VLOOKUP(D280,A!B$1:L$1125,2,FALSE)</f>
        <v>0</v>
      </c>
      <c r="O280" s="94">
        <f>VLOOKUP(D280,A!B$1:L$1126,4,FALSE)</f>
        <v>0</v>
      </c>
      <c r="P280" s="10">
        <v>10</v>
      </c>
      <c r="Q280" s="10">
        <v>3.25</v>
      </c>
      <c r="R280" s="10">
        <f t="shared" si="55"/>
        <v>0</v>
      </c>
      <c r="S280" s="10">
        <f t="shared" si="53"/>
        <v>0</v>
      </c>
      <c r="T280" s="10" t="s">
        <v>162</v>
      </c>
      <c r="U280" s="145">
        <v>0.33</v>
      </c>
      <c r="V280" s="10" t="str">
        <f>VLOOKUP(D280,A!B$1:T$1125,16,FALSE)</f>
        <v/>
      </c>
      <c r="W280" s="10">
        <f t="shared" si="54"/>
        <v>0</v>
      </c>
      <c r="X280" s="29"/>
      <c r="Y280" s="29"/>
      <c r="Z280" s="29"/>
      <c r="AA280" s="29"/>
    </row>
    <row r="281" spans="1:27" s="3" customFormat="1" ht="13.5" hidden="1" customHeight="1" x14ac:dyDescent="0.25">
      <c r="A281" t="str">
        <f>IF(R281=0,"",COUNTIF(A$13:A280,"&gt;0")+1)</f>
        <v/>
      </c>
      <c r="B281" s="4"/>
      <c r="C281" s="5" t="s">
        <v>22</v>
      </c>
      <c r="D281" s="7" t="s">
        <v>845</v>
      </c>
      <c r="E281" s="31"/>
      <c r="F281" s="31"/>
      <c r="G281" s="6" t="s">
        <v>843</v>
      </c>
      <c r="H281" s="7">
        <f>VLOOKUP(D281,A!B$1:L$1126,3,FALSE)</f>
        <v>0</v>
      </c>
      <c r="I281" s="31">
        <f>VLOOKUP(D281,A!B$1:L$1126,3,FALSE)</f>
        <v>0</v>
      </c>
      <c r="J281" s="92"/>
      <c r="K281" s="91" t="str">
        <f>VLOOKUP(D281,A!B$1:L$1126,6,FALSE)</f>
        <v/>
      </c>
      <c r="L281" s="162"/>
      <c r="M281" s="43" t="s">
        <v>846</v>
      </c>
      <c r="N281" s="94">
        <f>VLOOKUP(D281,A!B$1:L$1125,2,FALSE)</f>
        <v>0</v>
      </c>
      <c r="O281" s="94">
        <f>VLOOKUP(D281,A!B$1:L$1126,4,FALSE)</f>
        <v>0</v>
      </c>
      <c r="P281" s="10">
        <v>10</v>
      </c>
      <c r="Q281" s="10">
        <v>3.25</v>
      </c>
      <c r="R281" s="10">
        <f t="shared" si="55"/>
        <v>0</v>
      </c>
      <c r="S281" s="10">
        <f t="shared" si="53"/>
        <v>0</v>
      </c>
      <c r="T281" s="10" t="s">
        <v>162</v>
      </c>
      <c r="U281" s="145">
        <v>0.33</v>
      </c>
      <c r="V281" s="10" t="str">
        <f>VLOOKUP(D281,A!B$1:T$1125,16,FALSE)</f>
        <v/>
      </c>
      <c r="W281" s="10">
        <f t="shared" si="54"/>
        <v>0</v>
      </c>
      <c r="X281" s="29"/>
      <c r="Y281" s="29"/>
      <c r="Z281" s="29"/>
      <c r="AA281" s="29"/>
    </row>
    <row r="282" spans="1:27" s="3" customFormat="1" ht="13.5" hidden="1" customHeight="1" x14ac:dyDescent="0.25">
      <c r="A282" t="str">
        <f>IF(R282=0,"",COUNTIF(A$13:A281,"&gt;0")+1)</f>
        <v/>
      </c>
      <c r="B282" s="4"/>
      <c r="C282" s="5" t="s">
        <v>22</v>
      </c>
      <c r="D282" s="7" t="s">
        <v>847</v>
      </c>
      <c r="E282" s="31"/>
      <c r="F282" s="31"/>
      <c r="G282" s="6" t="s">
        <v>843</v>
      </c>
      <c r="H282" s="7">
        <f>VLOOKUP(D282,A!B$1:L$1126,3,FALSE)</f>
        <v>0</v>
      </c>
      <c r="I282" s="31">
        <f>VLOOKUP(D282,A!B$1:L$1126,3,FALSE)</f>
        <v>0</v>
      </c>
      <c r="J282" s="92"/>
      <c r="K282" s="91" t="str">
        <f>VLOOKUP(D282,A!B$1:L$1126,6,FALSE)</f>
        <v/>
      </c>
      <c r="L282" s="162"/>
      <c r="M282" s="43" t="s">
        <v>848</v>
      </c>
      <c r="N282" s="94">
        <f>VLOOKUP(D282,A!B$1:L$1125,2,FALSE)</f>
        <v>0</v>
      </c>
      <c r="O282" s="94">
        <f>VLOOKUP(D282,A!B$1:L$1126,4,FALSE)</f>
        <v>0</v>
      </c>
      <c r="P282" s="10">
        <v>10</v>
      </c>
      <c r="Q282" s="10">
        <v>3.25</v>
      </c>
      <c r="R282" s="10">
        <f t="shared" si="55"/>
        <v>0</v>
      </c>
      <c r="S282" s="10">
        <f t="shared" si="53"/>
        <v>0</v>
      </c>
      <c r="T282" s="10" t="s">
        <v>162</v>
      </c>
      <c r="U282" s="145">
        <v>0.33</v>
      </c>
      <c r="V282" s="10" t="str">
        <f>VLOOKUP(D282,A!B$1:T$1125,16,FALSE)</f>
        <v/>
      </c>
      <c r="W282" s="10">
        <f t="shared" si="54"/>
        <v>0</v>
      </c>
      <c r="X282" s="29"/>
      <c r="Y282" s="29"/>
      <c r="Z282" s="29"/>
      <c r="AA282" s="29"/>
    </row>
    <row r="283" spans="1:27" s="3" customFormat="1" ht="13.5" hidden="1" customHeight="1" x14ac:dyDescent="0.25">
      <c r="A283" t="str">
        <f>IF(R283=0,"",COUNTIF(A$13:A282,"&gt;0")+1)</f>
        <v/>
      </c>
      <c r="B283" s="4"/>
      <c r="C283" s="5" t="s">
        <v>22</v>
      </c>
      <c r="D283" s="7" t="s">
        <v>849</v>
      </c>
      <c r="E283" s="31"/>
      <c r="F283" s="31"/>
      <c r="G283" s="6" t="s">
        <v>850</v>
      </c>
      <c r="H283" s="7">
        <f>VLOOKUP(D283,A!B$1:L$1126,3,FALSE)</f>
        <v>0</v>
      </c>
      <c r="I283" s="31">
        <f>VLOOKUP(D283,A!B$1:L$1126,3,FALSE)</f>
        <v>0</v>
      </c>
      <c r="J283" s="92"/>
      <c r="K283" s="91" t="str">
        <f>VLOOKUP(D283,A!B$1:L$1126,6,FALSE)</f>
        <v/>
      </c>
      <c r="L283" s="162"/>
      <c r="M283" s="43" t="s">
        <v>851</v>
      </c>
      <c r="N283" s="94">
        <f>VLOOKUP(D283,A!B$1:L$1125,2,FALSE)</f>
        <v>0</v>
      </c>
      <c r="O283" s="94">
        <f>VLOOKUP(D283,A!B$1:L$1126,4,FALSE)</f>
        <v>0</v>
      </c>
      <c r="P283" s="10">
        <v>10</v>
      </c>
      <c r="Q283" s="10">
        <v>3.25</v>
      </c>
      <c r="R283" s="10">
        <f t="shared" si="55"/>
        <v>0</v>
      </c>
      <c r="S283" s="10">
        <f t="shared" si="53"/>
        <v>0</v>
      </c>
      <c r="T283" s="10" t="s">
        <v>162</v>
      </c>
      <c r="U283" s="145">
        <v>0.33</v>
      </c>
      <c r="V283" s="10" t="str">
        <f>VLOOKUP(D283,A!B$1:T$1125,16,FALSE)</f>
        <v/>
      </c>
      <c r="W283" s="10">
        <f t="shared" si="54"/>
        <v>0</v>
      </c>
      <c r="X283" s="29"/>
      <c r="Y283" s="29"/>
      <c r="Z283" s="29"/>
      <c r="AA283" s="29"/>
    </row>
    <row r="284" spans="1:27" s="3" customFormat="1" ht="13.5" hidden="1" customHeight="1" x14ac:dyDescent="0.25">
      <c r="A284" t="str">
        <f>IF(R284=0,"",COUNTIF(A$13:A283,"&gt;0")+1)</f>
        <v/>
      </c>
      <c r="B284" s="4"/>
      <c r="C284" s="5" t="s">
        <v>22</v>
      </c>
      <c r="D284" s="7" t="s">
        <v>852</v>
      </c>
      <c r="E284" s="31"/>
      <c r="F284" s="31"/>
      <c r="G284" s="6" t="s">
        <v>853</v>
      </c>
      <c r="H284" s="7">
        <f>VLOOKUP(D284,A!B$1:L$1126,3,FALSE)</f>
        <v>0</v>
      </c>
      <c r="I284" s="31">
        <f>VLOOKUP(D284,A!B$1:L$1126,3,FALSE)</f>
        <v>0</v>
      </c>
      <c r="J284" s="92"/>
      <c r="K284" s="91" t="str">
        <f>VLOOKUP(D284,A!B$1:L$1126,6,FALSE)</f>
        <v/>
      </c>
      <c r="L284" s="162"/>
      <c r="M284" s="43" t="s">
        <v>854</v>
      </c>
      <c r="N284" s="94">
        <f>VLOOKUP(D284,A!B$1:L$1125,2,FALSE)</f>
        <v>0</v>
      </c>
      <c r="O284" s="94">
        <f>VLOOKUP(D284,A!B$1:L$1126,4,FALSE)</f>
        <v>0</v>
      </c>
      <c r="P284" s="10">
        <v>10</v>
      </c>
      <c r="Q284" s="10">
        <v>3.25</v>
      </c>
      <c r="R284" s="10">
        <f t="shared" si="55"/>
        <v>0</v>
      </c>
      <c r="S284" s="10">
        <f t="shared" si="53"/>
        <v>0</v>
      </c>
      <c r="T284" s="10" t="s">
        <v>162</v>
      </c>
      <c r="U284" s="145">
        <v>0.33</v>
      </c>
      <c r="V284" s="10" t="str">
        <f>VLOOKUP(D284,A!B$1:T$1125,16,FALSE)</f>
        <v/>
      </c>
      <c r="W284" s="10">
        <f t="shared" si="54"/>
        <v>0</v>
      </c>
      <c r="X284" s="29"/>
      <c r="Y284" s="29"/>
      <c r="Z284" s="29"/>
      <c r="AA284" s="29"/>
    </row>
    <row r="285" spans="1:27" s="3" customFormat="1" ht="13.5" hidden="1" customHeight="1" x14ac:dyDescent="0.25">
      <c r="A285" t="str">
        <f>IF(R285=0,"",COUNTIF(A$13:A284,"&gt;0")+1)</f>
        <v/>
      </c>
      <c r="B285" s="4"/>
      <c r="C285" s="5" t="s">
        <v>22</v>
      </c>
      <c r="D285" s="7" t="s">
        <v>855</v>
      </c>
      <c r="E285" s="31"/>
      <c r="F285" s="31"/>
      <c r="G285" s="6" t="s">
        <v>856</v>
      </c>
      <c r="H285" s="7">
        <f>VLOOKUP(D285,A!B$1:L$1126,3,FALSE)</f>
        <v>0</v>
      </c>
      <c r="I285" s="31">
        <f>VLOOKUP(D285,A!B$1:L$1126,3,FALSE)</f>
        <v>0</v>
      </c>
      <c r="J285" s="92"/>
      <c r="K285" s="91" t="str">
        <f>VLOOKUP(D285,A!B$1:L$1126,6,FALSE)</f>
        <v/>
      </c>
      <c r="L285" s="162"/>
      <c r="M285" s="41" t="s">
        <v>857</v>
      </c>
      <c r="N285" s="94">
        <f>VLOOKUP(D285,A!B$1:L$1125,2,FALSE)</f>
        <v>0</v>
      </c>
      <c r="O285" s="94">
        <f>VLOOKUP(D285,A!B$1:L$1126,4,FALSE)</f>
        <v>0</v>
      </c>
      <c r="P285" s="10">
        <v>10</v>
      </c>
      <c r="Q285" s="10">
        <v>3.25</v>
      </c>
      <c r="R285" s="10">
        <f t="shared" si="55"/>
        <v>0</v>
      </c>
      <c r="S285" s="10">
        <f t="shared" si="53"/>
        <v>0</v>
      </c>
      <c r="T285" s="10" t="s">
        <v>162</v>
      </c>
      <c r="U285" s="145">
        <v>0.33</v>
      </c>
      <c r="V285" s="10" t="str">
        <f>VLOOKUP(D285,A!B$1:T$1125,16,FALSE)</f>
        <v/>
      </c>
      <c r="W285" s="10">
        <f t="shared" si="54"/>
        <v>0</v>
      </c>
      <c r="X285" s="29"/>
      <c r="Y285" s="29"/>
      <c r="Z285" s="29"/>
      <c r="AA285" s="29"/>
    </row>
    <row r="286" spans="1:27" s="3" customFormat="1" ht="13.5" hidden="1" customHeight="1" x14ac:dyDescent="0.25">
      <c r="A286" t="str">
        <f>IF(R286=0,"",COUNTIF(A$13:A285,"&gt;0")+1)</f>
        <v/>
      </c>
      <c r="B286" s="4"/>
      <c r="C286" s="5" t="s">
        <v>22</v>
      </c>
      <c r="D286" s="7" t="s">
        <v>858</v>
      </c>
      <c r="E286" s="31"/>
      <c r="F286" s="31"/>
      <c r="G286" s="6" t="s">
        <v>859</v>
      </c>
      <c r="H286" s="7">
        <f>VLOOKUP(D286,A!B$1:L$1126,3,FALSE)</f>
        <v>0</v>
      </c>
      <c r="I286" s="31">
        <f>VLOOKUP(D286,A!B$1:L$1126,3,FALSE)</f>
        <v>0</v>
      </c>
      <c r="J286" s="92"/>
      <c r="K286" s="91" t="str">
        <f>VLOOKUP(D286,A!B$1:L$1126,6,FALSE)</f>
        <v/>
      </c>
      <c r="L286" s="162"/>
      <c r="M286" s="43" t="s">
        <v>860</v>
      </c>
      <c r="N286" s="94">
        <f>VLOOKUP(D286,A!B$1:L$1125,2,FALSE)</f>
        <v>0</v>
      </c>
      <c r="O286" s="94">
        <f>VLOOKUP(D286,A!B$1:L$1126,4,FALSE)</f>
        <v>0</v>
      </c>
      <c r="P286" s="10">
        <v>10</v>
      </c>
      <c r="Q286" s="10">
        <v>3.25</v>
      </c>
      <c r="R286" s="10">
        <f t="shared" si="55"/>
        <v>0</v>
      </c>
      <c r="S286" s="10">
        <f t="shared" si="53"/>
        <v>0</v>
      </c>
      <c r="T286" s="10" t="s">
        <v>162</v>
      </c>
      <c r="U286" s="145">
        <v>0.33</v>
      </c>
      <c r="V286" s="10" t="str">
        <f>VLOOKUP(D286,A!B$1:T$1125,16,FALSE)</f>
        <v/>
      </c>
      <c r="W286" s="10">
        <f t="shared" si="54"/>
        <v>0</v>
      </c>
      <c r="X286" s="29"/>
      <c r="Y286" s="29"/>
      <c r="Z286" s="29"/>
      <c r="AA286" s="29"/>
    </row>
    <row r="287" spans="1:27" s="3" customFormat="1" ht="13.5" hidden="1" customHeight="1" x14ac:dyDescent="0.25">
      <c r="A287" t="str">
        <f>IF(R287=0,"",COUNTIF(A$13:A286,"&gt;0")+1)</f>
        <v/>
      </c>
      <c r="B287" s="4"/>
      <c r="C287" s="5" t="s">
        <v>22</v>
      </c>
      <c r="D287" s="7" t="s">
        <v>861</v>
      </c>
      <c r="E287" s="31"/>
      <c r="F287" s="31"/>
      <c r="G287" s="6" t="s">
        <v>856</v>
      </c>
      <c r="H287" s="7">
        <f>VLOOKUP(D287,A!B$1:L$1126,3,FALSE)</f>
        <v>0</v>
      </c>
      <c r="I287" s="31">
        <f>VLOOKUP(D287,A!B$1:L$1126,3,FALSE)</f>
        <v>0</v>
      </c>
      <c r="J287" s="92"/>
      <c r="K287" s="91" t="str">
        <f>VLOOKUP(D287,A!B$1:L$1126,6,FALSE)</f>
        <v/>
      </c>
      <c r="L287" s="162"/>
      <c r="M287" s="43" t="s">
        <v>862</v>
      </c>
      <c r="N287" s="94">
        <f>VLOOKUP(D287,A!B$1:L$1125,2,FALSE)</f>
        <v>0</v>
      </c>
      <c r="O287" s="94">
        <f>VLOOKUP(D287,A!B$1:L$1126,4,FALSE)</f>
        <v>0</v>
      </c>
      <c r="P287" s="10">
        <v>10</v>
      </c>
      <c r="Q287" s="10">
        <v>3.25</v>
      </c>
      <c r="R287" s="10">
        <f t="shared" si="55"/>
        <v>0</v>
      </c>
      <c r="S287" s="10">
        <f t="shared" si="53"/>
        <v>0</v>
      </c>
      <c r="T287" s="10" t="s">
        <v>162</v>
      </c>
      <c r="U287" s="145">
        <v>0.33</v>
      </c>
      <c r="V287" s="10" t="str">
        <f>VLOOKUP(D287,A!B$1:T$1125,16,FALSE)</f>
        <v/>
      </c>
      <c r="W287" s="10">
        <f t="shared" si="54"/>
        <v>0</v>
      </c>
      <c r="X287" s="29"/>
      <c r="Y287" s="29"/>
      <c r="Z287" s="29"/>
      <c r="AA287" s="29"/>
    </row>
    <row r="288" spans="1:27" s="3" customFormat="1" ht="13.5" hidden="1" customHeight="1" x14ac:dyDescent="0.25">
      <c r="A288" t="str">
        <f>IF(R288=0,"",COUNTIF(A$13:A287,"&gt;0")+1)</f>
        <v/>
      </c>
      <c r="B288" s="4"/>
      <c r="C288" s="5" t="s">
        <v>22</v>
      </c>
      <c r="D288" s="7" t="s">
        <v>863</v>
      </c>
      <c r="E288" s="31"/>
      <c r="F288" s="31"/>
      <c r="G288" s="6" t="s">
        <v>856</v>
      </c>
      <c r="H288" s="7">
        <f>VLOOKUP(D288,A!B$1:L$1126,3,FALSE)</f>
        <v>0</v>
      </c>
      <c r="I288" s="31">
        <f>VLOOKUP(D288,A!B$1:L$1126,3,FALSE)</f>
        <v>0</v>
      </c>
      <c r="J288" s="92"/>
      <c r="K288" s="91" t="str">
        <f>VLOOKUP(D288,A!B$1:L$1126,6,FALSE)</f>
        <v/>
      </c>
      <c r="L288" s="162"/>
      <c r="M288" s="41" t="s">
        <v>864</v>
      </c>
      <c r="N288" s="94">
        <f>VLOOKUP(D288,A!B$1:L$1125,2,FALSE)</f>
        <v>0</v>
      </c>
      <c r="O288" s="94">
        <f>VLOOKUP(D288,A!B$1:L$1126,4,FALSE)</f>
        <v>0</v>
      </c>
      <c r="P288" s="10">
        <v>10</v>
      </c>
      <c r="Q288" s="10">
        <v>3.25</v>
      </c>
      <c r="R288" s="10">
        <f t="shared" si="55"/>
        <v>0</v>
      </c>
      <c r="S288" s="10">
        <f t="shared" si="53"/>
        <v>0</v>
      </c>
      <c r="T288" s="10" t="s">
        <v>162</v>
      </c>
      <c r="U288" s="145">
        <v>0.33</v>
      </c>
      <c r="V288" s="10" t="str">
        <f>VLOOKUP(D288,A!B$1:T$1125,16,FALSE)</f>
        <v/>
      </c>
      <c r="W288" s="10">
        <f t="shared" si="54"/>
        <v>0</v>
      </c>
      <c r="X288" s="29"/>
      <c r="Y288" s="29"/>
      <c r="Z288" s="29"/>
      <c r="AA288" s="29"/>
    </row>
    <row r="289" spans="1:67" s="3" customFormat="1" ht="13.5" hidden="1" customHeight="1" x14ac:dyDescent="0.25">
      <c r="A289" t="str">
        <f>IF(R289=0,"",COUNTIF(A$13:A288,"&gt;0")+1)</f>
        <v/>
      </c>
      <c r="B289" s="4"/>
      <c r="C289" s="5" t="s">
        <v>22</v>
      </c>
      <c r="D289" s="7" t="s">
        <v>865</v>
      </c>
      <c r="E289" s="31"/>
      <c r="F289" s="31"/>
      <c r="G289" s="6" t="s">
        <v>856</v>
      </c>
      <c r="H289" s="7">
        <f>VLOOKUP(D289,A!B$1:L$1126,3,FALSE)</f>
        <v>0</v>
      </c>
      <c r="I289" s="31">
        <f>VLOOKUP(D289,A!B$1:L$1126,3,FALSE)</f>
        <v>0</v>
      </c>
      <c r="J289" s="92"/>
      <c r="K289" s="91" t="str">
        <f>VLOOKUP(D289,A!B$1:L$1126,6,FALSE)</f>
        <v/>
      </c>
      <c r="L289" s="162"/>
      <c r="M289" s="41" t="s">
        <v>866</v>
      </c>
      <c r="N289" s="94">
        <f>VLOOKUP(D289,A!B$1:L$1125,2,FALSE)</f>
        <v>0</v>
      </c>
      <c r="O289" s="94">
        <f>VLOOKUP(D289,A!B$1:L$1126,4,FALSE)</f>
        <v>0</v>
      </c>
      <c r="P289" s="10">
        <v>10</v>
      </c>
      <c r="Q289" s="10">
        <v>3.25</v>
      </c>
      <c r="R289" s="10">
        <f t="shared" si="55"/>
        <v>0</v>
      </c>
      <c r="S289" s="10">
        <f t="shared" si="53"/>
        <v>0</v>
      </c>
      <c r="T289" s="10" t="s">
        <v>162</v>
      </c>
      <c r="U289" s="145">
        <v>0.33</v>
      </c>
      <c r="V289" s="10" t="str">
        <f>VLOOKUP(D289,A!B$1:T$1125,16,FALSE)</f>
        <v/>
      </c>
      <c r="W289" s="10">
        <f t="shared" si="54"/>
        <v>0</v>
      </c>
      <c r="X289" s="29"/>
      <c r="Y289" s="29"/>
      <c r="Z289" s="29"/>
      <c r="AA289" s="29"/>
    </row>
    <row r="290" spans="1:67" s="3" customFormat="1" ht="13.5" hidden="1" customHeight="1" x14ac:dyDescent="0.25">
      <c r="A290" t="str">
        <f>IF(R290=0,"",COUNTIF(A$13:A289,"&gt;0")+1)</f>
        <v/>
      </c>
      <c r="B290" s="4"/>
      <c r="C290" s="5" t="s">
        <v>22</v>
      </c>
      <c r="D290" s="7" t="s">
        <v>867</v>
      </c>
      <c r="E290" s="31"/>
      <c r="F290" s="31"/>
      <c r="G290" s="6" t="s">
        <v>868</v>
      </c>
      <c r="H290" s="7">
        <f>VLOOKUP(D290,A!B$1:L$1126,3,FALSE)</f>
        <v>0</v>
      </c>
      <c r="I290" s="31">
        <f>VLOOKUP(D290,A!B$1:L$1126,3,FALSE)</f>
        <v>0</v>
      </c>
      <c r="J290" s="92"/>
      <c r="K290" s="91" t="str">
        <f>VLOOKUP(D290,A!B$1:L$1126,6,FALSE)</f>
        <v/>
      </c>
      <c r="L290" s="162"/>
      <c r="M290" s="41" t="s">
        <v>869</v>
      </c>
      <c r="N290" s="94">
        <f>VLOOKUP(D290,A!B$1:L$1125,2,FALSE)</f>
        <v>0</v>
      </c>
      <c r="O290" s="94">
        <f>VLOOKUP(D290,A!B$1:L$1126,4,FALSE)</f>
        <v>0</v>
      </c>
      <c r="P290" s="10">
        <v>10</v>
      </c>
      <c r="Q290" s="10">
        <v>3.25</v>
      </c>
      <c r="R290" s="10">
        <f t="shared" si="55"/>
        <v>0</v>
      </c>
      <c r="S290" s="10">
        <f t="shared" si="53"/>
        <v>0</v>
      </c>
      <c r="T290" s="10" t="s">
        <v>162</v>
      </c>
      <c r="U290" s="145">
        <v>0.33</v>
      </c>
      <c r="V290" s="10" t="str">
        <f>VLOOKUP(D290,A!B$1:T$1125,16,FALSE)</f>
        <v/>
      </c>
      <c r="W290" s="10">
        <f t="shared" si="54"/>
        <v>0</v>
      </c>
      <c r="X290" s="29"/>
      <c r="Y290" s="29"/>
      <c r="Z290" s="29"/>
      <c r="AA290" s="29"/>
    </row>
    <row r="291" spans="1:67" s="3" customFormat="1" ht="13.5" hidden="1" customHeight="1" x14ac:dyDescent="0.25">
      <c r="A291" t="str">
        <f>IF(R291=0,"",COUNTIF(A$13:A290,"&gt;0")+1)</f>
        <v/>
      </c>
      <c r="B291" s="4"/>
      <c r="C291" s="5" t="s">
        <v>22</v>
      </c>
      <c r="D291" s="7" t="s">
        <v>870</v>
      </c>
      <c r="E291" s="31"/>
      <c r="F291" s="31"/>
      <c r="G291" s="6" t="s">
        <v>856</v>
      </c>
      <c r="H291" s="7">
        <f>VLOOKUP(D291,A!B$1:L$1126,3,FALSE)</f>
        <v>0</v>
      </c>
      <c r="I291" s="31">
        <f>VLOOKUP(D291,A!B$1:L$1126,3,FALSE)</f>
        <v>0</v>
      </c>
      <c r="J291" s="92"/>
      <c r="K291" s="91" t="str">
        <f>VLOOKUP(D291,A!B$1:L$1126,6,FALSE)</f>
        <v/>
      </c>
      <c r="L291" s="162"/>
      <c r="M291" s="43" t="s">
        <v>871</v>
      </c>
      <c r="N291" s="94">
        <f>VLOOKUP(D291,A!B$1:L$1125,2,FALSE)</f>
        <v>0</v>
      </c>
      <c r="O291" s="94">
        <f>VLOOKUP(D291,A!B$1:L$1126,4,FALSE)</f>
        <v>0</v>
      </c>
      <c r="P291" s="10">
        <v>10</v>
      </c>
      <c r="Q291" s="10">
        <v>3.25</v>
      </c>
      <c r="R291" s="10">
        <f t="shared" si="55"/>
        <v>0</v>
      </c>
      <c r="S291" s="10">
        <f t="shared" si="53"/>
        <v>0</v>
      </c>
      <c r="T291" s="10" t="s">
        <v>162</v>
      </c>
      <c r="U291" s="145">
        <v>0.33</v>
      </c>
      <c r="V291" s="10" t="str">
        <f>VLOOKUP(D291,A!B$1:T$1125,16,FALSE)</f>
        <v/>
      </c>
      <c r="W291" s="10">
        <f t="shared" si="54"/>
        <v>0</v>
      </c>
      <c r="X291" s="29"/>
      <c r="Y291" s="29"/>
      <c r="Z291" s="29"/>
      <c r="AA291" s="29"/>
    </row>
    <row r="292" spans="1:67" s="3" customFormat="1" ht="13.5" hidden="1" customHeight="1" x14ac:dyDescent="0.25">
      <c r="A292" t="str">
        <f>IF(R292=0,"",COUNTIF(A$13:A291,"&gt;0")+1)</f>
        <v/>
      </c>
      <c r="B292" s="4"/>
      <c r="C292" s="5" t="s">
        <v>22</v>
      </c>
      <c r="D292" s="7" t="s">
        <v>872</v>
      </c>
      <c r="E292" s="31"/>
      <c r="F292" s="31"/>
      <c r="G292" s="6" t="s">
        <v>873</v>
      </c>
      <c r="H292" s="7">
        <f>VLOOKUP(D292,A!B$1:L$1126,3,FALSE)</f>
        <v>0</v>
      </c>
      <c r="I292" s="31">
        <f>VLOOKUP(D292,A!B$1:L$1126,3,FALSE)</f>
        <v>0</v>
      </c>
      <c r="J292" s="92"/>
      <c r="K292" s="91" t="str">
        <f>VLOOKUP(D292,A!B$1:L$1126,6,FALSE)</f>
        <v/>
      </c>
      <c r="L292" s="162"/>
      <c r="M292" s="41" t="s">
        <v>874</v>
      </c>
      <c r="N292" s="94">
        <f>VLOOKUP(D292,A!B$1:L$1125,2,FALSE)</f>
        <v>0</v>
      </c>
      <c r="O292" s="94">
        <f>VLOOKUP(D292,A!B$1:L$1126,4,FALSE)</f>
        <v>0</v>
      </c>
      <c r="P292" s="10">
        <v>10</v>
      </c>
      <c r="Q292" s="10">
        <v>3.25</v>
      </c>
      <c r="R292" s="10">
        <f t="shared" si="55"/>
        <v>0</v>
      </c>
      <c r="S292" s="10">
        <f t="shared" si="53"/>
        <v>0</v>
      </c>
      <c r="T292" s="10" t="s">
        <v>162</v>
      </c>
      <c r="U292" s="145">
        <v>0.33</v>
      </c>
      <c r="V292" s="10" t="str">
        <f>VLOOKUP(D292,A!B$1:T$1125,16,FALSE)</f>
        <v/>
      </c>
      <c r="W292" s="10">
        <f t="shared" si="54"/>
        <v>0</v>
      </c>
      <c r="X292" s="29"/>
      <c r="Y292" s="29"/>
      <c r="Z292" s="29"/>
      <c r="AA292" s="29"/>
    </row>
    <row r="293" spans="1:67" s="3" customFormat="1" ht="13.5" hidden="1" customHeight="1" x14ac:dyDescent="0.25">
      <c r="A293" t="str">
        <f>IF(R293=0,"",COUNTIF(A$13:A292,"&gt;0")+1)</f>
        <v/>
      </c>
      <c r="B293" s="4"/>
      <c r="C293" s="5" t="s">
        <v>22</v>
      </c>
      <c r="D293" s="7" t="s">
        <v>875</v>
      </c>
      <c r="E293" s="31"/>
      <c r="F293" s="31"/>
      <c r="G293" s="6" t="s">
        <v>876</v>
      </c>
      <c r="H293" s="7">
        <f>VLOOKUP(D293,A!B$1:L$1126,3,FALSE)</f>
        <v>0</v>
      </c>
      <c r="I293" s="31">
        <f>VLOOKUP(D293,A!B$1:L$1126,3,FALSE)</f>
        <v>0</v>
      </c>
      <c r="J293" s="92"/>
      <c r="K293" s="91" t="str">
        <f>VLOOKUP(D293,A!B$1:L$1126,6,FALSE)</f>
        <v/>
      </c>
      <c r="L293" s="162"/>
      <c r="M293" s="41" t="s">
        <v>877</v>
      </c>
      <c r="N293" s="94">
        <f>VLOOKUP(D293,A!B$1:L$1125,2,FALSE)</f>
        <v>0</v>
      </c>
      <c r="O293" s="94">
        <f>VLOOKUP(D293,A!B$1:L$1126,4,FALSE)</f>
        <v>0</v>
      </c>
      <c r="P293" s="10">
        <v>10</v>
      </c>
      <c r="Q293" s="10">
        <v>3.25</v>
      </c>
      <c r="R293" s="10">
        <f t="shared" si="55"/>
        <v>0</v>
      </c>
      <c r="S293" s="10">
        <f t="shared" si="53"/>
        <v>0</v>
      </c>
      <c r="T293" s="10" t="s">
        <v>162</v>
      </c>
      <c r="U293" s="145">
        <v>0.33</v>
      </c>
      <c r="V293" s="10" t="str">
        <f>VLOOKUP(D293,A!B$1:T$1125,16,FALSE)</f>
        <v/>
      </c>
      <c r="W293" s="10">
        <f t="shared" si="54"/>
        <v>0</v>
      </c>
      <c r="X293" s="29"/>
      <c r="Y293" s="29"/>
      <c r="Z293" s="29"/>
      <c r="AA293" s="29"/>
    </row>
    <row r="294" spans="1:67" s="3" customFormat="1" ht="13.5" hidden="1" customHeight="1" x14ac:dyDescent="0.25">
      <c r="A294" t="str">
        <f>IF(R294=0,"",COUNTIF(A$13:A293,"&gt;0")+1)</f>
        <v/>
      </c>
      <c r="B294" s="4"/>
      <c r="C294" s="5" t="s">
        <v>22</v>
      </c>
      <c r="D294" s="7" t="s">
        <v>878</v>
      </c>
      <c r="E294" s="31"/>
      <c r="F294" s="31"/>
      <c r="G294" s="6" t="s">
        <v>879</v>
      </c>
      <c r="H294" s="7">
        <f>VLOOKUP(D294,A!B$1:L$1126,3,FALSE)</f>
        <v>0</v>
      </c>
      <c r="I294" s="31">
        <f>VLOOKUP(D294,A!B$1:L$1126,3,FALSE)</f>
        <v>0</v>
      </c>
      <c r="J294" s="92"/>
      <c r="K294" s="91" t="str">
        <f>VLOOKUP(D294,A!B$1:L$1126,6,FALSE)</f>
        <v/>
      </c>
      <c r="L294" s="162"/>
      <c r="M294" s="41" t="s">
        <v>880</v>
      </c>
      <c r="N294" s="94">
        <f>VLOOKUP(D294,A!B$1:L$1125,2,FALSE)</f>
        <v>0</v>
      </c>
      <c r="O294" s="94">
        <f>VLOOKUP(D294,A!B$1:L$1126,4,FALSE)</f>
        <v>0</v>
      </c>
      <c r="P294" s="10">
        <v>10</v>
      </c>
      <c r="Q294" s="10">
        <v>3.25</v>
      </c>
      <c r="R294" s="10">
        <f t="shared" si="55"/>
        <v>0</v>
      </c>
      <c r="S294" s="10">
        <f t="shared" si="53"/>
        <v>0</v>
      </c>
      <c r="T294" s="10" t="s">
        <v>162</v>
      </c>
      <c r="U294" s="145">
        <v>0.33</v>
      </c>
      <c r="V294" s="10" t="str">
        <f>VLOOKUP(D294,A!B$1:T$1125,16,FALSE)</f>
        <v/>
      </c>
      <c r="W294" s="10">
        <f t="shared" si="54"/>
        <v>0</v>
      </c>
      <c r="X294" s="29"/>
      <c r="Y294" s="29"/>
      <c r="Z294" s="29"/>
      <c r="AA294" s="29"/>
    </row>
    <row r="295" spans="1:67" s="3" customFormat="1" ht="13.5" hidden="1" customHeight="1" x14ac:dyDescent="0.25">
      <c r="A295" t="str">
        <f>IF(R295=0,"",COUNTIF(A$13:A294,"&gt;0")+1)</f>
        <v/>
      </c>
      <c r="B295" s="4"/>
      <c r="C295" s="5" t="s">
        <v>22</v>
      </c>
      <c r="D295" s="7" t="s">
        <v>881</v>
      </c>
      <c r="E295" s="31"/>
      <c r="F295" s="31"/>
      <c r="G295" s="6" t="s">
        <v>882</v>
      </c>
      <c r="H295" s="7">
        <f>VLOOKUP(D295,A!B$1:L$1126,3,FALSE)</f>
        <v>0</v>
      </c>
      <c r="I295" s="31">
        <f>VLOOKUP(D295,A!B$1:L$1126,3,FALSE)</f>
        <v>0</v>
      </c>
      <c r="J295" s="92"/>
      <c r="K295" s="91" t="str">
        <f>VLOOKUP(D295,A!B$1:L$1126,6,FALSE)</f>
        <v/>
      </c>
      <c r="L295" s="162"/>
      <c r="M295" s="41" t="s">
        <v>883</v>
      </c>
      <c r="N295" s="94">
        <f>VLOOKUP(D295,A!B$1:L$1125,2,FALSE)</f>
        <v>0</v>
      </c>
      <c r="O295" s="94">
        <f>VLOOKUP(D295,A!B$1:L$1126,4,FALSE)</f>
        <v>0</v>
      </c>
      <c r="P295" s="10">
        <v>10</v>
      </c>
      <c r="Q295" s="10">
        <v>3.25</v>
      </c>
      <c r="R295" s="10">
        <f t="shared" si="55"/>
        <v>0</v>
      </c>
      <c r="S295" s="10">
        <f t="shared" si="53"/>
        <v>0</v>
      </c>
      <c r="T295" s="10" t="s">
        <v>162</v>
      </c>
      <c r="U295" s="145">
        <v>0.33</v>
      </c>
      <c r="V295" s="10" t="str">
        <f>VLOOKUP(D295,A!B$1:T$1125,16,FALSE)</f>
        <v/>
      </c>
      <c r="W295" s="10">
        <f t="shared" si="54"/>
        <v>0</v>
      </c>
      <c r="X295" s="29"/>
      <c r="Y295" s="29"/>
      <c r="Z295" s="29"/>
      <c r="AA295" s="29"/>
    </row>
    <row r="296" spans="1:67" s="3" customFormat="1" ht="13.5" hidden="1" customHeight="1" x14ac:dyDescent="0.25">
      <c r="A296" t="str">
        <f>IF(R296=0,"",COUNTIF(A$13:A295,"&gt;0")+1)</f>
        <v/>
      </c>
      <c r="B296" s="4"/>
      <c r="C296" s="5" t="s">
        <v>22</v>
      </c>
      <c r="D296" s="7" t="s">
        <v>884</v>
      </c>
      <c r="E296" s="31"/>
      <c r="F296" s="31"/>
      <c r="G296" s="6" t="s">
        <v>83</v>
      </c>
      <c r="H296" s="7">
        <f>VLOOKUP(D296,A!B$1:L$1126,3,FALSE)</f>
        <v>0</v>
      </c>
      <c r="I296" s="31">
        <f>VLOOKUP(D296,A!B$1:L$1126,3,FALSE)</f>
        <v>0</v>
      </c>
      <c r="J296" s="92"/>
      <c r="K296" s="91" t="str">
        <f>VLOOKUP(D296,A!B$1:L$1126,6,FALSE)</f>
        <v/>
      </c>
      <c r="L296" s="162"/>
      <c r="M296" s="43" t="s">
        <v>885</v>
      </c>
      <c r="N296" s="94">
        <f>VLOOKUP(D296,A!B$1:L$1125,2,FALSE)</f>
        <v>0</v>
      </c>
      <c r="O296" s="94">
        <f>VLOOKUP(D296,A!B$1:L$1126,4,FALSE)</f>
        <v>0</v>
      </c>
      <c r="P296" s="10">
        <v>10</v>
      </c>
      <c r="Q296" s="10">
        <v>3.25</v>
      </c>
      <c r="R296" s="10">
        <f t="shared" si="55"/>
        <v>0</v>
      </c>
      <c r="S296" s="10">
        <f t="shared" si="53"/>
        <v>0</v>
      </c>
      <c r="T296" s="10" t="s">
        <v>162</v>
      </c>
      <c r="U296" s="145">
        <v>0.33</v>
      </c>
      <c r="V296" s="10" t="str">
        <f>VLOOKUP(D296,A!B$1:T$1125,16,FALSE)</f>
        <v/>
      </c>
      <c r="W296" s="10">
        <f t="shared" si="54"/>
        <v>0</v>
      </c>
      <c r="X296" s="29"/>
      <c r="Y296" s="29"/>
      <c r="Z296" s="29"/>
      <c r="AA296" s="29"/>
    </row>
    <row r="297" spans="1:67" s="3" customFormat="1" ht="13.5" hidden="1" customHeight="1" x14ac:dyDescent="0.25">
      <c r="A297" t="str">
        <f>IF(R297=0,"",COUNTIF(A$13:A296,"&gt;0")+1)</f>
        <v/>
      </c>
      <c r="B297" s="4"/>
      <c r="C297" s="5" t="s">
        <v>22</v>
      </c>
      <c r="D297" s="7" t="s">
        <v>886</v>
      </c>
      <c r="E297" s="31"/>
      <c r="F297" s="31"/>
      <c r="G297" s="6" t="s">
        <v>83</v>
      </c>
      <c r="H297" s="7">
        <f>VLOOKUP(D297,A!B$1:L$1126,3,FALSE)</f>
        <v>0</v>
      </c>
      <c r="I297" s="31">
        <f>VLOOKUP(D297,A!B$1:L$1126,3,FALSE)</f>
        <v>0</v>
      </c>
      <c r="J297" s="92"/>
      <c r="K297" s="91" t="str">
        <f>VLOOKUP(D297,A!B$1:L$1126,6,FALSE)</f>
        <v/>
      </c>
      <c r="L297" s="162"/>
      <c r="M297" s="43" t="s">
        <v>887</v>
      </c>
      <c r="N297" s="94">
        <f>VLOOKUP(D297,A!B$1:L$1125,2,FALSE)</f>
        <v>0</v>
      </c>
      <c r="O297" s="94">
        <f>VLOOKUP(D297,A!B$1:L$1126,4,FALSE)</f>
        <v>0</v>
      </c>
      <c r="P297" s="10">
        <v>10</v>
      </c>
      <c r="Q297" s="10">
        <v>3.25</v>
      </c>
      <c r="R297" s="10">
        <f t="shared" si="55"/>
        <v>0</v>
      </c>
      <c r="S297" s="10">
        <f t="shared" si="53"/>
        <v>0</v>
      </c>
      <c r="T297" s="10" t="s">
        <v>162</v>
      </c>
      <c r="U297" s="145">
        <v>0.33</v>
      </c>
      <c r="V297" s="10" t="str">
        <f>VLOOKUP(D297,A!B$1:T$1125,16,FALSE)</f>
        <v/>
      </c>
      <c r="W297" s="10">
        <f t="shared" si="54"/>
        <v>0</v>
      </c>
      <c r="X297" s="29"/>
      <c r="Y297" s="29"/>
      <c r="Z297" s="29"/>
      <c r="AA297" s="29"/>
    </row>
    <row r="298" spans="1:67" s="3" customFormat="1" ht="13.5" hidden="1" customHeight="1" x14ac:dyDescent="0.25">
      <c r="A298" t="str">
        <f>IF(R298=0,"",COUNTIF(A$13:A297,"&gt;0")+1)</f>
        <v/>
      </c>
      <c r="B298" s="4"/>
      <c r="C298" s="5" t="s">
        <v>22</v>
      </c>
      <c r="D298" s="7" t="s">
        <v>888</v>
      </c>
      <c r="E298" s="31"/>
      <c r="F298" s="31"/>
      <c r="G298" s="6" t="s">
        <v>83</v>
      </c>
      <c r="H298" s="7">
        <f>VLOOKUP(D298,A!B$1:L$1126,3,FALSE)</f>
        <v>0</v>
      </c>
      <c r="I298" s="31">
        <f>VLOOKUP(D298,A!B$1:L$1126,3,FALSE)</f>
        <v>0</v>
      </c>
      <c r="J298" s="92"/>
      <c r="K298" s="91" t="str">
        <f>VLOOKUP(D298,A!B$1:L$1126,6,FALSE)</f>
        <v/>
      </c>
      <c r="L298" s="162"/>
      <c r="M298" s="43" t="s">
        <v>889</v>
      </c>
      <c r="N298" s="94">
        <f>VLOOKUP(D298,A!B$1:L$1125,2,FALSE)</f>
        <v>0</v>
      </c>
      <c r="O298" s="94">
        <f>VLOOKUP(D298,A!B$1:L$1126,4,FALSE)</f>
        <v>0</v>
      </c>
      <c r="P298" s="10">
        <v>10</v>
      </c>
      <c r="Q298" s="10">
        <v>3.25</v>
      </c>
      <c r="R298" s="10">
        <f t="shared" si="55"/>
        <v>0</v>
      </c>
      <c r="S298" s="10">
        <f t="shared" si="53"/>
        <v>0</v>
      </c>
      <c r="T298" s="10" t="s">
        <v>162</v>
      </c>
      <c r="U298" s="145">
        <v>0.33</v>
      </c>
      <c r="V298" s="10" t="str">
        <f>VLOOKUP(D298,A!B$1:T$1125,16,FALSE)</f>
        <v/>
      </c>
      <c r="W298" s="10">
        <f t="shared" si="54"/>
        <v>0</v>
      </c>
      <c r="X298" s="29"/>
      <c r="Y298" s="29"/>
      <c r="Z298" s="29"/>
      <c r="AA298" s="29"/>
    </row>
    <row r="299" spans="1:67" s="3" customFormat="1" ht="13.5" hidden="1" customHeight="1" x14ac:dyDescent="0.25">
      <c r="A299" t="str">
        <f>IF(R299=0,"",COUNTIF(A$13:A298,"&gt;0")+1)</f>
        <v/>
      </c>
      <c r="B299" s="4"/>
      <c r="C299" s="5" t="s">
        <v>22</v>
      </c>
      <c r="D299" s="7" t="s">
        <v>890</v>
      </c>
      <c r="E299" s="31"/>
      <c r="F299" s="31"/>
      <c r="G299" s="6" t="s">
        <v>83</v>
      </c>
      <c r="H299" s="7">
        <f>VLOOKUP(D299,A!B$1:L$1126,3,FALSE)</f>
        <v>0</v>
      </c>
      <c r="I299" s="31">
        <f>VLOOKUP(D299,A!B$1:L$1126,3,FALSE)</f>
        <v>0</v>
      </c>
      <c r="J299" s="92"/>
      <c r="K299" s="91" t="str">
        <f>VLOOKUP(D299,A!B$1:L$1126,6,FALSE)</f>
        <v/>
      </c>
      <c r="L299" s="162"/>
      <c r="M299" s="43" t="s">
        <v>891</v>
      </c>
      <c r="N299" s="94">
        <f>VLOOKUP(D299,A!B$1:L$1125,2,FALSE)</f>
        <v>0</v>
      </c>
      <c r="O299" s="94">
        <f>VLOOKUP(D299,A!B$1:L$1126,4,FALSE)</f>
        <v>0</v>
      </c>
      <c r="P299" s="10">
        <v>10</v>
      </c>
      <c r="Q299" s="10">
        <v>3.25</v>
      </c>
      <c r="R299" s="10">
        <f t="shared" si="55"/>
        <v>0</v>
      </c>
      <c r="S299" s="10">
        <f t="shared" si="53"/>
        <v>0</v>
      </c>
      <c r="T299" s="10" t="s">
        <v>162</v>
      </c>
      <c r="U299" s="145">
        <v>0.33</v>
      </c>
      <c r="V299" s="10" t="str">
        <f>VLOOKUP(D299,A!B$1:T$1125,16,FALSE)</f>
        <v/>
      </c>
      <c r="W299" s="10">
        <f t="shared" si="54"/>
        <v>0</v>
      </c>
      <c r="X299" s="29"/>
      <c r="Y299" s="29"/>
      <c r="Z299" s="29"/>
      <c r="AA299" s="29"/>
    </row>
    <row r="300" spans="1:67" s="3" customFormat="1" ht="13.5" hidden="1" customHeight="1" x14ac:dyDescent="0.25">
      <c r="A300" t="str">
        <f>IF(R300=0,"",COUNTIF(A$13:A299,"&gt;0")+1)</f>
        <v/>
      </c>
      <c r="B300" s="4"/>
      <c r="C300" s="5" t="s">
        <v>22</v>
      </c>
      <c r="D300" s="7" t="s">
        <v>892</v>
      </c>
      <c r="E300" s="31"/>
      <c r="F300" s="31"/>
      <c r="G300" s="6" t="s">
        <v>83</v>
      </c>
      <c r="H300" s="7">
        <f>VLOOKUP(D300,A!B$1:L$1126,3,FALSE)</f>
        <v>0</v>
      </c>
      <c r="I300" s="31">
        <f>VLOOKUP(D300,A!B$1:L$1126,3,FALSE)</f>
        <v>0</v>
      </c>
      <c r="J300" s="92"/>
      <c r="K300" s="91" t="str">
        <f>VLOOKUP(D300,A!B$1:L$1126,6,FALSE)</f>
        <v/>
      </c>
      <c r="L300" s="162"/>
      <c r="M300" s="41" t="s">
        <v>893</v>
      </c>
      <c r="N300" s="94">
        <f>VLOOKUP(D300,A!B$1:L$1125,2,FALSE)</f>
        <v>0</v>
      </c>
      <c r="O300" s="94">
        <f>VLOOKUP(D300,A!B$1:L$1126,4,FALSE)</f>
        <v>0</v>
      </c>
      <c r="P300" s="10">
        <v>10</v>
      </c>
      <c r="Q300" s="10">
        <v>3.25</v>
      </c>
      <c r="R300" s="10">
        <f t="shared" si="55"/>
        <v>0</v>
      </c>
      <c r="S300" s="10">
        <f t="shared" si="53"/>
        <v>0</v>
      </c>
      <c r="T300" s="10" t="s">
        <v>162</v>
      </c>
      <c r="U300" s="145">
        <v>0.33</v>
      </c>
      <c r="V300" s="10" t="str">
        <f>VLOOKUP(D300,A!B$1:T$1125,16,FALSE)</f>
        <v/>
      </c>
      <c r="W300" s="10">
        <f t="shared" si="54"/>
        <v>0</v>
      </c>
      <c r="X300" s="29"/>
      <c r="Y300" s="29"/>
      <c r="Z300" s="29"/>
      <c r="AA300" s="29"/>
    </row>
    <row r="301" spans="1:67" s="3" customFormat="1" ht="13.5" hidden="1" customHeight="1" x14ac:dyDescent="0.25">
      <c r="A301" t="str">
        <f>IF(R301=0,"",COUNTIF(A$13:A300,"&gt;0")+1)</f>
        <v/>
      </c>
      <c r="B301" s="4"/>
      <c r="C301" s="5" t="s">
        <v>22</v>
      </c>
      <c r="D301" s="7" t="s">
        <v>894</v>
      </c>
      <c r="E301" s="31"/>
      <c r="F301" s="31"/>
      <c r="G301" s="6" t="s">
        <v>83</v>
      </c>
      <c r="H301" s="7">
        <f>VLOOKUP(D301,A!B$1:L$1126,3,FALSE)</f>
        <v>0</v>
      </c>
      <c r="I301" s="31">
        <f>VLOOKUP(D301,A!B$1:L$1126,3,FALSE)</f>
        <v>0</v>
      </c>
      <c r="J301" s="92"/>
      <c r="K301" s="91" t="str">
        <f>VLOOKUP(D301,A!B$1:L$1126,6,FALSE)</f>
        <v/>
      </c>
      <c r="L301" s="162"/>
      <c r="M301" s="41" t="s">
        <v>895</v>
      </c>
      <c r="N301" s="94">
        <f>VLOOKUP(D301,A!B$1:L$1125,2,FALSE)</f>
        <v>0</v>
      </c>
      <c r="O301" s="94">
        <f>VLOOKUP(D301,A!B$1:L$1126,4,FALSE)</f>
        <v>0</v>
      </c>
      <c r="P301" s="10">
        <v>10</v>
      </c>
      <c r="Q301" s="10">
        <v>3.25</v>
      </c>
      <c r="R301" s="10">
        <f t="shared" si="55"/>
        <v>0</v>
      </c>
      <c r="S301" s="10">
        <f t="shared" si="53"/>
        <v>0</v>
      </c>
      <c r="T301" s="10" t="s">
        <v>162</v>
      </c>
      <c r="U301" s="145">
        <v>0.33</v>
      </c>
      <c r="V301" s="10" t="str">
        <f>VLOOKUP(D301,A!B$1:T$1125,16,FALSE)</f>
        <v/>
      </c>
      <c r="W301" s="10">
        <f t="shared" si="54"/>
        <v>0</v>
      </c>
      <c r="X301" s="29"/>
      <c r="Y301" s="29"/>
      <c r="Z301" s="29"/>
      <c r="AA301" s="29"/>
    </row>
    <row r="302" spans="1:67" s="3" customFormat="1" ht="13.5" hidden="1" customHeight="1" x14ac:dyDescent="0.25">
      <c r="A302" t="str">
        <f>IF(R302=0,"",COUNTIF(A$13:A301,"&gt;0")+1)</f>
        <v/>
      </c>
      <c r="B302" s="4"/>
      <c r="C302" s="5" t="s">
        <v>22</v>
      </c>
      <c r="D302" s="7" t="s">
        <v>209</v>
      </c>
      <c r="E302" s="31"/>
      <c r="F302" s="31"/>
      <c r="G302" s="6" t="s">
        <v>83</v>
      </c>
      <c r="H302" s="7">
        <f>VLOOKUP(D302,A!B$1:L$1126,3,FALSE)</f>
        <v>0</v>
      </c>
      <c r="I302" s="31">
        <f>VLOOKUP(D302,A!B$1:L$1126,3,FALSE)</f>
        <v>0</v>
      </c>
      <c r="J302" s="92"/>
      <c r="K302" s="91" t="str">
        <f>VLOOKUP(D302,A!B$1:L$1126,6,FALSE)</f>
        <v/>
      </c>
      <c r="L302" s="2"/>
      <c r="M302" s="49" t="s">
        <v>163</v>
      </c>
      <c r="N302" s="94">
        <f>VLOOKUP(D302,A!B$1:L$1125,2,FALSE)</f>
        <v>0</v>
      </c>
      <c r="O302" s="94">
        <f>VLOOKUP(D302,A!B$1:L$1126,4,FALSE)</f>
        <v>0</v>
      </c>
      <c r="P302" s="10">
        <v>10</v>
      </c>
      <c r="Q302" s="10">
        <v>3.25</v>
      </c>
      <c r="R302" s="10">
        <f t="shared" si="55"/>
        <v>0</v>
      </c>
      <c r="S302" s="10">
        <f t="shared" si="53"/>
        <v>0</v>
      </c>
      <c r="T302" s="10" t="s">
        <v>162</v>
      </c>
      <c r="U302" s="145">
        <v>0.33</v>
      </c>
      <c r="V302" s="10" t="str">
        <f>VLOOKUP(D302,A!B$1:T$1125,16,FALSE)</f>
        <v/>
      </c>
      <c r="W302" s="10">
        <f t="shared" si="54"/>
        <v>0</v>
      </c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</row>
    <row r="303" spans="1:67" s="3" customFormat="1" ht="13.5" hidden="1" customHeight="1" x14ac:dyDescent="0.25">
      <c r="A303" t="str">
        <f>IF(R303=0,"",COUNTIF(A$13:A302,"&gt;0")+1)</f>
        <v/>
      </c>
      <c r="B303" s="4"/>
      <c r="C303" s="5" t="s">
        <v>22</v>
      </c>
      <c r="D303" s="22" t="s">
        <v>210</v>
      </c>
      <c r="E303" s="89"/>
      <c r="F303" s="89"/>
      <c r="G303" s="6" t="s">
        <v>83</v>
      </c>
      <c r="H303" s="7">
        <f>VLOOKUP(D303,A!B$1:L$1126,3,FALSE)</f>
        <v>0</v>
      </c>
      <c r="I303" s="31">
        <f>VLOOKUP(D303,A!B$1:L$1126,3,FALSE)</f>
        <v>0</v>
      </c>
      <c r="J303" s="92"/>
      <c r="K303" s="91" t="str">
        <f>VLOOKUP(D303,A!B$1:L$1126,6,FALSE)</f>
        <v/>
      </c>
      <c r="L303" s="47"/>
      <c r="M303" s="39" t="s">
        <v>145</v>
      </c>
      <c r="N303" s="94">
        <f>VLOOKUP(D303,A!B$1:L$1125,2,FALSE)</f>
        <v>0</v>
      </c>
      <c r="O303" s="94">
        <f>VLOOKUP(D303,A!B$1:L$1126,4,FALSE)</f>
        <v>0</v>
      </c>
      <c r="P303" s="10">
        <v>10</v>
      </c>
      <c r="Q303" s="10">
        <v>3.25</v>
      </c>
      <c r="R303" s="10">
        <f t="shared" si="55"/>
        <v>0</v>
      </c>
      <c r="S303" s="10">
        <f t="shared" si="53"/>
        <v>0</v>
      </c>
      <c r="T303" s="10" t="s">
        <v>162</v>
      </c>
      <c r="U303" s="145">
        <v>0.33</v>
      </c>
      <c r="V303" s="10" t="str">
        <f>VLOOKUP(D303,A!B$1:T$1125,16,FALSE)</f>
        <v/>
      </c>
      <c r="W303" s="10">
        <f t="shared" si="54"/>
        <v>0</v>
      </c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</row>
    <row r="304" spans="1:67" s="3" customFormat="1" ht="13.5" hidden="1" customHeight="1" x14ac:dyDescent="0.25">
      <c r="A304" t="str">
        <f>IF(R304=0,"",COUNTIF(A$13:A303,"&gt;0")+1)</f>
        <v/>
      </c>
      <c r="B304" s="4"/>
      <c r="C304" s="5" t="s">
        <v>22</v>
      </c>
      <c r="D304" s="7" t="s">
        <v>211</v>
      </c>
      <c r="E304" s="31"/>
      <c r="F304" s="31"/>
      <c r="G304" s="6" t="s">
        <v>83</v>
      </c>
      <c r="H304" s="7">
        <f>VLOOKUP(D304,A!B$1:L$1126,3,FALSE)</f>
        <v>0</v>
      </c>
      <c r="I304" s="31">
        <f>VLOOKUP(D304,A!B$1:L$1126,3,FALSE)</f>
        <v>0</v>
      </c>
      <c r="J304" s="92"/>
      <c r="K304" s="91" t="str">
        <f>VLOOKUP(D304,A!B$1:L$1126,6,FALSE)</f>
        <v/>
      </c>
      <c r="L304" s="47"/>
      <c r="M304" s="49" t="s">
        <v>164</v>
      </c>
      <c r="N304" s="94">
        <f>VLOOKUP(D304,A!B$1:L$1125,2,FALSE)</f>
        <v>0</v>
      </c>
      <c r="O304" s="94">
        <f>VLOOKUP(D304,A!B$1:L$1126,4,FALSE)</f>
        <v>0</v>
      </c>
      <c r="P304" s="10">
        <v>10</v>
      </c>
      <c r="Q304" s="10">
        <v>3.25</v>
      </c>
      <c r="R304" s="10">
        <f t="shared" si="55"/>
        <v>0</v>
      </c>
      <c r="S304" s="10">
        <f t="shared" si="53"/>
        <v>0</v>
      </c>
      <c r="T304" s="10" t="s">
        <v>162</v>
      </c>
      <c r="U304" s="145">
        <v>0.33</v>
      </c>
      <c r="V304" s="10" t="str">
        <f>VLOOKUP(D304,A!B$1:T$1125,16,FALSE)</f>
        <v/>
      </c>
      <c r="W304" s="10">
        <f t="shared" si="54"/>
        <v>0</v>
      </c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</row>
    <row r="305" spans="1:67" s="3" customFormat="1" ht="13.5" hidden="1" customHeight="1" x14ac:dyDescent="0.25">
      <c r="A305" t="str">
        <f>IF(R305=0,"",COUNTIF(A$13:A304,"&gt;0")+1)</f>
        <v/>
      </c>
      <c r="B305" s="4"/>
      <c r="C305" s="5" t="s">
        <v>22</v>
      </c>
      <c r="D305" s="22" t="s">
        <v>212</v>
      </c>
      <c r="E305" s="89"/>
      <c r="F305" s="89"/>
      <c r="G305" s="6" t="s">
        <v>83</v>
      </c>
      <c r="H305" s="7">
        <f>VLOOKUP(D305,A!B$1:L$1126,3,FALSE)</f>
        <v>0</v>
      </c>
      <c r="I305" s="31">
        <f>VLOOKUP(D305,A!B$1:L$1126,3,FALSE)</f>
        <v>0</v>
      </c>
      <c r="J305" s="92"/>
      <c r="K305" s="91" t="str">
        <f>VLOOKUP(D305,A!B$1:L$1126,6,FALSE)</f>
        <v/>
      </c>
      <c r="L305" s="47"/>
      <c r="M305" s="39" t="s">
        <v>165</v>
      </c>
      <c r="N305" s="94">
        <f>VLOOKUP(D305,A!B$1:L$1125,2,FALSE)</f>
        <v>0</v>
      </c>
      <c r="O305" s="94">
        <f>VLOOKUP(D305,A!B$1:L$1126,4,FALSE)</f>
        <v>0</v>
      </c>
      <c r="P305" s="10">
        <v>10</v>
      </c>
      <c r="Q305" s="10">
        <v>3.25</v>
      </c>
      <c r="R305" s="10">
        <f t="shared" si="55"/>
        <v>0</v>
      </c>
      <c r="S305" s="10">
        <f t="shared" si="53"/>
        <v>0</v>
      </c>
      <c r="T305" s="10" t="s">
        <v>162</v>
      </c>
      <c r="U305" s="145">
        <v>0.33</v>
      </c>
      <c r="V305" s="10" t="str">
        <f>VLOOKUP(D305,A!B$1:T$1125,16,FALSE)</f>
        <v/>
      </c>
      <c r="W305" s="10">
        <f t="shared" si="54"/>
        <v>0</v>
      </c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</row>
    <row r="306" spans="1:67" s="3" customFormat="1" ht="13.5" hidden="1" customHeight="1" x14ac:dyDescent="0.25">
      <c r="A306" t="str">
        <f>IF(R306=0,"",COUNTIF(A$13:A305,"&gt;0")+1)</f>
        <v/>
      </c>
      <c r="B306" s="4"/>
      <c r="C306" s="5" t="s">
        <v>22</v>
      </c>
      <c r="D306" s="22" t="s">
        <v>213</v>
      </c>
      <c r="E306" s="89"/>
      <c r="F306" s="89"/>
      <c r="G306" s="6" t="s">
        <v>83</v>
      </c>
      <c r="H306" s="7">
        <f>VLOOKUP(D306,A!B$1:L$1126,3,FALSE)</f>
        <v>0</v>
      </c>
      <c r="I306" s="31">
        <f>VLOOKUP(D306,A!B$1:L$1126,3,FALSE)</f>
        <v>0</v>
      </c>
      <c r="J306" s="92"/>
      <c r="K306" s="91" t="str">
        <f>VLOOKUP(D306,A!B$1:L$1126,6,FALSE)</f>
        <v/>
      </c>
      <c r="L306" s="47"/>
      <c r="M306" s="39" t="s">
        <v>146</v>
      </c>
      <c r="N306" s="94">
        <f>VLOOKUP(D306,A!B$1:L$1125,2,FALSE)</f>
        <v>0</v>
      </c>
      <c r="O306" s="94">
        <f>VLOOKUP(D306,A!B$1:L$1126,4,FALSE)</f>
        <v>0</v>
      </c>
      <c r="P306" s="10">
        <v>10</v>
      </c>
      <c r="Q306" s="10">
        <v>3.25</v>
      </c>
      <c r="R306" s="10">
        <f t="shared" si="55"/>
        <v>0</v>
      </c>
      <c r="S306" s="10">
        <f t="shared" si="53"/>
        <v>0</v>
      </c>
      <c r="T306" s="10" t="s">
        <v>162</v>
      </c>
      <c r="U306" s="145">
        <v>0.33</v>
      </c>
      <c r="V306" s="10" t="str">
        <f>VLOOKUP(D306,A!B$1:T$1125,16,FALSE)</f>
        <v/>
      </c>
      <c r="W306" s="10">
        <f t="shared" si="54"/>
        <v>0</v>
      </c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</row>
    <row r="307" spans="1:67" s="3" customFormat="1" ht="13.5" hidden="1" customHeight="1" x14ac:dyDescent="0.25">
      <c r="A307" t="str">
        <f>IF(R307=0,"",COUNTIF(A$13:A306,"&gt;0")+1)</f>
        <v/>
      </c>
      <c r="B307" s="4"/>
      <c r="C307" s="5" t="s">
        <v>22</v>
      </c>
      <c r="D307" s="212" t="s">
        <v>214</v>
      </c>
      <c r="E307" s="89"/>
      <c r="F307" s="89"/>
      <c r="G307" s="6" t="s">
        <v>83</v>
      </c>
      <c r="H307" s="7">
        <f>VLOOKUP(D307,A!B$1:L$1126,3,FALSE)</f>
        <v>0</v>
      </c>
      <c r="I307" s="31">
        <f>VLOOKUP(D307,A!B$1:L$1126,3,FALSE)</f>
        <v>0</v>
      </c>
      <c r="J307" s="92"/>
      <c r="K307" s="91" t="str">
        <f>VLOOKUP(D307,A!B$1:L$1126,6,FALSE)</f>
        <v/>
      </c>
      <c r="L307" s="47"/>
      <c r="M307" s="39" t="s">
        <v>147</v>
      </c>
      <c r="N307" s="94">
        <f>VLOOKUP(D307,A!B$1:L$1125,2,FALSE)</f>
        <v>0</v>
      </c>
      <c r="O307" s="94">
        <f>VLOOKUP(D307,A!B$1:L$1126,4,FALSE)</f>
        <v>0</v>
      </c>
      <c r="P307" s="10">
        <v>10</v>
      </c>
      <c r="Q307" s="10">
        <v>3.25</v>
      </c>
      <c r="R307" s="10">
        <f t="shared" si="55"/>
        <v>0</v>
      </c>
      <c r="S307" s="10">
        <f t="shared" si="53"/>
        <v>0</v>
      </c>
      <c r="T307" s="10" t="s">
        <v>162</v>
      </c>
      <c r="U307" s="145">
        <v>0.33</v>
      </c>
      <c r="V307" s="10" t="str">
        <f>VLOOKUP(D307,A!B$1:T$1125,16,FALSE)</f>
        <v/>
      </c>
      <c r="W307" s="10">
        <f t="shared" si="54"/>
        <v>0</v>
      </c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</row>
    <row r="308" spans="1:67" s="3" customFormat="1" ht="13.5" customHeight="1" x14ac:dyDescent="0.25">
      <c r="A308" t="str">
        <f>IF(R308=0,"",COUNTIF(A$13:A307,"&gt;0")+1)</f>
        <v/>
      </c>
      <c r="B308" s="4"/>
      <c r="C308" s="5" t="s">
        <v>22</v>
      </c>
      <c r="D308" s="7" t="s">
        <v>185</v>
      </c>
      <c r="E308" s="31"/>
      <c r="F308" s="31"/>
      <c r="G308" s="6" t="s">
        <v>83</v>
      </c>
      <c r="H308" s="7">
        <f>VLOOKUP(D308,A!B$1:L$1126,3,FALSE)</f>
        <v>1</v>
      </c>
      <c r="I308" s="31">
        <f>VLOOKUP(D308,A!B$1:L$1126,3,FALSE)</f>
        <v>1</v>
      </c>
      <c r="J308" s="92"/>
      <c r="K308" s="91" t="str">
        <f>VLOOKUP(D308,A!B$1:L$1126,6,FALSE)</f>
        <v/>
      </c>
      <c r="L308" s="162"/>
      <c r="M308" s="41" t="s">
        <v>184</v>
      </c>
      <c r="N308" s="94">
        <f>VLOOKUP(D308,A!B$1:L$1125,2,FALSE)</f>
        <v>1</v>
      </c>
      <c r="O308" s="94">
        <f>VLOOKUP(D308,A!B$1:L$1126,4,FALSE)</f>
        <v>0</v>
      </c>
      <c r="P308" s="10">
        <v>10</v>
      </c>
      <c r="Q308" s="10">
        <v>3.25</v>
      </c>
      <c r="R308" s="10">
        <f t="shared" si="55"/>
        <v>0</v>
      </c>
      <c r="S308" s="10">
        <f t="shared" si="53"/>
        <v>0</v>
      </c>
      <c r="T308" s="10" t="s">
        <v>162</v>
      </c>
      <c r="U308" s="145">
        <v>0.33</v>
      </c>
      <c r="V308" s="10" t="str">
        <f>VLOOKUP(D308,A!B$1:T$1125,16,FALSE)</f>
        <v/>
      </c>
      <c r="W308" s="10">
        <f t="shared" si="54"/>
        <v>0</v>
      </c>
      <c r="X308" s="29"/>
      <c r="Y308" s="29"/>
      <c r="Z308" s="29"/>
      <c r="AA308" s="29"/>
    </row>
    <row r="309" spans="1:67" s="3" customFormat="1" ht="13.5" hidden="1" customHeight="1" x14ac:dyDescent="0.25">
      <c r="A309" t="str">
        <f>IF(R309=0,"",COUNTIF(A$13:A308,"&gt;0")+1)</f>
        <v/>
      </c>
      <c r="B309" s="4"/>
      <c r="C309" s="5" t="s">
        <v>22</v>
      </c>
      <c r="D309" s="7" t="s">
        <v>897</v>
      </c>
      <c r="E309" s="31"/>
      <c r="F309" s="31"/>
      <c r="G309" s="6" t="s">
        <v>83</v>
      </c>
      <c r="H309" s="7">
        <f>VLOOKUP(D309,A!B$1:L$1126,3,FALSE)</f>
        <v>0</v>
      </c>
      <c r="I309" s="31">
        <f>VLOOKUP(D309,A!B$1:L$1126,3,FALSE)</f>
        <v>0</v>
      </c>
      <c r="J309" s="92"/>
      <c r="K309" s="91" t="str">
        <f>VLOOKUP(D309,A!B$1:L$1126,6,FALSE)</f>
        <v/>
      </c>
      <c r="L309" s="162"/>
      <c r="M309" s="41" t="s">
        <v>898</v>
      </c>
      <c r="N309" s="94">
        <f>VLOOKUP(D309,A!B$1:L$1125,2,FALSE)</f>
        <v>0</v>
      </c>
      <c r="O309" s="94">
        <f>VLOOKUP(D309,A!B$1:L$1126,4,FALSE)</f>
        <v>0</v>
      </c>
      <c r="P309" s="10">
        <v>10</v>
      </c>
      <c r="Q309" s="10">
        <v>3.25</v>
      </c>
      <c r="R309" s="10">
        <f t="shared" si="55"/>
        <v>0</v>
      </c>
      <c r="S309" s="10">
        <f t="shared" si="53"/>
        <v>0</v>
      </c>
      <c r="T309" s="10" t="s">
        <v>162</v>
      </c>
      <c r="U309" s="145">
        <v>0.33</v>
      </c>
      <c r="V309" s="10" t="str">
        <f>VLOOKUP(D309,A!B$1:T$1125,16,FALSE)</f>
        <v/>
      </c>
      <c r="W309" s="10">
        <f t="shared" si="54"/>
        <v>0</v>
      </c>
      <c r="X309" s="29"/>
      <c r="Y309" s="29"/>
      <c r="Z309" s="29"/>
      <c r="AA309" s="29"/>
    </row>
    <row r="310" spans="1:67" s="3" customFormat="1" ht="13.5" hidden="1" customHeight="1" x14ac:dyDescent="0.25">
      <c r="A310" t="str">
        <f>IF(R310=0,"",COUNTIF(A$13:A309,"&gt;0")+1)</f>
        <v/>
      </c>
      <c r="B310" s="4"/>
      <c r="C310" s="5" t="s">
        <v>22</v>
      </c>
      <c r="D310" s="7" t="s">
        <v>899</v>
      </c>
      <c r="E310" s="31"/>
      <c r="F310" s="31"/>
      <c r="G310" s="6" t="s">
        <v>83</v>
      </c>
      <c r="H310" s="7">
        <f>VLOOKUP(D310,A!B$1:L$1126,3,FALSE)</f>
        <v>0</v>
      </c>
      <c r="I310" s="31">
        <f>VLOOKUP(D310,A!B$1:L$1126,3,FALSE)</f>
        <v>0</v>
      </c>
      <c r="J310" s="92"/>
      <c r="K310" s="91" t="str">
        <f>VLOOKUP(D310,A!B$1:L$1126,6,FALSE)</f>
        <v/>
      </c>
      <c r="L310" s="162"/>
      <c r="M310" s="41" t="s">
        <v>900</v>
      </c>
      <c r="N310" s="94">
        <f>VLOOKUP(D310,A!B$1:L$1125,2,FALSE)</f>
        <v>0</v>
      </c>
      <c r="O310" s="94">
        <f>VLOOKUP(D310,A!B$1:L$1126,4,FALSE)</f>
        <v>0</v>
      </c>
      <c r="P310" s="10">
        <v>10</v>
      </c>
      <c r="Q310" s="10">
        <v>3.25</v>
      </c>
      <c r="R310" s="10">
        <f t="shared" si="55"/>
        <v>0</v>
      </c>
      <c r="S310" s="10">
        <f t="shared" ref="S310:S373" si="56">R310*Q310</f>
        <v>0</v>
      </c>
      <c r="T310" s="10" t="s">
        <v>162</v>
      </c>
      <c r="U310" s="145">
        <v>0.33</v>
      </c>
      <c r="V310" s="10" t="str">
        <f>VLOOKUP(D310,A!B$1:T$1125,16,FALSE)</f>
        <v/>
      </c>
      <c r="W310" s="10">
        <f t="shared" ref="W310:W373" si="57">U310*B310</f>
        <v>0</v>
      </c>
      <c r="X310" s="29"/>
      <c r="Y310" s="29"/>
      <c r="Z310" s="29"/>
      <c r="AA310" s="29"/>
    </row>
    <row r="311" spans="1:67" s="3" customFormat="1" ht="13.5" hidden="1" customHeight="1" x14ac:dyDescent="0.25">
      <c r="A311" t="str">
        <f>IF(R311=0,"",COUNTIF(A$13:A310,"&gt;0")+1)</f>
        <v/>
      </c>
      <c r="B311" s="4"/>
      <c r="C311" s="5" t="s">
        <v>22</v>
      </c>
      <c r="D311" s="7" t="s">
        <v>901</v>
      </c>
      <c r="E311" s="31"/>
      <c r="F311" s="31"/>
      <c r="G311" s="6" t="s">
        <v>83</v>
      </c>
      <c r="H311" s="7">
        <f>VLOOKUP(D311,A!B$1:L$1126,3,FALSE)</f>
        <v>0</v>
      </c>
      <c r="I311" s="31">
        <f>VLOOKUP(D311,A!B$1:L$1126,3,FALSE)</f>
        <v>0</v>
      </c>
      <c r="J311" s="92"/>
      <c r="K311" s="91" t="str">
        <f>VLOOKUP(D311,A!B$1:L$1126,6,FALSE)</f>
        <v/>
      </c>
      <c r="L311" s="162"/>
      <c r="M311" s="41" t="s">
        <v>902</v>
      </c>
      <c r="N311" s="94">
        <f>VLOOKUP(D311,A!B$1:L$1125,2,FALSE)</f>
        <v>0</v>
      </c>
      <c r="O311" s="94">
        <f>VLOOKUP(D311,A!B$1:L$1126,4,FALSE)</f>
        <v>0</v>
      </c>
      <c r="P311" s="10">
        <v>10</v>
      </c>
      <c r="Q311" s="10">
        <v>3.25</v>
      </c>
      <c r="R311" s="10">
        <f t="shared" ref="R311:R374" si="58">B311*P311</f>
        <v>0</v>
      </c>
      <c r="S311" s="10">
        <f t="shared" si="56"/>
        <v>0</v>
      </c>
      <c r="T311" s="10" t="s">
        <v>162</v>
      </c>
      <c r="U311" s="145">
        <v>0.33</v>
      </c>
      <c r="V311" s="10" t="str">
        <f>VLOOKUP(D311,A!B$1:T$1125,16,FALSE)</f>
        <v/>
      </c>
      <c r="W311" s="10">
        <f t="shared" si="57"/>
        <v>0</v>
      </c>
      <c r="X311" s="29"/>
      <c r="Y311" s="29"/>
      <c r="Z311" s="29"/>
      <c r="AA311" s="29"/>
    </row>
    <row r="312" spans="1:67" s="3" customFormat="1" ht="13.5" hidden="1" customHeight="1" x14ac:dyDescent="0.25">
      <c r="A312" t="str">
        <f>IF(R312=0,"",COUNTIF(A$13:A311,"&gt;0")+1)</f>
        <v/>
      </c>
      <c r="B312" s="4"/>
      <c r="C312" s="5" t="s">
        <v>22</v>
      </c>
      <c r="D312" s="7" t="s">
        <v>903</v>
      </c>
      <c r="E312" s="31"/>
      <c r="F312" s="31"/>
      <c r="G312" s="6" t="s">
        <v>83</v>
      </c>
      <c r="H312" s="7">
        <f>VLOOKUP(D312,A!B$1:L$1126,3,FALSE)</f>
        <v>0</v>
      </c>
      <c r="I312" s="31">
        <f>VLOOKUP(D312,A!B$1:L$1126,3,FALSE)</f>
        <v>0</v>
      </c>
      <c r="J312" s="92"/>
      <c r="K312" s="91" t="str">
        <f>VLOOKUP(D312,A!B$1:L$1126,6,FALSE)</f>
        <v/>
      </c>
      <c r="L312" s="162"/>
      <c r="M312" s="41" t="s">
        <v>904</v>
      </c>
      <c r="N312" s="94">
        <f>VLOOKUP(D312,A!B$1:L$1125,2,FALSE)</f>
        <v>0</v>
      </c>
      <c r="O312" s="94">
        <f>VLOOKUP(D312,A!B$1:L$1126,4,FALSE)</f>
        <v>0</v>
      </c>
      <c r="P312" s="10">
        <v>10</v>
      </c>
      <c r="Q312" s="10">
        <v>3.25</v>
      </c>
      <c r="R312" s="10">
        <f t="shared" si="58"/>
        <v>0</v>
      </c>
      <c r="S312" s="10">
        <f t="shared" si="56"/>
        <v>0</v>
      </c>
      <c r="T312" s="10" t="s">
        <v>162</v>
      </c>
      <c r="U312" s="145">
        <v>0.33</v>
      </c>
      <c r="V312" s="10" t="str">
        <f>VLOOKUP(D312,A!B$1:T$1125,16,FALSE)</f>
        <v/>
      </c>
      <c r="W312" s="10">
        <f t="shared" si="57"/>
        <v>0</v>
      </c>
      <c r="X312" s="29"/>
      <c r="Y312" s="29"/>
      <c r="Z312" s="29"/>
      <c r="AA312" s="29"/>
    </row>
    <row r="313" spans="1:67" s="3" customFormat="1" ht="13.5" hidden="1" customHeight="1" x14ac:dyDescent="0.25">
      <c r="A313" t="str">
        <f>IF(R313=0,"",COUNTIF(A$13:A312,"&gt;0")+1)</f>
        <v/>
      </c>
      <c r="B313" s="4"/>
      <c r="C313" s="5" t="s">
        <v>22</v>
      </c>
      <c r="D313" s="7" t="s">
        <v>905</v>
      </c>
      <c r="E313" s="31"/>
      <c r="F313" s="31"/>
      <c r="G313" s="6" t="s">
        <v>83</v>
      </c>
      <c r="H313" s="7">
        <f>VLOOKUP(D313,A!B$1:L$1126,3,FALSE)</f>
        <v>0</v>
      </c>
      <c r="I313" s="31">
        <f>VLOOKUP(D313,A!B$1:L$1126,3,FALSE)</f>
        <v>0</v>
      </c>
      <c r="J313" s="92"/>
      <c r="K313" s="91" t="str">
        <f>VLOOKUP(D313,A!B$1:L$1126,6,FALSE)</f>
        <v/>
      </c>
      <c r="L313" s="162"/>
      <c r="M313" s="42" t="s">
        <v>906</v>
      </c>
      <c r="N313" s="94">
        <f>VLOOKUP(D313,A!B$1:L$1125,2,FALSE)</f>
        <v>0</v>
      </c>
      <c r="O313" s="94">
        <f>VLOOKUP(D313,A!B$1:L$1126,4,FALSE)</f>
        <v>0</v>
      </c>
      <c r="P313" s="10">
        <v>10</v>
      </c>
      <c r="Q313" s="10">
        <v>3.25</v>
      </c>
      <c r="R313" s="10">
        <f t="shared" si="58"/>
        <v>0</v>
      </c>
      <c r="S313" s="10">
        <f t="shared" si="56"/>
        <v>0</v>
      </c>
      <c r="T313" s="10" t="s">
        <v>162</v>
      </c>
      <c r="U313" s="145">
        <v>0.33</v>
      </c>
      <c r="V313" s="10" t="str">
        <f>VLOOKUP(D313,A!B$1:T$1125,16,FALSE)</f>
        <v/>
      </c>
      <c r="W313" s="10">
        <f t="shared" si="57"/>
        <v>0</v>
      </c>
      <c r="X313" s="29"/>
      <c r="Y313" s="29"/>
      <c r="Z313" s="29"/>
      <c r="AA313" s="29"/>
    </row>
    <row r="314" spans="1:67" s="3" customFormat="1" ht="13.5" hidden="1" customHeight="1" x14ac:dyDescent="0.25">
      <c r="A314" t="str">
        <f>IF(R314=0,"",COUNTIF(A$13:A313,"&gt;0")+1)</f>
        <v/>
      </c>
      <c r="B314" s="4"/>
      <c r="C314" s="5" t="s">
        <v>22</v>
      </c>
      <c r="D314" s="7" t="s">
        <v>907</v>
      </c>
      <c r="E314" s="31"/>
      <c r="F314" s="31"/>
      <c r="G314" s="6" t="s">
        <v>83</v>
      </c>
      <c r="H314" s="7">
        <f>VLOOKUP(D314,A!B$1:L$1126,3,FALSE)</f>
        <v>0</v>
      </c>
      <c r="I314" s="31">
        <f>VLOOKUP(D314,A!B$1:L$1126,3,FALSE)</f>
        <v>0</v>
      </c>
      <c r="J314" s="92"/>
      <c r="K314" s="91" t="str">
        <f>VLOOKUP(D314,A!B$1:L$1126,6,FALSE)</f>
        <v/>
      </c>
      <c r="L314" s="162"/>
      <c r="M314" s="42" t="s">
        <v>908</v>
      </c>
      <c r="N314" s="94">
        <f>VLOOKUP(D314,A!B$1:L$1125,2,FALSE)</f>
        <v>0</v>
      </c>
      <c r="O314" s="94">
        <f>VLOOKUP(D314,A!B$1:L$1126,4,FALSE)</f>
        <v>0</v>
      </c>
      <c r="P314" s="10">
        <v>10</v>
      </c>
      <c r="Q314" s="10">
        <v>3.25</v>
      </c>
      <c r="R314" s="10">
        <f t="shared" si="58"/>
        <v>0</v>
      </c>
      <c r="S314" s="10">
        <f t="shared" si="56"/>
        <v>0</v>
      </c>
      <c r="T314" s="10" t="s">
        <v>162</v>
      </c>
      <c r="U314" s="145">
        <v>0.33</v>
      </c>
      <c r="V314" s="10" t="str">
        <f>VLOOKUP(D314,A!B$1:T$1125,16,FALSE)</f>
        <v/>
      </c>
      <c r="W314" s="10">
        <f t="shared" si="57"/>
        <v>0</v>
      </c>
      <c r="X314" s="29"/>
      <c r="Y314" s="29"/>
      <c r="Z314" s="29"/>
      <c r="AA314" s="29"/>
    </row>
    <row r="315" spans="1:67" s="3" customFormat="1" ht="13.5" hidden="1" customHeight="1" x14ac:dyDescent="0.25">
      <c r="A315" t="str">
        <f>IF(R315=0,"",COUNTIF(A$13:A314,"&gt;0")+1)</f>
        <v/>
      </c>
      <c r="B315" s="4"/>
      <c r="C315" s="5" t="s">
        <v>22</v>
      </c>
      <c r="D315" s="7" t="s">
        <v>909</v>
      </c>
      <c r="E315" s="31"/>
      <c r="F315" s="31"/>
      <c r="G315" s="6" t="s">
        <v>83</v>
      </c>
      <c r="H315" s="7">
        <f>VLOOKUP(D315,A!B$1:L$1126,3,FALSE)</f>
        <v>0</v>
      </c>
      <c r="I315" s="31">
        <f>VLOOKUP(D315,A!B$1:L$1126,3,FALSE)</f>
        <v>0</v>
      </c>
      <c r="J315" s="92"/>
      <c r="K315" s="91" t="str">
        <f>VLOOKUP(D315,A!B$1:L$1126,6,FALSE)</f>
        <v/>
      </c>
      <c r="L315" s="162"/>
      <c r="M315" s="41" t="s">
        <v>910</v>
      </c>
      <c r="N315" s="94">
        <f>VLOOKUP(D315,A!B$1:L$1125,2,FALSE)</f>
        <v>0</v>
      </c>
      <c r="O315" s="94">
        <f>VLOOKUP(D315,A!B$1:L$1126,4,FALSE)</f>
        <v>0</v>
      </c>
      <c r="P315" s="10">
        <v>10</v>
      </c>
      <c r="Q315" s="10">
        <v>3.25</v>
      </c>
      <c r="R315" s="10">
        <f t="shared" si="58"/>
        <v>0</v>
      </c>
      <c r="S315" s="10">
        <f t="shared" si="56"/>
        <v>0</v>
      </c>
      <c r="T315" s="10" t="s">
        <v>162</v>
      </c>
      <c r="U315" s="145">
        <v>0.33</v>
      </c>
      <c r="V315" s="10" t="str">
        <f>VLOOKUP(D315,A!B$1:T$1125,16,FALSE)</f>
        <v/>
      </c>
      <c r="W315" s="10">
        <f t="shared" si="57"/>
        <v>0</v>
      </c>
      <c r="X315" s="29"/>
      <c r="Y315" s="29"/>
      <c r="Z315" s="29"/>
      <c r="AA315" s="29"/>
    </row>
    <row r="316" spans="1:67" s="3" customFormat="1" ht="13.5" hidden="1" customHeight="1" x14ac:dyDescent="0.25">
      <c r="A316" t="str">
        <f>IF(R316=0,"",COUNTIF(A$13:A315,"&gt;0")+1)</f>
        <v/>
      </c>
      <c r="B316" s="4"/>
      <c r="C316" s="5" t="s">
        <v>22</v>
      </c>
      <c r="D316" s="7" t="s">
        <v>911</v>
      </c>
      <c r="E316" s="31"/>
      <c r="F316" s="31"/>
      <c r="G316" s="6" t="s">
        <v>83</v>
      </c>
      <c r="H316" s="7">
        <f>VLOOKUP(D316,A!B$1:L$1126,3,FALSE)</f>
        <v>0</v>
      </c>
      <c r="I316" s="31">
        <f>VLOOKUP(D316,A!B$1:L$1126,3,FALSE)</f>
        <v>0</v>
      </c>
      <c r="J316" s="92"/>
      <c r="K316" s="91" t="str">
        <f>VLOOKUP(D316,A!B$1:L$1126,6,FALSE)</f>
        <v/>
      </c>
      <c r="L316" s="162"/>
      <c r="M316" s="41" t="s">
        <v>912</v>
      </c>
      <c r="N316" s="94">
        <f>VLOOKUP(D316,A!B$1:L$1125,2,FALSE)</f>
        <v>0</v>
      </c>
      <c r="O316" s="94">
        <f>VLOOKUP(D316,A!B$1:L$1126,4,FALSE)</f>
        <v>0</v>
      </c>
      <c r="P316" s="10">
        <v>10</v>
      </c>
      <c r="Q316" s="10">
        <v>3.25</v>
      </c>
      <c r="R316" s="10">
        <f t="shared" si="58"/>
        <v>0</v>
      </c>
      <c r="S316" s="10">
        <f t="shared" si="56"/>
        <v>0</v>
      </c>
      <c r="T316" s="10" t="s">
        <v>162</v>
      </c>
      <c r="U316" s="145">
        <v>0.33</v>
      </c>
      <c r="V316" s="10" t="str">
        <f>VLOOKUP(D316,A!B$1:T$1125,16,FALSE)</f>
        <v/>
      </c>
      <c r="W316" s="10">
        <f t="shared" si="57"/>
        <v>0</v>
      </c>
      <c r="X316" s="29"/>
      <c r="Y316" s="29"/>
      <c r="Z316" s="29"/>
      <c r="AA316" s="29"/>
    </row>
    <row r="317" spans="1:67" s="3" customFormat="1" ht="13.5" hidden="1" customHeight="1" x14ac:dyDescent="0.25">
      <c r="A317" t="str">
        <f>IF(R317=0,"",COUNTIF(A$13:A316,"&gt;0")+1)</f>
        <v/>
      </c>
      <c r="B317" s="4"/>
      <c r="C317" s="5" t="s">
        <v>22</v>
      </c>
      <c r="D317" s="7" t="s">
        <v>913</v>
      </c>
      <c r="E317" s="31"/>
      <c r="F317" s="31"/>
      <c r="G317" s="6" t="s">
        <v>83</v>
      </c>
      <c r="H317" s="7">
        <f>VLOOKUP(D317,A!B$1:L$1126,3,FALSE)</f>
        <v>0</v>
      </c>
      <c r="I317" s="31">
        <f>VLOOKUP(D317,A!B$1:L$1126,3,FALSE)</f>
        <v>0</v>
      </c>
      <c r="J317" s="92"/>
      <c r="K317" s="91" t="str">
        <f>VLOOKUP(D317,A!B$1:L$1126,6,FALSE)</f>
        <v/>
      </c>
      <c r="L317" s="162"/>
      <c r="M317" s="41" t="s">
        <v>914</v>
      </c>
      <c r="N317" s="94">
        <f>VLOOKUP(D317,A!B$1:L$1125,2,FALSE)</f>
        <v>0</v>
      </c>
      <c r="O317" s="94">
        <f>VLOOKUP(D317,A!B$1:L$1126,4,FALSE)</f>
        <v>0</v>
      </c>
      <c r="P317" s="10">
        <v>10</v>
      </c>
      <c r="Q317" s="10">
        <v>3.25</v>
      </c>
      <c r="R317" s="10">
        <f t="shared" si="58"/>
        <v>0</v>
      </c>
      <c r="S317" s="10">
        <f t="shared" si="56"/>
        <v>0</v>
      </c>
      <c r="T317" s="10" t="s">
        <v>162</v>
      </c>
      <c r="U317" s="145">
        <v>0.33</v>
      </c>
      <c r="V317" s="10" t="str">
        <f>VLOOKUP(D317,A!B$1:T$1125,16,FALSE)</f>
        <v/>
      </c>
      <c r="W317" s="10">
        <f t="shared" si="57"/>
        <v>0</v>
      </c>
      <c r="X317" s="29"/>
      <c r="Y317" s="29"/>
      <c r="Z317" s="29"/>
      <c r="AA317" s="29"/>
    </row>
    <row r="318" spans="1:67" s="3" customFormat="1" ht="13.5" hidden="1" customHeight="1" x14ac:dyDescent="0.25">
      <c r="A318" t="str">
        <f>IF(R318=0,"",COUNTIF(A$13:A317,"&gt;0")+1)</f>
        <v/>
      </c>
      <c r="B318" s="4"/>
      <c r="C318" s="5" t="s">
        <v>22</v>
      </c>
      <c r="D318" s="7" t="s">
        <v>915</v>
      </c>
      <c r="E318" s="31"/>
      <c r="F318" s="31"/>
      <c r="G318" s="6" t="s">
        <v>83</v>
      </c>
      <c r="H318" s="7">
        <f>VLOOKUP(D318,A!B$1:L$1126,3,FALSE)</f>
        <v>0</v>
      </c>
      <c r="I318" s="31">
        <f>VLOOKUP(D318,A!B$1:L$1126,3,FALSE)</f>
        <v>0</v>
      </c>
      <c r="J318" s="92"/>
      <c r="K318" s="91" t="str">
        <f>VLOOKUP(D318,A!B$1:L$1126,6,FALSE)</f>
        <v/>
      </c>
      <c r="L318" s="162"/>
      <c r="M318" s="41" t="s">
        <v>916</v>
      </c>
      <c r="N318" s="94">
        <f>VLOOKUP(D318,A!B$1:L$1125,2,FALSE)</f>
        <v>0</v>
      </c>
      <c r="O318" s="94">
        <f>VLOOKUP(D318,A!B$1:L$1126,4,FALSE)</f>
        <v>0</v>
      </c>
      <c r="P318" s="10">
        <v>10</v>
      </c>
      <c r="Q318" s="10">
        <v>3.25</v>
      </c>
      <c r="R318" s="10">
        <f t="shared" si="58"/>
        <v>0</v>
      </c>
      <c r="S318" s="10">
        <f t="shared" si="56"/>
        <v>0</v>
      </c>
      <c r="T318" s="10" t="s">
        <v>162</v>
      </c>
      <c r="U318" s="145">
        <v>0.33</v>
      </c>
      <c r="V318" s="10" t="str">
        <f>VLOOKUP(D318,A!B$1:T$1125,16,FALSE)</f>
        <v/>
      </c>
      <c r="W318" s="10">
        <f t="shared" si="57"/>
        <v>0</v>
      </c>
      <c r="X318" s="29"/>
      <c r="Y318" s="29"/>
      <c r="Z318" s="29"/>
      <c r="AA318" s="29"/>
    </row>
    <row r="319" spans="1:67" s="3" customFormat="1" ht="13.5" hidden="1" customHeight="1" x14ac:dyDescent="0.25">
      <c r="A319" t="str">
        <f>IF(R319=0,"",COUNTIF(A$13:A318,"&gt;0")+1)</f>
        <v/>
      </c>
      <c r="B319" s="4"/>
      <c r="C319" s="5" t="s">
        <v>22</v>
      </c>
      <c r="D319" s="7" t="s">
        <v>917</v>
      </c>
      <c r="E319" s="31"/>
      <c r="F319" s="31"/>
      <c r="G319" s="6" t="s">
        <v>83</v>
      </c>
      <c r="H319" s="7">
        <f>VLOOKUP(D319,A!B$1:L$1126,3,FALSE)</f>
        <v>0</v>
      </c>
      <c r="I319" s="31">
        <f>VLOOKUP(D319,A!B$1:L$1126,3,FALSE)</f>
        <v>0</v>
      </c>
      <c r="J319" s="92"/>
      <c r="K319" s="91" t="str">
        <f>VLOOKUP(D319,A!B$1:L$1126,6,FALSE)</f>
        <v/>
      </c>
      <c r="L319" s="162"/>
      <c r="M319" s="41" t="s">
        <v>918</v>
      </c>
      <c r="N319" s="94">
        <f>VLOOKUP(D319,A!B$1:L$1125,2,FALSE)</f>
        <v>0</v>
      </c>
      <c r="O319" s="94">
        <f>VLOOKUP(D319,A!B$1:L$1126,4,FALSE)</f>
        <v>0</v>
      </c>
      <c r="P319" s="10">
        <v>10</v>
      </c>
      <c r="Q319" s="10">
        <v>3.25</v>
      </c>
      <c r="R319" s="10">
        <f t="shared" si="58"/>
        <v>0</v>
      </c>
      <c r="S319" s="10">
        <f t="shared" si="56"/>
        <v>0</v>
      </c>
      <c r="T319" s="10" t="s">
        <v>162</v>
      </c>
      <c r="U319" s="145">
        <v>0.33</v>
      </c>
      <c r="V319" s="10" t="str">
        <f>VLOOKUP(D319,A!B$1:T$1125,16,FALSE)</f>
        <v/>
      </c>
      <c r="W319" s="10">
        <f t="shared" si="57"/>
        <v>0</v>
      </c>
      <c r="X319" s="29"/>
      <c r="Y319" s="29"/>
      <c r="Z319" s="29"/>
      <c r="AA319" s="29"/>
    </row>
    <row r="320" spans="1:67" s="3" customFormat="1" ht="13.5" hidden="1" customHeight="1" x14ac:dyDescent="0.25">
      <c r="A320" t="str">
        <f>IF(R320=0,"",COUNTIF(A$13:A319,"&gt;0")+1)</f>
        <v/>
      </c>
      <c r="B320" s="4"/>
      <c r="C320" s="5" t="s">
        <v>22</v>
      </c>
      <c r="D320" s="7" t="s">
        <v>919</v>
      </c>
      <c r="E320" s="31"/>
      <c r="F320" s="31"/>
      <c r="G320" s="6" t="s">
        <v>83</v>
      </c>
      <c r="H320" s="7">
        <f>VLOOKUP(D320,A!B$1:L$1126,3,FALSE)</f>
        <v>0</v>
      </c>
      <c r="I320" s="31">
        <f>VLOOKUP(D320,A!B$1:L$1126,3,FALSE)</f>
        <v>0</v>
      </c>
      <c r="J320" s="92"/>
      <c r="K320" s="91" t="str">
        <f>VLOOKUP(D320,A!B$1:L$1126,6,FALSE)</f>
        <v/>
      </c>
      <c r="L320" s="162"/>
      <c r="M320" s="41" t="s">
        <v>920</v>
      </c>
      <c r="N320" s="94">
        <f>VLOOKUP(D320,A!B$1:L$1125,2,FALSE)</f>
        <v>0</v>
      </c>
      <c r="O320" s="94">
        <f>VLOOKUP(D320,A!B$1:L$1126,4,FALSE)</f>
        <v>0</v>
      </c>
      <c r="P320" s="10">
        <v>10</v>
      </c>
      <c r="Q320" s="10">
        <v>3.25</v>
      </c>
      <c r="R320" s="10">
        <f t="shared" si="58"/>
        <v>0</v>
      </c>
      <c r="S320" s="10">
        <f t="shared" si="56"/>
        <v>0</v>
      </c>
      <c r="T320" s="10" t="s">
        <v>162</v>
      </c>
      <c r="U320" s="145">
        <v>0.33</v>
      </c>
      <c r="V320" s="10" t="str">
        <f>VLOOKUP(D320,A!B$1:T$1125,16,FALSE)</f>
        <v/>
      </c>
      <c r="W320" s="10">
        <f t="shared" si="57"/>
        <v>0</v>
      </c>
      <c r="X320" s="29"/>
      <c r="Y320" s="29"/>
      <c r="Z320" s="29"/>
      <c r="AA320" s="29"/>
    </row>
    <row r="321" spans="1:27" s="3" customFormat="1" ht="13.5" hidden="1" customHeight="1" x14ac:dyDescent="0.25">
      <c r="A321" t="str">
        <f>IF(R321=0,"",COUNTIF(A$13:A320,"&gt;0")+1)</f>
        <v/>
      </c>
      <c r="B321" s="4"/>
      <c r="C321" s="5" t="s">
        <v>22</v>
      </c>
      <c r="D321" s="7" t="s">
        <v>921</v>
      </c>
      <c r="E321" s="31"/>
      <c r="F321" s="31"/>
      <c r="G321" s="6" t="s">
        <v>83</v>
      </c>
      <c r="H321" s="7">
        <f>VLOOKUP(D321,A!B$1:L$1126,3,FALSE)</f>
        <v>0</v>
      </c>
      <c r="I321" s="31">
        <f>VLOOKUP(D321,A!B$1:L$1126,3,FALSE)</f>
        <v>0</v>
      </c>
      <c r="J321" s="92"/>
      <c r="K321" s="91" t="str">
        <f>VLOOKUP(D321,A!B$1:L$1126,6,FALSE)</f>
        <v/>
      </c>
      <c r="L321" s="162"/>
      <c r="M321" s="41" t="s">
        <v>922</v>
      </c>
      <c r="N321" s="94">
        <f>VLOOKUP(D321,A!B$1:L$1125,2,FALSE)</f>
        <v>0</v>
      </c>
      <c r="O321" s="94">
        <f>VLOOKUP(D321,A!B$1:L$1126,4,FALSE)</f>
        <v>0</v>
      </c>
      <c r="P321" s="10">
        <v>10</v>
      </c>
      <c r="Q321" s="10">
        <v>3.25</v>
      </c>
      <c r="R321" s="10">
        <f t="shared" si="58"/>
        <v>0</v>
      </c>
      <c r="S321" s="10">
        <f t="shared" si="56"/>
        <v>0</v>
      </c>
      <c r="T321" s="10" t="s">
        <v>162</v>
      </c>
      <c r="U321" s="145">
        <v>0.33</v>
      </c>
      <c r="V321" s="10" t="str">
        <f>VLOOKUP(D321,A!B$1:T$1125,16,FALSE)</f>
        <v/>
      </c>
      <c r="W321" s="10">
        <f t="shared" si="57"/>
        <v>0</v>
      </c>
      <c r="X321" s="29"/>
      <c r="Y321" s="29"/>
      <c r="Z321" s="29"/>
      <c r="AA321" s="29"/>
    </row>
    <row r="322" spans="1:27" s="3" customFormat="1" ht="13.5" hidden="1" customHeight="1" x14ac:dyDescent="0.25">
      <c r="A322" t="str">
        <f>IF(R322=0,"",COUNTIF(A$13:A321,"&gt;0")+1)</f>
        <v/>
      </c>
      <c r="B322" s="4"/>
      <c r="C322" s="5" t="s">
        <v>22</v>
      </c>
      <c r="D322" s="7" t="s">
        <v>923</v>
      </c>
      <c r="E322" s="31"/>
      <c r="F322" s="31"/>
      <c r="G322" s="6" t="s">
        <v>83</v>
      </c>
      <c r="H322" s="7">
        <f>VLOOKUP(D322,A!B$1:L$1126,3,FALSE)</f>
        <v>0</v>
      </c>
      <c r="I322" s="31">
        <f>VLOOKUP(D322,A!B$1:L$1126,3,FALSE)</f>
        <v>0</v>
      </c>
      <c r="J322" s="92"/>
      <c r="K322" s="91" t="str">
        <f>VLOOKUP(D322,A!B$1:L$1126,6,FALSE)</f>
        <v/>
      </c>
      <c r="L322" s="162"/>
      <c r="M322" s="41" t="s">
        <v>924</v>
      </c>
      <c r="N322" s="94">
        <f>VLOOKUP(D322,A!B$1:L$1125,2,FALSE)</f>
        <v>0</v>
      </c>
      <c r="O322" s="94">
        <f>VLOOKUP(D322,A!B$1:L$1126,4,FALSE)</f>
        <v>0</v>
      </c>
      <c r="P322" s="10">
        <v>10</v>
      </c>
      <c r="Q322" s="10">
        <v>3.25</v>
      </c>
      <c r="R322" s="10">
        <f t="shared" si="58"/>
        <v>0</v>
      </c>
      <c r="S322" s="10">
        <f t="shared" si="56"/>
        <v>0</v>
      </c>
      <c r="T322" s="10" t="s">
        <v>162</v>
      </c>
      <c r="U322" s="145">
        <v>0.33</v>
      </c>
      <c r="V322" s="10" t="str">
        <f>VLOOKUP(D322,A!B$1:T$1125,16,FALSE)</f>
        <v/>
      </c>
      <c r="W322" s="10">
        <f t="shared" si="57"/>
        <v>0</v>
      </c>
      <c r="X322" s="29"/>
      <c r="Y322" s="29"/>
      <c r="Z322" s="29"/>
      <c r="AA322" s="29"/>
    </row>
    <row r="323" spans="1:27" s="3" customFormat="1" ht="13.5" hidden="1" customHeight="1" x14ac:dyDescent="0.25">
      <c r="A323" t="str">
        <f>IF(R323=0,"",COUNTIF(A$13:A322,"&gt;0")+1)</f>
        <v/>
      </c>
      <c r="B323" s="4"/>
      <c r="C323" s="5" t="s">
        <v>22</v>
      </c>
      <c r="D323" s="7" t="s">
        <v>925</v>
      </c>
      <c r="E323" s="31"/>
      <c r="F323" s="31"/>
      <c r="G323" s="6" t="s">
        <v>83</v>
      </c>
      <c r="H323" s="7">
        <f>VLOOKUP(D323,A!B$1:L$1126,3,FALSE)</f>
        <v>0</v>
      </c>
      <c r="I323" s="31">
        <f>VLOOKUP(D323,A!B$1:L$1126,3,FALSE)</f>
        <v>0</v>
      </c>
      <c r="J323" s="92"/>
      <c r="K323" s="91" t="str">
        <f>VLOOKUP(D323,A!B$1:L$1126,6,FALSE)</f>
        <v/>
      </c>
      <c r="L323" s="162"/>
      <c r="M323" s="41" t="s">
        <v>926</v>
      </c>
      <c r="N323" s="94">
        <f>VLOOKUP(D323,A!B$1:L$1125,2,FALSE)</f>
        <v>0</v>
      </c>
      <c r="O323" s="94">
        <f>VLOOKUP(D323,A!B$1:L$1126,4,FALSE)</f>
        <v>0</v>
      </c>
      <c r="P323" s="10">
        <v>10</v>
      </c>
      <c r="Q323" s="10">
        <v>3.25</v>
      </c>
      <c r="R323" s="10">
        <f t="shared" si="58"/>
        <v>0</v>
      </c>
      <c r="S323" s="10">
        <f t="shared" si="56"/>
        <v>0</v>
      </c>
      <c r="T323" s="10" t="s">
        <v>162</v>
      </c>
      <c r="U323" s="145">
        <v>0.33</v>
      </c>
      <c r="V323" s="10" t="str">
        <f>VLOOKUP(D323,A!B$1:T$1125,16,FALSE)</f>
        <v/>
      </c>
      <c r="W323" s="10">
        <f t="shared" si="57"/>
        <v>0</v>
      </c>
      <c r="X323" s="29"/>
      <c r="Y323" s="29"/>
      <c r="Z323" s="29"/>
      <c r="AA323" s="29"/>
    </row>
    <row r="324" spans="1:27" s="3" customFormat="1" ht="13.5" hidden="1" customHeight="1" x14ac:dyDescent="0.25">
      <c r="A324" t="str">
        <f>IF(R324=0,"",COUNTIF(A$13:A323,"&gt;0")+1)</f>
        <v/>
      </c>
      <c r="B324" s="4"/>
      <c r="C324" s="5" t="s">
        <v>22</v>
      </c>
      <c r="D324" s="7" t="s">
        <v>927</v>
      </c>
      <c r="E324" s="31"/>
      <c r="F324" s="31"/>
      <c r="G324" s="6" t="s">
        <v>83</v>
      </c>
      <c r="H324" s="7">
        <f>VLOOKUP(D324,A!B$1:L$1126,3,FALSE)</f>
        <v>0</v>
      </c>
      <c r="I324" s="31">
        <f>VLOOKUP(D324,A!B$1:L$1126,3,FALSE)</f>
        <v>0</v>
      </c>
      <c r="J324" s="92"/>
      <c r="K324" s="91" t="str">
        <f>VLOOKUP(D324,A!B$1:L$1126,6,FALSE)</f>
        <v/>
      </c>
      <c r="L324" s="162"/>
      <c r="M324" s="41" t="s">
        <v>928</v>
      </c>
      <c r="N324" s="94">
        <f>VLOOKUP(D324,A!B$1:L$1125,2,FALSE)</f>
        <v>0</v>
      </c>
      <c r="O324" s="94">
        <f>VLOOKUP(D324,A!B$1:L$1126,4,FALSE)</f>
        <v>0</v>
      </c>
      <c r="P324" s="10">
        <v>10</v>
      </c>
      <c r="Q324" s="10">
        <v>3.25</v>
      </c>
      <c r="R324" s="10">
        <f t="shared" si="58"/>
        <v>0</v>
      </c>
      <c r="S324" s="10">
        <f t="shared" si="56"/>
        <v>0</v>
      </c>
      <c r="T324" s="10" t="s">
        <v>162</v>
      </c>
      <c r="U324" s="145">
        <v>0.33</v>
      </c>
      <c r="V324" s="10" t="str">
        <f>VLOOKUP(D324,A!B$1:T$1125,16,FALSE)</f>
        <v/>
      </c>
      <c r="W324" s="10">
        <f t="shared" si="57"/>
        <v>0</v>
      </c>
      <c r="X324" s="29"/>
      <c r="Y324" s="29"/>
      <c r="Z324" s="29"/>
      <c r="AA324" s="29"/>
    </row>
    <row r="325" spans="1:27" s="3" customFormat="1" ht="13.5" hidden="1" customHeight="1" x14ac:dyDescent="0.25">
      <c r="A325" t="str">
        <f>IF(R325=0,"",COUNTIF(A$13:A324,"&gt;0")+1)</f>
        <v/>
      </c>
      <c r="B325" s="4"/>
      <c r="C325" s="5" t="s">
        <v>22</v>
      </c>
      <c r="D325" s="7" t="s">
        <v>929</v>
      </c>
      <c r="E325" s="31"/>
      <c r="F325" s="31"/>
      <c r="G325" s="6" t="s">
        <v>83</v>
      </c>
      <c r="H325" s="7">
        <f>VLOOKUP(D325,A!B$1:L$1126,3,FALSE)</f>
        <v>0</v>
      </c>
      <c r="I325" s="31">
        <f>VLOOKUP(D325,A!B$1:L$1126,3,FALSE)</f>
        <v>0</v>
      </c>
      <c r="J325" s="92"/>
      <c r="K325" s="91" t="str">
        <f>VLOOKUP(D325,A!B$1:L$1126,6,FALSE)</f>
        <v/>
      </c>
      <c r="L325" s="162"/>
      <c r="M325" s="41" t="s">
        <v>930</v>
      </c>
      <c r="N325" s="94">
        <f>VLOOKUP(D325,A!B$1:L$1125,2,FALSE)</f>
        <v>0</v>
      </c>
      <c r="O325" s="94">
        <f>VLOOKUP(D325,A!B$1:L$1126,4,FALSE)</f>
        <v>0</v>
      </c>
      <c r="P325" s="10">
        <v>10</v>
      </c>
      <c r="Q325" s="10">
        <v>3.25</v>
      </c>
      <c r="R325" s="10">
        <f t="shared" si="58"/>
        <v>0</v>
      </c>
      <c r="S325" s="10">
        <f t="shared" si="56"/>
        <v>0</v>
      </c>
      <c r="T325" s="10" t="s">
        <v>162</v>
      </c>
      <c r="U325" s="145">
        <v>0.33</v>
      </c>
      <c r="V325" s="10" t="str">
        <f>VLOOKUP(D325,A!B$1:T$1125,16,FALSE)</f>
        <v/>
      </c>
      <c r="W325" s="10">
        <f t="shared" si="57"/>
        <v>0</v>
      </c>
      <c r="X325" s="29"/>
      <c r="Y325" s="29"/>
      <c r="Z325" s="29"/>
      <c r="AA325" s="29"/>
    </row>
    <row r="326" spans="1:27" s="3" customFormat="1" ht="13.5" hidden="1" customHeight="1" x14ac:dyDescent="0.25">
      <c r="A326" t="str">
        <f>IF(R326=0,"",COUNTIF(A$13:A325,"&gt;0")+1)</f>
        <v/>
      </c>
      <c r="B326" s="4"/>
      <c r="C326" s="5" t="s">
        <v>22</v>
      </c>
      <c r="D326" s="7" t="s">
        <v>931</v>
      </c>
      <c r="E326" s="31"/>
      <c r="F326" s="31"/>
      <c r="G326" s="6" t="s">
        <v>83</v>
      </c>
      <c r="H326" s="7">
        <f>VLOOKUP(D326,A!B$1:L$1126,3,FALSE)</f>
        <v>0</v>
      </c>
      <c r="I326" s="31">
        <f>VLOOKUP(D326,A!B$1:L$1126,3,FALSE)</f>
        <v>0</v>
      </c>
      <c r="J326" s="92"/>
      <c r="K326" s="91" t="str">
        <f>VLOOKUP(D326,A!B$1:L$1126,6,FALSE)</f>
        <v/>
      </c>
      <c r="L326" s="162"/>
      <c r="M326" s="41" t="s">
        <v>932</v>
      </c>
      <c r="N326" s="94">
        <f>VLOOKUP(D326,A!B$1:L$1125,2,FALSE)</f>
        <v>0</v>
      </c>
      <c r="O326" s="94">
        <f>VLOOKUP(D326,A!B$1:L$1126,4,FALSE)</f>
        <v>0</v>
      </c>
      <c r="P326" s="10">
        <v>10</v>
      </c>
      <c r="Q326" s="10">
        <v>3.25</v>
      </c>
      <c r="R326" s="10">
        <f t="shared" si="58"/>
        <v>0</v>
      </c>
      <c r="S326" s="10">
        <f t="shared" si="56"/>
        <v>0</v>
      </c>
      <c r="T326" s="10" t="s">
        <v>162</v>
      </c>
      <c r="U326" s="145">
        <v>0.33</v>
      </c>
      <c r="V326" s="10" t="str">
        <f>VLOOKUP(D326,A!B$1:T$1125,16,FALSE)</f>
        <v/>
      </c>
      <c r="W326" s="10">
        <f t="shared" si="57"/>
        <v>0</v>
      </c>
      <c r="X326" s="29"/>
      <c r="Y326" s="29"/>
      <c r="Z326" s="29"/>
      <c r="AA326" s="29"/>
    </row>
    <row r="327" spans="1:27" s="3" customFormat="1" ht="13.5" hidden="1" customHeight="1" x14ac:dyDescent="0.25">
      <c r="A327" t="str">
        <f>IF(R327=0,"",COUNTIF(A$13:A326,"&gt;0")+1)</f>
        <v/>
      </c>
      <c r="B327" s="4"/>
      <c r="C327" s="5" t="s">
        <v>22</v>
      </c>
      <c r="D327" s="7" t="s">
        <v>933</v>
      </c>
      <c r="E327" s="31"/>
      <c r="F327" s="31"/>
      <c r="G327" s="6" t="s">
        <v>83</v>
      </c>
      <c r="H327" s="7">
        <f>VLOOKUP(D327,A!B$1:L$1126,3,FALSE)</f>
        <v>0</v>
      </c>
      <c r="I327" s="31">
        <f>VLOOKUP(D327,A!B$1:L$1126,3,FALSE)</f>
        <v>0</v>
      </c>
      <c r="J327" s="92"/>
      <c r="K327" s="91" t="str">
        <f>VLOOKUP(D327,A!B$1:L$1126,6,FALSE)</f>
        <v/>
      </c>
      <c r="L327" s="162"/>
      <c r="M327" s="43" t="s">
        <v>934</v>
      </c>
      <c r="N327" s="94">
        <f>VLOOKUP(D327,A!B$1:L$1125,2,FALSE)</f>
        <v>0</v>
      </c>
      <c r="O327" s="94">
        <f>VLOOKUP(D327,A!B$1:L$1126,4,FALSE)</f>
        <v>0</v>
      </c>
      <c r="P327" s="10">
        <v>10</v>
      </c>
      <c r="Q327" s="10">
        <v>3.25</v>
      </c>
      <c r="R327" s="10">
        <f t="shared" si="58"/>
        <v>0</v>
      </c>
      <c r="S327" s="10">
        <f t="shared" si="56"/>
        <v>0</v>
      </c>
      <c r="T327" s="10" t="s">
        <v>162</v>
      </c>
      <c r="U327" s="145">
        <v>0.33</v>
      </c>
      <c r="V327" s="10" t="str">
        <f>VLOOKUP(D327,A!B$1:T$1125,16,FALSE)</f>
        <v/>
      </c>
      <c r="W327" s="10">
        <f t="shared" si="57"/>
        <v>0</v>
      </c>
      <c r="X327" s="29"/>
      <c r="Y327" s="29"/>
      <c r="Z327" s="29"/>
      <c r="AA327" s="29"/>
    </row>
    <row r="328" spans="1:27" s="3" customFormat="1" ht="13.5" hidden="1" customHeight="1" x14ac:dyDescent="0.25">
      <c r="A328" t="str">
        <f>IF(R328=0,"",COUNTIF(A$13:A327,"&gt;0")+1)</f>
        <v/>
      </c>
      <c r="B328" s="4"/>
      <c r="C328" s="5" t="s">
        <v>22</v>
      </c>
      <c r="D328" s="7" t="s">
        <v>935</v>
      </c>
      <c r="E328" s="31"/>
      <c r="F328" s="31"/>
      <c r="G328" s="20" t="s">
        <v>936</v>
      </c>
      <c r="H328" s="7">
        <f>VLOOKUP(D328,A!B$1:L$1126,3,FALSE)</f>
        <v>0</v>
      </c>
      <c r="I328" s="31">
        <f>VLOOKUP(D328,A!B$1:L$1126,3,FALSE)</f>
        <v>0</v>
      </c>
      <c r="J328" s="92"/>
      <c r="K328" s="91" t="str">
        <f>VLOOKUP(D328,A!B$1:L$1126,6,FALSE)</f>
        <v/>
      </c>
      <c r="L328" s="162"/>
      <c r="M328" s="43" t="s">
        <v>937</v>
      </c>
      <c r="N328" s="94">
        <f>VLOOKUP(D328,A!B$1:L$1125,2,FALSE)</f>
        <v>0</v>
      </c>
      <c r="O328" s="94">
        <f>VLOOKUP(D328,A!B$1:L$1126,4,FALSE)</f>
        <v>0</v>
      </c>
      <c r="P328" s="10">
        <v>10</v>
      </c>
      <c r="Q328" s="10">
        <v>3.25</v>
      </c>
      <c r="R328" s="10">
        <f t="shared" si="58"/>
        <v>0</v>
      </c>
      <c r="S328" s="10">
        <f t="shared" si="56"/>
        <v>0</v>
      </c>
      <c r="T328" s="10" t="s">
        <v>162</v>
      </c>
      <c r="U328" s="145">
        <v>0.33</v>
      </c>
      <c r="V328" s="10" t="str">
        <f>VLOOKUP(D328,A!B$1:T$1125,16,FALSE)</f>
        <v/>
      </c>
      <c r="W328" s="10">
        <f t="shared" si="57"/>
        <v>0</v>
      </c>
      <c r="X328" s="29"/>
      <c r="Y328" s="29"/>
      <c r="Z328" s="29"/>
      <c r="AA328" s="29"/>
    </row>
    <row r="329" spans="1:27" s="3" customFormat="1" ht="13.5" hidden="1" customHeight="1" x14ac:dyDescent="0.25">
      <c r="A329" t="str">
        <f>IF(R329=0,"",COUNTIF(A$13:A328,"&gt;0")+1)</f>
        <v/>
      </c>
      <c r="B329" s="4"/>
      <c r="C329" s="5" t="s">
        <v>22</v>
      </c>
      <c r="D329" s="7" t="s">
        <v>938</v>
      </c>
      <c r="E329" s="31"/>
      <c r="F329" s="31"/>
      <c r="G329" s="6" t="s">
        <v>939</v>
      </c>
      <c r="H329" s="7">
        <f>VLOOKUP(D329,A!B$1:L$1126,3,FALSE)</f>
        <v>0</v>
      </c>
      <c r="I329" s="31">
        <f>VLOOKUP(D329,A!B$1:L$1126,3,FALSE)</f>
        <v>0</v>
      </c>
      <c r="J329" s="92"/>
      <c r="K329" s="91" t="str">
        <f>VLOOKUP(D329,A!B$1:L$1126,6,FALSE)</f>
        <v/>
      </c>
      <c r="L329" s="162"/>
      <c r="M329" s="41" t="s">
        <v>940</v>
      </c>
      <c r="N329" s="94">
        <f>VLOOKUP(D329,A!B$1:L$1125,2,FALSE)</f>
        <v>0</v>
      </c>
      <c r="O329" s="94">
        <f>VLOOKUP(D329,A!B$1:L$1126,4,FALSE)</f>
        <v>0</v>
      </c>
      <c r="P329" s="10">
        <v>10</v>
      </c>
      <c r="Q329" s="10">
        <v>3.25</v>
      </c>
      <c r="R329" s="10">
        <f t="shared" si="58"/>
        <v>0</v>
      </c>
      <c r="S329" s="10">
        <f t="shared" si="56"/>
        <v>0</v>
      </c>
      <c r="T329" s="10" t="s">
        <v>162</v>
      </c>
      <c r="U329" s="145">
        <v>0.33</v>
      </c>
      <c r="V329" s="10" t="str">
        <f>VLOOKUP(D329,A!B$1:T$1125,16,FALSE)</f>
        <v/>
      </c>
      <c r="W329" s="10">
        <f t="shared" si="57"/>
        <v>0</v>
      </c>
      <c r="X329" s="29"/>
      <c r="Y329" s="29"/>
      <c r="Z329" s="29"/>
      <c r="AA329" s="29"/>
    </row>
    <row r="330" spans="1:27" s="3" customFormat="1" ht="13.5" hidden="1" customHeight="1" x14ac:dyDescent="0.25">
      <c r="A330" t="str">
        <f>IF(R330=0,"",COUNTIF(A$13:A329,"&gt;0")+1)</f>
        <v/>
      </c>
      <c r="B330" s="4"/>
      <c r="C330" s="5" t="s">
        <v>22</v>
      </c>
      <c r="D330" s="7" t="s">
        <v>941</v>
      </c>
      <c r="E330" s="31"/>
      <c r="F330" s="31"/>
      <c r="G330" s="6" t="s">
        <v>942</v>
      </c>
      <c r="H330" s="7">
        <f>VLOOKUP(D330,A!B$1:L$1126,3,FALSE)</f>
        <v>0</v>
      </c>
      <c r="I330" s="31">
        <f>VLOOKUP(D330,A!B$1:L$1126,3,FALSE)</f>
        <v>0</v>
      </c>
      <c r="J330" s="92"/>
      <c r="K330" s="91" t="str">
        <f>VLOOKUP(D330,A!B$1:L$1126,6,FALSE)</f>
        <v/>
      </c>
      <c r="L330" s="162"/>
      <c r="M330" s="41" t="s">
        <v>943</v>
      </c>
      <c r="N330" s="94">
        <f>VLOOKUP(D330,A!B$1:L$1125,2,FALSE)</f>
        <v>0</v>
      </c>
      <c r="O330" s="94">
        <f>VLOOKUP(D330,A!B$1:L$1126,4,FALSE)</f>
        <v>0</v>
      </c>
      <c r="P330" s="10">
        <v>10</v>
      </c>
      <c r="Q330" s="10">
        <v>3.25</v>
      </c>
      <c r="R330" s="10">
        <f t="shared" si="58"/>
        <v>0</v>
      </c>
      <c r="S330" s="10">
        <f t="shared" si="56"/>
        <v>0</v>
      </c>
      <c r="T330" s="10" t="s">
        <v>162</v>
      </c>
      <c r="U330" s="145">
        <v>0.33</v>
      </c>
      <c r="V330" s="10" t="str">
        <f>VLOOKUP(D330,A!B$1:T$1125,16,FALSE)</f>
        <v/>
      </c>
      <c r="W330" s="10">
        <f t="shared" si="57"/>
        <v>0</v>
      </c>
      <c r="X330" s="29"/>
      <c r="Y330" s="29"/>
      <c r="Z330" s="29"/>
      <c r="AA330" s="29"/>
    </row>
    <row r="331" spans="1:27" s="3" customFormat="1" ht="13.5" hidden="1" customHeight="1" x14ac:dyDescent="0.25">
      <c r="A331" t="str">
        <f>IF(R331=0,"",COUNTIF(A$13:A330,"&gt;0")+1)</f>
        <v/>
      </c>
      <c r="B331" s="4"/>
      <c r="C331" s="5" t="s">
        <v>22</v>
      </c>
      <c r="D331" s="7" t="s">
        <v>944</v>
      </c>
      <c r="E331" s="31"/>
      <c r="F331" s="31"/>
      <c r="G331" s="6" t="s">
        <v>942</v>
      </c>
      <c r="H331" s="7">
        <f>VLOOKUP(D331,A!B$1:L$1126,3,FALSE)</f>
        <v>0</v>
      </c>
      <c r="I331" s="31">
        <f>VLOOKUP(D331,A!B$1:L$1126,3,FALSE)</f>
        <v>0</v>
      </c>
      <c r="J331" s="92"/>
      <c r="K331" s="91" t="str">
        <f>VLOOKUP(D331,A!B$1:L$1126,6,FALSE)</f>
        <v/>
      </c>
      <c r="L331" s="162"/>
      <c r="M331" s="41" t="s">
        <v>945</v>
      </c>
      <c r="N331" s="94">
        <f>VLOOKUP(D331,A!B$1:L$1125,2,FALSE)</f>
        <v>0</v>
      </c>
      <c r="O331" s="94">
        <f>VLOOKUP(D331,A!B$1:L$1126,4,FALSE)</f>
        <v>0</v>
      </c>
      <c r="P331" s="10">
        <v>10</v>
      </c>
      <c r="Q331" s="10">
        <v>3.25</v>
      </c>
      <c r="R331" s="10">
        <f t="shared" si="58"/>
        <v>0</v>
      </c>
      <c r="S331" s="10">
        <f t="shared" si="56"/>
        <v>0</v>
      </c>
      <c r="T331" s="10" t="s">
        <v>162</v>
      </c>
      <c r="U331" s="145">
        <v>0.33</v>
      </c>
      <c r="V331" s="10" t="str">
        <f>VLOOKUP(D331,A!B$1:T$1125,16,FALSE)</f>
        <v/>
      </c>
      <c r="W331" s="10">
        <f t="shared" si="57"/>
        <v>0</v>
      </c>
      <c r="X331" s="29"/>
      <c r="Y331" s="29"/>
      <c r="Z331" s="29"/>
      <c r="AA331" s="29"/>
    </row>
    <row r="332" spans="1:27" s="3" customFormat="1" ht="13.5" hidden="1" customHeight="1" x14ac:dyDescent="0.25">
      <c r="A332" t="str">
        <f>IF(R332=0,"",COUNTIF(A$13:A331,"&gt;0")+1)</f>
        <v/>
      </c>
      <c r="B332" s="4"/>
      <c r="C332" s="5" t="s">
        <v>22</v>
      </c>
      <c r="D332" s="7" t="s">
        <v>946</v>
      </c>
      <c r="E332" s="31"/>
      <c r="F332" s="31"/>
      <c r="G332" s="6" t="s">
        <v>942</v>
      </c>
      <c r="H332" s="7">
        <f>VLOOKUP(D332,A!B$1:L$1126,3,FALSE)</f>
        <v>0</v>
      </c>
      <c r="I332" s="31">
        <f>VLOOKUP(D332,A!B$1:L$1126,3,FALSE)</f>
        <v>0</v>
      </c>
      <c r="J332" s="92"/>
      <c r="K332" s="91" t="str">
        <f>VLOOKUP(D332,A!B$1:L$1126,6,FALSE)</f>
        <v/>
      </c>
      <c r="L332" s="162"/>
      <c r="M332" s="41" t="s">
        <v>947</v>
      </c>
      <c r="N332" s="94">
        <f>VLOOKUP(D332,A!B$1:L$1125,2,FALSE)</f>
        <v>0</v>
      </c>
      <c r="O332" s="94">
        <f>VLOOKUP(D332,A!B$1:L$1126,4,FALSE)</f>
        <v>0</v>
      </c>
      <c r="P332" s="10">
        <v>10</v>
      </c>
      <c r="Q332" s="10">
        <v>3.25</v>
      </c>
      <c r="R332" s="10">
        <f t="shared" si="58"/>
        <v>0</v>
      </c>
      <c r="S332" s="10">
        <f t="shared" si="56"/>
        <v>0</v>
      </c>
      <c r="T332" s="10" t="s">
        <v>162</v>
      </c>
      <c r="U332" s="145">
        <v>0.33</v>
      </c>
      <c r="V332" s="10" t="str">
        <f>VLOOKUP(D332,A!B$1:T$1125,16,FALSE)</f>
        <v/>
      </c>
      <c r="W332" s="10">
        <f t="shared" si="57"/>
        <v>0</v>
      </c>
      <c r="X332" s="29"/>
      <c r="Y332" s="29"/>
      <c r="Z332" s="29"/>
      <c r="AA332" s="29"/>
    </row>
    <row r="333" spans="1:27" s="3" customFormat="1" ht="13.5" hidden="1" customHeight="1" x14ac:dyDescent="0.25">
      <c r="A333" t="str">
        <f>IF(R333=0,"",COUNTIF(A$13:A332,"&gt;0")+1)</f>
        <v/>
      </c>
      <c r="B333" s="4"/>
      <c r="C333" s="5" t="s">
        <v>22</v>
      </c>
      <c r="D333" s="7" t="s">
        <v>948</v>
      </c>
      <c r="E333" s="31"/>
      <c r="F333" s="31"/>
      <c r="G333" s="6" t="s">
        <v>949</v>
      </c>
      <c r="H333" s="7">
        <f>VLOOKUP(D333,A!B$1:L$1126,3,FALSE)</f>
        <v>0</v>
      </c>
      <c r="I333" s="31">
        <f>VLOOKUP(D333,A!B$1:L$1126,3,FALSE)</f>
        <v>0</v>
      </c>
      <c r="J333" s="92"/>
      <c r="K333" s="91" t="str">
        <f>VLOOKUP(D333,A!B$1:L$1126,6,FALSE)</f>
        <v/>
      </c>
      <c r="L333" s="162"/>
      <c r="M333" s="43" t="s">
        <v>950</v>
      </c>
      <c r="N333" s="94">
        <f>VLOOKUP(D333,A!B$1:L$1125,2,FALSE)</f>
        <v>0</v>
      </c>
      <c r="O333" s="94">
        <f>VLOOKUP(D333,A!B$1:L$1126,4,FALSE)</f>
        <v>0</v>
      </c>
      <c r="P333" s="10">
        <v>10</v>
      </c>
      <c r="Q333" s="10">
        <v>3.25</v>
      </c>
      <c r="R333" s="10">
        <f t="shared" si="58"/>
        <v>0</v>
      </c>
      <c r="S333" s="10">
        <f t="shared" si="56"/>
        <v>0</v>
      </c>
      <c r="T333" s="10" t="s">
        <v>162</v>
      </c>
      <c r="U333" s="145">
        <v>0.33</v>
      </c>
      <c r="V333" s="10" t="str">
        <f>VLOOKUP(D333,A!B$1:T$1125,16,FALSE)</f>
        <v/>
      </c>
      <c r="W333" s="10">
        <f t="shared" si="57"/>
        <v>0</v>
      </c>
      <c r="X333" s="29"/>
      <c r="Y333" s="29"/>
      <c r="Z333" s="29"/>
      <c r="AA333" s="29"/>
    </row>
    <row r="334" spans="1:27" s="3" customFormat="1" ht="13.5" hidden="1" customHeight="1" x14ac:dyDescent="0.25">
      <c r="A334" t="str">
        <f>IF(R334=0,"",COUNTIF(A$13:A333,"&gt;0")+1)</f>
        <v/>
      </c>
      <c r="B334" s="4"/>
      <c r="C334" s="5" t="s">
        <v>22</v>
      </c>
      <c r="D334" s="7" t="s">
        <v>951</v>
      </c>
      <c r="E334" s="31"/>
      <c r="F334" s="31"/>
      <c r="G334" s="6" t="s">
        <v>952</v>
      </c>
      <c r="H334" s="7">
        <f>VLOOKUP(D334,A!B$1:L$1126,3,FALSE)</f>
        <v>0</v>
      </c>
      <c r="I334" s="31">
        <f>VLOOKUP(D334,A!B$1:L$1126,3,FALSE)</f>
        <v>0</v>
      </c>
      <c r="J334" s="92"/>
      <c r="K334" s="91" t="str">
        <f>VLOOKUP(D334,A!B$1:L$1126,6,FALSE)</f>
        <v/>
      </c>
      <c r="L334" s="162"/>
      <c r="M334" s="41" t="s">
        <v>953</v>
      </c>
      <c r="N334" s="94">
        <f>VLOOKUP(D334,A!B$1:L$1125,2,FALSE)</f>
        <v>0</v>
      </c>
      <c r="O334" s="94">
        <f>VLOOKUP(D334,A!B$1:L$1126,4,FALSE)</f>
        <v>0</v>
      </c>
      <c r="P334" s="10">
        <v>10</v>
      </c>
      <c r="Q334" s="10">
        <v>3.25</v>
      </c>
      <c r="R334" s="10">
        <f t="shared" si="58"/>
        <v>0</v>
      </c>
      <c r="S334" s="10">
        <f t="shared" si="56"/>
        <v>0</v>
      </c>
      <c r="T334" s="10" t="s">
        <v>162</v>
      </c>
      <c r="U334" s="145">
        <v>0.33</v>
      </c>
      <c r="V334" s="10" t="str">
        <f>VLOOKUP(D334,A!B$1:T$1125,16,FALSE)</f>
        <v/>
      </c>
      <c r="W334" s="10">
        <f t="shared" si="57"/>
        <v>0</v>
      </c>
      <c r="X334" s="29"/>
      <c r="Y334" s="29"/>
      <c r="Z334" s="29"/>
      <c r="AA334" s="29"/>
    </row>
    <row r="335" spans="1:27" s="3" customFormat="1" ht="13.5" hidden="1" customHeight="1" x14ac:dyDescent="0.25">
      <c r="A335" t="str">
        <f>IF(R335=0,"",COUNTIF(A$13:A334,"&gt;0")+1)</f>
        <v/>
      </c>
      <c r="B335" s="4"/>
      <c r="C335" s="5" t="s">
        <v>22</v>
      </c>
      <c r="D335" s="7" t="s">
        <v>954</v>
      </c>
      <c r="E335" s="31"/>
      <c r="F335" s="31"/>
      <c r="G335" s="6" t="s">
        <v>955</v>
      </c>
      <c r="H335" s="7">
        <f>VLOOKUP(D335,A!B$1:L$1126,3,FALSE)</f>
        <v>0</v>
      </c>
      <c r="I335" s="31">
        <f>VLOOKUP(D335,A!B$1:L$1126,3,FALSE)</f>
        <v>0</v>
      </c>
      <c r="J335" s="92"/>
      <c r="K335" s="91" t="str">
        <f>VLOOKUP(D335,A!B$1:L$1126,6,FALSE)</f>
        <v/>
      </c>
      <c r="L335" s="162"/>
      <c r="M335" s="43" t="s">
        <v>956</v>
      </c>
      <c r="N335" s="94">
        <f>VLOOKUP(D335,A!B$1:L$1125,2,FALSE)</f>
        <v>0</v>
      </c>
      <c r="O335" s="94">
        <f>VLOOKUP(D335,A!B$1:L$1126,4,FALSE)</f>
        <v>0</v>
      </c>
      <c r="P335" s="10">
        <v>10</v>
      </c>
      <c r="Q335" s="10">
        <v>3.25</v>
      </c>
      <c r="R335" s="10">
        <f t="shared" si="58"/>
        <v>0</v>
      </c>
      <c r="S335" s="10">
        <f t="shared" si="56"/>
        <v>0</v>
      </c>
      <c r="T335" s="10" t="s">
        <v>162</v>
      </c>
      <c r="U335" s="145">
        <v>0.33</v>
      </c>
      <c r="V335" s="10" t="str">
        <f>VLOOKUP(D335,A!B$1:T$1125,16,FALSE)</f>
        <v/>
      </c>
      <c r="W335" s="10">
        <f t="shared" si="57"/>
        <v>0</v>
      </c>
      <c r="X335" s="29"/>
      <c r="Y335" s="29"/>
      <c r="Z335" s="29"/>
      <c r="AA335" s="29"/>
    </row>
    <row r="336" spans="1:27" s="3" customFormat="1" ht="13.5" hidden="1" customHeight="1" x14ac:dyDescent="0.25">
      <c r="A336" t="str">
        <f>IF(R336=0,"",COUNTIF(A$13:A335,"&gt;0")+1)</f>
        <v/>
      </c>
      <c r="B336" s="4"/>
      <c r="C336" s="5" t="s">
        <v>22</v>
      </c>
      <c r="D336" s="7" t="s">
        <v>957</v>
      </c>
      <c r="E336" s="31"/>
      <c r="F336" s="31"/>
      <c r="G336" s="6" t="s">
        <v>958</v>
      </c>
      <c r="H336" s="7">
        <f>VLOOKUP(D336,A!B$1:L$1126,3,FALSE)</f>
        <v>0</v>
      </c>
      <c r="I336" s="31">
        <f>VLOOKUP(D336,A!B$1:L$1126,3,FALSE)</f>
        <v>0</v>
      </c>
      <c r="J336" s="92"/>
      <c r="K336" s="91" t="str">
        <f>VLOOKUP(D336,A!B$1:L$1126,6,FALSE)</f>
        <v/>
      </c>
      <c r="L336" s="162"/>
      <c r="M336" s="43" t="s">
        <v>959</v>
      </c>
      <c r="N336" s="94">
        <f>VLOOKUP(D336,A!B$1:L$1125,2,FALSE)</f>
        <v>0</v>
      </c>
      <c r="O336" s="94">
        <f>VLOOKUP(D336,A!B$1:L$1126,4,FALSE)</f>
        <v>0</v>
      </c>
      <c r="P336" s="10">
        <v>10</v>
      </c>
      <c r="Q336" s="10">
        <v>3.25</v>
      </c>
      <c r="R336" s="10">
        <f t="shared" si="58"/>
        <v>0</v>
      </c>
      <c r="S336" s="10">
        <f t="shared" si="56"/>
        <v>0</v>
      </c>
      <c r="T336" s="10" t="s">
        <v>162</v>
      </c>
      <c r="U336" s="145">
        <v>0.33</v>
      </c>
      <c r="V336" s="10" t="str">
        <f>VLOOKUP(D336,A!B$1:T$1125,16,FALSE)</f>
        <v/>
      </c>
      <c r="W336" s="10">
        <f t="shared" si="57"/>
        <v>0</v>
      </c>
      <c r="X336" s="29"/>
      <c r="Y336" s="29"/>
      <c r="Z336" s="29"/>
      <c r="AA336" s="29"/>
    </row>
    <row r="337" spans="1:86" s="3" customFormat="1" ht="13.5" hidden="1" customHeight="1" x14ac:dyDescent="0.25">
      <c r="A337" t="str">
        <f>IF(R337=0,"",COUNTIF(A$13:A336,"&gt;0")+1)</f>
        <v/>
      </c>
      <c r="B337" s="4"/>
      <c r="C337" s="5" t="s">
        <v>22</v>
      </c>
      <c r="D337" s="7" t="s">
        <v>960</v>
      </c>
      <c r="E337" s="31"/>
      <c r="F337" s="31"/>
      <c r="G337" s="6" t="s">
        <v>961</v>
      </c>
      <c r="H337" s="7">
        <f>VLOOKUP(D337,A!B$1:L$1126,3,FALSE)</f>
        <v>0</v>
      </c>
      <c r="I337" s="31">
        <f>VLOOKUP(D337,A!B$1:L$1126,3,FALSE)</f>
        <v>0</v>
      </c>
      <c r="J337" s="92"/>
      <c r="K337" s="91" t="str">
        <f>VLOOKUP(D337,A!B$1:L$1126,6,FALSE)</f>
        <v/>
      </c>
      <c r="L337" s="162"/>
      <c r="M337" s="43" t="s">
        <v>962</v>
      </c>
      <c r="N337" s="94">
        <f>VLOOKUP(D337,A!B$1:L$1125,2,FALSE)</f>
        <v>0</v>
      </c>
      <c r="O337" s="94">
        <f>VLOOKUP(D337,A!B$1:L$1126,4,FALSE)</f>
        <v>0</v>
      </c>
      <c r="P337" s="10">
        <v>10</v>
      </c>
      <c r="Q337" s="10">
        <v>3.25</v>
      </c>
      <c r="R337" s="10">
        <f t="shared" si="58"/>
        <v>0</v>
      </c>
      <c r="S337" s="10">
        <f t="shared" si="56"/>
        <v>0</v>
      </c>
      <c r="T337" s="10" t="s">
        <v>162</v>
      </c>
      <c r="U337" s="145">
        <v>0.33</v>
      </c>
      <c r="V337" s="10" t="str">
        <f>VLOOKUP(D337,A!B$1:T$1125,16,FALSE)</f>
        <v/>
      </c>
      <c r="W337" s="10">
        <f t="shared" si="57"/>
        <v>0</v>
      </c>
      <c r="X337" s="29"/>
      <c r="Y337" s="29"/>
      <c r="Z337" s="29"/>
      <c r="AA337" s="29"/>
    </row>
    <row r="338" spans="1:86" s="3" customFormat="1" ht="13.5" hidden="1" customHeight="1" x14ac:dyDescent="0.25">
      <c r="A338" t="str">
        <f>IF(R338=0,"",COUNTIF(A$13:A337,"&gt;0")+1)</f>
        <v/>
      </c>
      <c r="B338" s="4"/>
      <c r="C338" s="5" t="s">
        <v>22</v>
      </c>
      <c r="D338" s="7" t="s">
        <v>222</v>
      </c>
      <c r="E338" s="31"/>
      <c r="F338" s="31"/>
      <c r="G338" s="6" t="s">
        <v>223</v>
      </c>
      <c r="H338" s="7">
        <f>VLOOKUP(D338,A!B$1:L$1126,3,FALSE)</f>
        <v>0</v>
      </c>
      <c r="I338" s="31">
        <f>VLOOKUP(D338,A!B$1:L$1126,3,FALSE)</f>
        <v>0</v>
      </c>
      <c r="J338" s="92"/>
      <c r="K338" s="91" t="str">
        <f>VLOOKUP(D338,A!B$1:L$1126,6,FALSE)</f>
        <v/>
      </c>
      <c r="L338" s="2"/>
      <c r="M338" s="41" t="s">
        <v>224</v>
      </c>
      <c r="N338" s="94">
        <f>VLOOKUP(D338,A!B$1:L$1125,2,FALSE)</f>
        <v>0</v>
      </c>
      <c r="O338" s="94">
        <f>VLOOKUP(D338,A!B$1:L$1126,4,FALSE)</f>
        <v>0</v>
      </c>
      <c r="P338" s="10">
        <v>10</v>
      </c>
      <c r="Q338" s="10">
        <v>3.25</v>
      </c>
      <c r="R338" s="10">
        <f t="shared" si="58"/>
        <v>0</v>
      </c>
      <c r="S338" s="10">
        <f t="shared" si="56"/>
        <v>0</v>
      </c>
      <c r="T338" s="10" t="s">
        <v>162</v>
      </c>
      <c r="U338" s="145">
        <v>0.33</v>
      </c>
      <c r="V338" s="10" t="str">
        <f>VLOOKUP(D338,A!B$1:T$1125,16,FALSE)</f>
        <v/>
      </c>
      <c r="W338" s="10">
        <f t="shared" si="57"/>
        <v>0</v>
      </c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</row>
    <row r="339" spans="1:86" s="3" customFormat="1" ht="13.5" hidden="1" customHeight="1" x14ac:dyDescent="0.25">
      <c r="A339" t="str">
        <f>IF(R339=0,"",COUNTIF(A$13:A338,"&gt;0")+1)</f>
        <v/>
      </c>
      <c r="B339" s="4"/>
      <c r="C339" s="5" t="s">
        <v>22</v>
      </c>
      <c r="D339" s="7" t="s">
        <v>963</v>
      </c>
      <c r="E339" s="31"/>
      <c r="F339" s="31"/>
      <c r="G339" s="6" t="s">
        <v>964</v>
      </c>
      <c r="H339" s="7">
        <f>VLOOKUP(D339,A!B$1:L$1126,3,FALSE)</f>
        <v>0</v>
      </c>
      <c r="I339" s="31">
        <f>VLOOKUP(D339,A!B$1:L$1126,3,FALSE)</f>
        <v>0</v>
      </c>
      <c r="J339" s="92"/>
      <c r="K339" s="91" t="str">
        <f>VLOOKUP(D339,A!B$1:L$1126,6,FALSE)</f>
        <v/>
      </c>
      <c r="L339" s="162"/>
      <c r="M339" s="40" t="s">
        <v>965</v>
      </c>
      <c r="N339" s="94">
        <f>VLOOKUP(D339,A!B$1:L$1125,2,FALSE)</f>
        <v>0</v>
      </c>
      <c r="O339" s="94">
        <f>VLOOKUP(D339,A!B$1:L$1126,4,FALSE)</f>
        <v>0</v>
      </c>
      <c r="P339" s="10">
        <v>10</v>
      </c>
      <c r="Q339" s="10">
        <v>3.25</v>
      </c>
      <c r="R339" s="10">
        <f t="shared" si="58"/>
        <v>0</v>
      </c>
      <c r="S339" s="10">
        <f t="shared" si="56"/>
        <v>0</v>
      </c>
      <c r="T339" s="10" t="s">
        <v>162</v>
      </c>
      <c r="U339" s="145">
        <v>0.33</v>
      </c>
      <c r="V339" s="10" t="str">
        <f>VLOOKUP(D339,A!B$1:T$1125,16,FALSE)</f>
        <v/>
      </c>
      <c r="W339" s="10">
        <f t="shared" si="57"/>
        <v>0</v>
      </c>
      <c r="X339" s="29"/>
      <c r="Y339" s="29"/>
      <c r="Z339" s="29"/>
      <c r="AA339" s="29"/>
    </row>
    <row r="340" spans="1:86" s="3" customFormat="1" ht="13.5" customHeight="1" x14ac:dyDescent="0.25">
      <c r="A340" t="str">
        <f>IF(R340=0,"",COUNTIF(A$13:A339,"&gt;0")+1)</f>
        <v/>
      </c>
      <c r="B340" s="4"/>
      <c r="C340" s="5" t="s">
        <v>22</v>
      </c>
      <c r="D340" s="7" t="s">
        <v>194</v>
      </c>
      <c r="E340" s="31"/>
      <c r="F340" s="31"/>
      <c r="G340" s="6" t="s">
        <v>195</v>
      </c>
      <c r="H340" s="7">
        <f>VLOOKUP(D340,A!B$1:L$1126,3,FALSE)</f>
        <v>2</v>
      </c>
      <c r="I340" s="31">
        <f>VLOOKUP(D340,A!B$1:L$1126,3,FALSE)</f>
        <v>2</v>
      </c>
      <c r="J340" s="92"/>
      <c r="K340" s="91" t="str">
        <f>VLOOKUP(D340,A!B$1:L$1126,6,FALSE)</f>
        <v/>
      </c>
      <c r="L340" s="47"/>
      <c r="M340" s="41" t="s">
        <v>196</v>
      </c>
      <c r="N340" s="94" t="str">
        <f>VLOOKUP(D340,A!B$1:L$1125,2,FALSE)</f>
        <v>y</v>
      </c>
      <c r="O340" s="94">
        <f>VLOOKUP(D340,A!B$1:L$1126,4,FALSE)</f>
        <v>1</v>
      </c>
      <c r="P340" s="10">
        <v>10</v>
      </c>
      <c r="Q340" s="10">
        <v>3.25</v>
      </c>
      <c r="R340" s="10">
        <f t="shared" si="58"/>
        <v>0</v>
      </c>
      <c r="S340" s="10">
        <f t="shared" si="56"/>
        <v>0</v>
      </c>
      <c r="T340" s="10" t="s">
        <v>162</v>
      </c>
      <c r="U340" s="145">
        <v>0.33</v>
      </c>
      <c r="V340" s="10" t="str">
        <f>VLOOKUP(D340,A!B$1:T$1125,16,FALSE)</f>
        <v/>
      </c>
      <c r="W340" s="10">
        <f t="shared" si="57"/>
        <v>0</v>
      </c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</row>
    <row r="341" spans="1:86" s="3" customFormat="1" ht="13.5" hidden="1" customHeight="1" x14ac:dyDescent="0.25">
      <c r="A341" t="str">
        <f>IF(R341=0,"",COUNTIF(A$13:A340,"&gt;0")+1)</f>
        <v/>
      </c>
      <c r="B341" s="4"/>
      <c r="C341" s="5" t="s">
        <v>22</v>
      </c>
      <c r="D341" s="7" t="s">
        <v>966</v>
      </c>
      <c r="E341" s="31"/>
      <c r="F341" s="31"/>
      <c r="G341" s="6" t="s">
        <v>967</v>
      </c>
      <c r="H341" s="7">
        <f>VLOOKUP(D341,A!B$1:L$1126,3,FALSE)</f>
        <v>0</v>
      </c>
      <c r="I341" s="31">
        <f>VLOOKUP(D341,A!B$1:L$1126,3,FALSE)</f>
        <v>0</v>
      </c>
      <c r="J341" s="92"/>
      <c r="K341" s="91" t="str">
        <f>VLOOKUP(D341,A!B$1:L$1126,6,FALSE)</f>
        <v/>
      </c>
      <c r="L341" s="162"/>
      <c r="M341" s="43" t="s">
        <v>968</v>
      </c>
      <c r="N341" s="94">
        <f>VLOOKUP(D341,A!B$1:L$1125,2,FALSE)</f>
        <v>0</v>
      </c>
      <c r="O341" s="94">
        <f>VLOOKUP(D341,A!B$1:L$1126,4,FALSE)</f>
        <v>0</v>
      </c>
      <c r="P341" s="10">
        <v>10</v>
      </c>
      <c r="Q341" s="10">
        <v>3.25</v>
      </c>
      <c r="R341" s="10">
        <f t="shared" si="58"/>
        <v>0</v>
      </c>
      <c r="S341" s="10">
        <f t="shared" si="56"/>
        <v>0</v>
      </c>
      <c r="T341" s="10" t="s">
        <v>162</v>
      </c>
      <c r="U341" s="145">
        <v>0.33</v>
      </c>
      <c r="V341" s="10" t="str">
        <f>VLOOKUP(D341,A!B$1:T$1125,16,FALSE)</f>
        <v/>
      </c>
      <c r="W341" s="10">
        <f t="shared" si="57"/>
        <v>0</v>
      </c>
      <c r="X341" s="29"/>
      <c r="Y341" s="29"/>
      <c r="Z341" s="29"/>
      <c r="AA341" s="29"/>
    </row>
    <row r="342" spans="1:86" s="3" customFormat="1" ht="13.5" hidden="1" customHeight="1" x14ac:dyDescent="0.25">
      <c r="A342" t="str">
        <f>IF(R342=0,"",COUNTIF(A$13:A341,"&gt;0")+1)</f>
        <v/>
      </c>
      <c r="B342" s="4"/>
      <c r="C342" s="5" t="s">
        <v>22</v>
      </c>
      <c r="D342" s="7" t="s">
        <v>969</v>
      </c>
      <c r="E342" s="31"/>
      <c r="F342" s="31"/>
      <c r="G342" s="6" t="s">
        <v>970</v>
      </c>
      <c r="H342" s="7">
        <f>VLOOKUP(D342,A!B$1:L$1126,3,FALSE)</f>
        <v>0</v>
      </c>
      <c r="I342" s="31">
        <f>VLOOKUP(D342,A!B$1:L$1126,3,FALSE)</f>
        <v>0</v>
      </c>
      <c r="J342" s="92"/>
      <c r="K342" s="91" t="str">
        <f>VLOOKUP(D342,A!B$1:L$1126,6,FALSE)</f>
        <v/>
      </c>
      <c r="L342" s="162"/>
      <c r="M342" s="43" t="s">
        <v>754</v>
      </c>
      <c r="N342" s="94">
        <f>VLOOKUP(D342,A!B$1:L$1125,2,FALSE)</f>
        <v>0</v>
      </c>
      <c r="O342" s="94">
        <f>VLOOKUP(D342,A!B$1:L$1126,4,FALSE)</f>
        <v>0</v>
      </c>
      <c r="P342" s="10">
        <v>10</v>
      </c>
      <c r="Q342" s="10">
        <v>3.25</v>
      </c>
      <c r="R342" s="10">
        <f t="shared" si="58"/>
        <v>0</v>
      </c>
      <c r="S342" s="10">
        <f t="shared" si="56"/>
        <v>0</v>
      </c>
      <c r="T342" s="10" t="s">
        <v>162</v>
      </c>
      <c r="U342" s="145">
        <v>0.33</v>
      </c>
      <c r="V342" s="10" t="str">
        <f>VLOOKUP(D342,A!B$1:T$1125,16,FALSE)</f>
        <v/>
      </c>
      <c r="W342" s="10">
        <f t="shared" si="57"/>
        <v>0</v>
      </c>
      <c r="X342" s="29"/>
      <c r="Y342" s="29"/>
      <c r="Z342" s="29"/>
      <c r="AA342" s="29"/>
    </row>
    <row r="343" spans="1:86" s="3" customFormat="1" ht="13.5" hidden="1" customHeight="1" x14ac:dyDescent="0.25">
      <c r="A343" t="str">
        <f>IF(R343=0,"",COUNTIF(A$13:A342,"&gt;0")+1)</f>
        <v/>
      </c>
      <c r="B343" s="4"/>
      <c r="C343" s="5" t="s">
        <v>22</v>
      </c>
      <c r="D343" s="7" t="s">
        <v>971</v>
      </c>
      <c r="E343" s="31"/>
      <c r="F343" s="31"/>
      <c r="G343" s="6" t="s">
        <v>972</v>
      </c>
      <c r="H343" s="7">
        <f>VLOOKUP(D343,A!B$1:L$1126,3,FALSE)</f>
        <v>0</v>
      </c>
      <c r="I343" s="31">
        <f>VLOOKUP(D343,A!B$1:L$1126,3,FALSE)</f>
        <v>0</v>
      </c>
      <c r="J343" s="92"/>
      <c r="K343" s="91" t="str">
        <f>VLOOKUP(D343,A!B$1:L$1126,6,FALSE)</f>
        <v/>
      </c>
      <c r="L343" s="162"/>
      <c r="M343" s="43" t="s">
        <v>973</v>
      </c>
      <c r="N343" s="94">
        <f>VLOOKUP(D343,A!B$1:L$1125,2,FALSE)</f>
        <v>0</v>
      </c>
      <c r="O343" s="94">
        <f>VLOOKUP(D343,A!B$1:L$1126,4,FALSE)</f>
        <v>0</v>
      </c>
      <c r="P343" s="10">
        <v>10</v>
      </c>
      <c r="Q343" s="10">
        <v>3.25</v>
      </c>
      <c r="R343" s="10">
        <f t="shared" si="58"/>
        <v>0</v>
      </c>
      <c r="S343" s="10">
        <f t="shared" si="56"/>
        <v>0</v>
      </c>
      <c r="T343" s="10" t="s">
        <v>162</v>
      </c>
      <c r="U343" s="145">
        <v>0.33</v>
      </c>
      <c r="V343" s="10" t="str">
        <f>VLOOKUP(D343,A!B$1:T$1125,16,FALSE)</f>
        <v/>
      </c>
      <c r="W343" s="10">
        <f t="shared" si="57"/>
        <v>0</v>
      </c>
      <c r="X343" s="29"/>
      <c r="Y343" s="29"/>
      <c r="Z343" s="29"/>
      <c r="AA343" s="29"/>
    </row>
    <row r="344" spans="1:86" s="3" customFormat="1" ht="13.5" hidden="1" customHeight="1" x14ac:dyDescent="0.25">
      <c r="A344" t="str">
        <f>IF(R344=0,"",COUNTIF(A$13:A343,"&gt;0")+1)</f>
        <v/>
      </c>
      <c r="B344" s="4"/>
      <c r="C344" s="5" t="s">
        <v>22</v>
      </c>
      <c r="D344" s="7" t="s">
        <v>974</v>
      </c>
      <c r="E344" s="31"/>
      <c r="F344" s="31"/>
      <c r="G344" s="6" t="s">
        <v>975</v>
      </c>
      <c r="H344" s="7">
        <f>VLOOKUP(D344,A!B$1:L$1126,3,FALSE)</f>
        <v>0</v>
      </c>
      <c r="I344" s="31">
        <f>VLOOKUP(D344,A!B$1:L$1126,3,FALSE)</f>
        <v>0</v>
      </c>
      <c r="J344" s="92"/>
      <c r="K344" s="91" t="str">
        <f>VLOOKUP(D344,A!B$1:L$1126,6,FALSE)</f>
        <v/>
      </c>
      <c r="L344" s="162"/>
      <c r="M344" s="43" t="s">
        <v>976</v>
      </c>
      <c r="N344" s="94">
        <f>VLOOKUP(D344,A!B$1:L$1125,2,FALSE)</f>
        <v>0</v>
      </c>
      <c r="O344" s="94">
        <f>VLOOKUP(D344,A!B$1:L$1126,4,FALSE)</f>
        <v>0</v>
      </c>
      <c r="P344" s="10">
        <v>10</v>
      </c>
      <c r="Q344" s="10">
        <v>3.25</v>
      </c>
      <c r="R344" s="10">
        <f t="shared" si="58"/>
        <v>0</v>
      </c>
      <c r="S344" s="10">
        <f t="shared" si="56"/>
        <v>0</v>
      </c>
      <c r="T344" s="10" t="s">
        <v>162</v>
      </c>
      <c r="U344" s="145">
        <v>0.33</v>
      </c>
      <c r="V344" s="10" t="str">
        <f>VLOOKUP(D344,A!B$1:T$1125,16,FALSE)</f>
        <v/>
      </c>
      <c r="W344" s="10">
        <f t="shared" si="57"/>
        <v>0</v>
      </c>
      <c r="X344" s="29"/>
      <c r="Y344" s="29"/>
      <c r="Z344" s="29"/>
      <c r="AA344" s="29"/>
    </row>
    <row r="345" spans="1:86" s="3" customFormat="1" ht="13.5" hidden="1" customHeight="1" x14ac:dyDescent="0.25">
      <c r="A345" t="str">
        <f>IF(R345=0,"",COUNTIF(A$13:A344,"&gt;0")+1)</f>
        <v/>
      </c>
      <c r="B345" s="4"/>
      <c r="C345" s="5" t="s">
        <v>22</v>
      </c>
      <c r="D345" s="7" t="s">
        <v>977</v>
      </c>
      <c r="E345" s="31"/>
      <c r="F345" s="31"/>
      <c r="G345" s="6" t="s">
        <v>978</v>
      </c>
      <c r="H345" s="7">
        <f>VLOOKUP(D345,A!B$1:L$1126,3,FALSE)</f>
        <v>0</v>
      </c>
      <c r="I345" s="31">
        <f>VLOOKUP(D345,A!B$1:L$1126,3,FALSE)</f>
        <v>0</v>
      </c>
      <c r="J345" s="92"/>
      <c r="K345" s="91" t="str">
        <f>VLOOKUP(D345,A!B$1:L$1126,6,FALSE)</f>
        <v/>
      </c>
      <c r="L345" s="162"/>
      <c r="M345" s="43" t="s">
        <v>979</v>
      </c>
      <c r="N345" s="94">
        <f>VLOOKUP(D345,A!B$1:L$1125,2,FALSE)</f>
        <v>0</v>
      </c>
      <c r="O345" s="94">
        <f>VLOOKUP(D345,A!B$1:L$1126,4,FALSE)</f>
        <v>0</v>
      </c>
      <c r="P345" s="10">
        <v>10</v>
      </c>
      <c r="Q345" s="10">
        <v>3.25</v>
      </c>
      <c r="R345" s="10">
        <f t="shared" si="58"/>
        <v>0</v>
      </c>
      <c r="S345" s="10">
        <f t="shared" si="56"/>
        <v>0</v>
      </c>
      <c r="T345" s="10" t="s">
        <v>162</v>
      </c>
      <c r="U345" s="145">
        <v>0.33</v>
      </c>
      <c r="V345" s="10" t="str">
        <f>VLOOKUP(D345,A!B$1:T$1125,16,FALSE)</f>
        <v/>
      </c>
      <c r="W345" s="10">
        <f t="shared" si="57"/>
        <v>0</v>
      </c>
      <c r="X345" s="29"/>
      <c r="Y345" s="29"/>
      <c r="Z345" s="29"/>
      <c r="AA345" s="29"/>
    </row>
    <row r="346" spans="1:86" s="3" customFormat="1" ht="13.5" hidden="1" customHeight="1" x14ac:dyDescent="0.25">
      <c r="A346" t="str">
        <f>IF(R346=0,"",COUNTIF(A$13:A345,"&gt;0")+1)</f>
        <v/>
      </c>
      <c r="B346" s="4"/>
      <c r="C346" s="5" t="s">
        <v>22</v>
      </c>
      <c r="D346" s="7" t="s">
        <v>980</v>
      </c>
      <c r="E346" s="31"/>
      <c r="F346" s="31"/>
      <c r="G346" s="6" t="s">
        <v>981</v>
      </c>
      <c r="H346" s="7">
        <f>VLOOKUP(D346,A!B$1:L$1126,3,FALSE)</f>
        <v>0</v>
      </c>
      <c r="I346" s="31">
        <f>VLOOKUP(D346,A!B$1:L$1126,3,FALSE)</f>
        <v>0</v>
      </c>
      <c r="J346" s="92"/>
      <c r="K346" s="91" t="str">
        <f>VLOOKUP(D346,A!B$1:L$1126,6,FALSE)</f>
        <v/>
      </c>
      <c r="L346" s="162"/>
      <c r="M346" s="43" t="s">
        <v>982</v>
      </c>
      <c r="N346" s="94">
        <f>VLOOKUP(D346,A!B$1:L$1125,2,FALSE)</f>
        <v>0</v>
      </c>
      <c r="O346" s="94">
        <f>VLOOKUP(D346,A!B$1:L$1126,4,FALSE)</f>
        <v>0</v>
      </c>
      <c r="P346" s="10">
        <v>10</v>
      </c>
      <c r="Q346" s="10">
        <v>3.25</v>
      </c>
      <c r="R346" s="10">
        <f t="shared" si="58"/>
        <v>0</v>
      </c>
      <c r="S346" s="10">
        <f t="shared" si="56"/>
        <v>0</v>
      </c>
      <c r="T346" s="10" t="s">
        <v>162</v>
      </c>
      <c r="U346" s="145">
        <v>0.33</v>
      </c>
      <c r="V346" s="10" t="str">
        <f>VLOOKUP(D346,A!B$1:T$1125,16,FALSE)</f>
        <v/>
      </c>
      <c r="W346" s="10">
        <f t="shared" si="57"/>
        <v>0</v>
      </c>
      <c r="X346" s="29"/>
      <c r="Y346" s="29"/>
      <c r="Z346" s="29"/>
      <c r="AA346" s="29"/>
    </row>
    <row r="347" spans="1:86" s="3" customFormat="1" ht="13.5" hidden="1" customHeight="1" x14ac:dyDescent="0.25">
      <c r="A347" t="str">
        <f>IF(R347=0,"",COUNTIF(A$13:A346,"&gt;0")+1)</f>
        <v/>
      </c>
      <c r="B347" s="4"/>
      <c r="C347" s="5" t="s">
        <v>22</v>
      </c>
      <c r="D347" s="7" t="s">
        <v>983</v>
      </c>
      <c r="E347" s="31"/>
      <c r="F347" s="31"/>
      <c r="G347" s="6" t="s">
        <v>984</v>
      </c>
      <c r="H347" s="7">
        <f>VLOOKUP(D347,A!B$1:L$1126,3,FALSE)</f>
        <v>0</v>
      </c>
      <c r="I347" s="31">
        <f>VLOOKUP(D347,A!B$1:L$1126,3,FALSE)</f>
        <v>0</v>
      </c>
      <c r="J347" s="92"/>
      <c r="K347" s="91" t="str">
        <f>VLOOKUP(D347,A!B$1:L$1126,6,FALSE)</f>
        <v/>
      </c>
      <c r="L347" s="162"/>
      <c r="M347" s="43" t="s">
        <v>985</v>
      </c>
      <c r="N347" s="94">
        <f>VLOOKUP(D347,A!B$1:L$1125,2,FALSE)</f>
        <v>0</v>
      </c>
      <c r="O347" s="94">
        <f>VLOOKUP(D347,A!B$1:L$1126,4,FALSE)</f>
        <v>0</v>
      </c>
      <c r="P347" s="10">
        <v>10</v>
      </c>
      <c r="Q347" s="10">
        <v>3.25</v>
      </c>
      <c r="R347" s="10">
        <f t="shared" si="58"/>
        <v>0</v>
      </c>
      <c r="S347" s="10">
        <f t="shared" si="56"/>
        <v>0</v>
      </c>
      <c r="T347" s="10" t="s">
        <v>162</v>
      </c>
      <c r="U347" s="145">
        <v>0.33</v>
      </c>
      <c r="V347" s="10" t="str">
        <f>VLOOKUP(D347,A!B$1:T$1125,16,FALSE)</f>
        <v/>
      </c>
      <c r="W347" s="10">
        <f t="shared" si="57"/>
        <v>0</v>
      </c>
      <c r="X347" s="29"/>
      <c r="Y347" s="29"/>
      <c r="Z347" s="29"/>
      <c r="AA347" s="29"/>
    </row>
    <row r="348" spans="1:86" s="3" customFormat="1" ht="13.5" hidden="1" customHeight="1" x14ac:dyDescent="0.25">
      <c r="A348" t="str">
        <f>IF(R348=0,"",COUNTIF(A$13:A347,"&gt;0")+1)</f>
        <v/>
      </c>
      <c r="B348" s="4"/>
      <c r="C348" s="5" t="s">
        <v>22</v>
      </c>
      <c r="D348" s="7" t="s">
        <v>219</v>
      </c>
      <c r="E348" s="31"/>
      <c r="F348" s="31"/>
      <c r="G348" s="6" t="s">
        <v>220</v>
      </c>
      <c r="H348" s="7">
        <f>VLOOKUP(D348,A!B$1:L$1126,3,FALSE)</f>
        <v>0</v>
      </c>
      <c r="I348" s="31">
        <f>VLOOKUP(D348,A!B$1:L$1126,3,FALSE)</f>
        <v>0</v>
      </c>
      <c r="J348" s="92"/>
      <c r="K348" s="91" t="str">
        <f>VLOOKUP(D348,A!B$1:L$1126,6,FALSE)</f>
        <v/>
      </c>
      <c r="L348" s="2"/>
      <c r="M348" s="43" t="s">
        <v>221</v>
      </c>
      <c r="N348" s="94">
        <f>VLOOKUP(D348,A!B$1:L$1125,2,FALSE)</f>
        <v>0</v>
      </c>
      <c r="O348" s="94">
        <f>VLOOKUP(D348,A!B$1:L$1126,4,FALSE)</f>
        <v>0</v>
      </c>
      <c r="P348" s="10">
        <v>10</v>
      </c>
      <c r="Q348" s="10">
        <v>3.25</v>
      </c>
      <c r="R348" s="10">
        <f t="shared" si="58"/>
        <v>0</v>
      </c>
      <c r="S348" s="10">
        <f t="shared" si="56"/>
        <v>0</v>
      </c>
      <c r="T348" s="10" t="s">
        <v>162</v>
      </c>
      <c r="U348" s="145">
        <v>0.33</v>
      </c>
      <c r="V348" s="10" t="str">
        <f>VLOOKUP(D348,A!B$1:T$1125,16,FALSE)</f>
        <v/>
      </c>
      <c r="W348" s="10">
        <f t="shared" si="57"/>
        <v>0</v>
      </c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  <c r="AS348" s="115"/>
      <c r="AT348" s="115"/>
      <c r="AU348" s="115"/>
      <c r="AV348" s="115"/>
      <c r="AW348" s="115"/>
      <c r="AX348" s="115"/>
      <c r="AY348" s="115"/>
      <c r="AZ348" s="115"/>
      <c r="BA348" s="115"/>
      <c r="BB348" s="115"/>
      <c r="BC348" s="115"/>
      <c r="BD348" s="115"/>
      <c r="BE348" s="115"/>
      <c r="BF348" s="115"/>
      <c r="BG348" s="115"/>
      <c r="BH348" s="115"/>
      <c r="BI348" s="115"/>
      <c r="BJ348" s="115"/>
      <c r="BK348" s="115"/>
      <c r="BL348" s="115"/>
      <c r="BM348" s="115"/>
      <c r="BN348" s="115"/>
      <c r="BO348" s="115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</row>
    <row r="349" spans="1:86" s="3" customFormat="1" ht="13.5" hidden="1" customHeight="1" x14ac:dyDescent="0.25">
      <c r="A349" t="str">
        <f>IF(R349=0,"",COUNTIF(A$13:A348,"&gt;0")+1)</f>
        <v/>
      </c>
      <c r="B349" s="4"/>
      <c r="C349" s="5" t="s">
        <v>22</v>
      </c>
      <c r="D349" s="7" t="s">
        <v>986</v>
      </c>
      <c r="E349" s="31"/>
      <c r="F349" s="31"/>
      <c r="G349" s="6" t="s">
        <v>987</v>
      </c>
      <c r="H349" s="7">
        <f>VLOOKUP(D349,A!B$1:L$1126,3,FALSE)</f>
        <v>0</v>
      </c>
      <c r="I349" s="31">
        <f>VLOOKUP(D349,A!B$1:L$1126,3,FALSE)</f>
        <v>0</v>
      </c>
      <c r="J349" s="92"/>
      <c r="K349" s="91" t="str">
        <f>VLOOKUP(D349,A!B$1:L$1126,6,FALSE)</f>
        <v/>
      </c>
      <c r="L349" s="162"/>
      <c r="M349" s="43" t="s">
        <v>988</v>
      </c>
      <c r="N349" s="94">
        <f>VLOOKUP(D349,A!B$1:L$1125,2,FALSE)</f>
        <v>0</v>
      </c>
      <c r="O349" s="94">
        <f>VLOOKUP(D349,A!B$1:L$1126,4,FALSE)</f>
        <v>0</v>
      </c>
      <c r="P349" s="10">
        <v>10</v>
      </c>
      <c r="Q349" s="10">
        <v>3.25</v>
      </c>
      <c r="R349" s="10">
        <f t="shared" si="58"/>
        <v>0</v>
      </c>
      <c r="S349" s="10">
        <f t="shared" si="56"/>
        <v>0</v>
      </c>
      <c r="T349" s="10" t="s">
        <v>162</v>
      </c>
      <c r="U349" s="145">
        <v>0.33</v>
      </c>
      <c r="V349" s="10" t="str">
        <f>VLOOKUP(D349,A!B$1:T$1125,16,FALSE)</f>
        <v/>
      </c>
      <c r="W349" s="10">
        <f t="shared" si="57"/>
        <v>0</v>
      </c>
      <c r="X349" s="29"/>
      <c r="Y349" s="29"/>
      <c r="Z349" s="29"/>
      <c r="AA349" s="29"/>
    </row>
    <row r="350" spans="1:86" s="3" customFormat="1" ht="13.5" hidden="1" customHeight="1" x14ac:dyDescent="0.25">
      <c r="A350" t="str">
        <f>IF(R350=0,"",COUNTIF(A$13:A349,"&gt;0")+1)</f>
        <v/>
      </c>
      <c r="B350" s="4"/>
      <c r="C350" s="5" t="s">
        <v>22</v>
      </c>
      <c r="D350" s="7" t="s">
        <v>989</v>
      </c>
      <c r="E350" s="31"/>
      <c r="F350" s="31"/>
      <c r="G350" s="6" t="s">
        <v>990</v>
      </c>
      <c r="H350" s="7">
        <f>VLOOKUP(D350,A!B$1:L$1126,3,FALSE)</f>
        <v>0</v>
      </c>
      <c r="I350" s="31">
        <f>VLOOKUP(D350,A!B$1:L$1126,3,FALSE)</f>
        <v>0</v>
      </c>
      <c r="J350" s="92"/>
      <c r="K350" s="91" t="str">
        <f>VLOOKUP(D350,A!B$1:L$1126,6,FALSE)</f>
        <v/>
      </c>
      <c r="L350" s="162"/>
      <c r="M350" s="41" t="s">
        <v>991</v>
      </c>
      <c r="N350" s="94">
        <f>VLOOKUP(D350,A!B$1:L$1125,2,FALSE)</f>
        <v>0</v>
      </c>
      <c r="O350" s="94">
        <f>VLOOKUP(D350,A!B$1:L$1126,4,FALSE)</f>
        <v>0</v>
      </c>
      <c r="P350" s="10">
        <v>10</v>
      </c>
      <c r="Q350" s="10">
        <v>3.25</v>
      </c>
      <c r="R350" s="10">
        <f t="shared" si="58"/>
        <v>0</v>
      </c>
      <c r="S350" s="10">
        <f t="shared" si="56"/>
        <v>0</v>
      </c>
      <c r="T350" s="10" t="s">
        <v>162</v>
      </c>
      <c r="U350" s="145">
        <v>0.33</v>
      </c>
      <c r="V350" s="10" t="str">
        <f>VLOOKUP(D350,A!B$1:T$1125,16,FALSE)</f>
        <v/>
      </c>
      <c r="W350" s="10">
        <f t="shared" si="57"/>
        <v>0</v>
      </c>
      <c r="X350" s="29"/>
      <c r="Y350" s="29"/>
      <c r="Z350" s="29"/>
      <c r="AA350" s="29"/>
    </row>
    <row r="351" spans="1:86" s="3" customFormat="1" ht="13.5" customHeight="1" x14ac:dyDescent="0.25">
      <c r="A351" t="str">
        <f>IF(R351=0,"",COUNTIF(A$13:A350,"&gt;0")+1)</f>
        <v/>
      </c>
      <c r="B351" s="4"/>
      <c r="C351" s="5" t="s">
        <v>22</v>
      </c>
      <c r="D351" s="7" t="s">
        <v>45</v>
      </c>
      <c r="E351" s="31"/>
      <c r="F351" s="31"/>
      <c r="G351" s="6" t="s">
        <v>46</v>
      </c>
      <c r="H351" s="7">
        <f>VLOOKUP(D351,A!B$1:L$1126,3,FALSE)</f>
        <v>2</v>
      </c>
      <c r="I351" s="31">
        <f>VLOOKUP(D351,A!B$1:L$1126,3,FALSE)</f>
        <v>2</v>
      </c>
      <c r="J351" s="92"/>
      <c r="K351" s="91" t="str">
        <f>VLOOKUP(D351,A!B$1:L$1126,6,FALSE)</f>
        <v/>
      </c>
      <c r="L351" s="2"/>
      <c r="M351" s="41" t="s">
        <v>47</v>
      </c>
      <c r="N351" s="94" t="str">
        <f>VLOOKUP(D351,A!B$1:L$1125,2,FALSE)</f>
        <v>y</v>
      </c>
      <c r="O351" s="94">
        <f>VLOOKUP(D351,A!B$1:L$1126,4,FALSE)</f>
        <v>1</v>
      </c>
      <c r="P351" s="10">
        <v>10</v>
      </c>
      <c r="Q351" s="10">
        <v>3.25</v>
      </c>
      <c r="R351" s="10">
        <f t="shared" si="58"/>
        <v>0</v>
      </c>
      <c r="S351" s="10">
        <f t="shared" si="56"/>
        <v>0</v>
      </c>
      <c r="T351" s="10" t="s">
        <v>162</v>
      </c>
      <c r="U351" s="145">
        <v>0.33</v>
      </c>
      <c r="V351" s="10" t="str">
        <f>VLOOKUP(D351,A!B$1:T$1125,16,FALSE)</f>
        <v/>
      </c>
      <c r="W351" s="10">
        <f t="shared" si="57"/>
        <v>0</v>
      </c>
      <c r="X351" s="30"/>
      <c r="Y351" s="30"/>
      <c r="Z351" s="30"/>
      <c r="AA351" s="30"/>
      <c r="AB351" s="30"/>
      <c r="AC351" s="30"/>
      <c r="AD351" s="30"/>
      <c r="AE351" s="115"/>
      <c r="AF351" s="115"/>
      <c r="AG351" s="115"/>
      <c r="AH351" s="115"/>
      <c r="AI351" s="115"/>
      <c r="AJ351" s="115"/>
      <c r="AK351" s="115"/>
      <c r="AL351" s="115"/>
      <c r="AM351" s="115"/>
      <c r="AN351" s="115"/>
      <c r="AO351" s="115"/>
      <c r="AP351" s="115"/>
      <c r="AQ351" s="115"/>
      <c r="AR351" s="115"/>
      <c r="AS351" s="115"/>
      <c r="AT351" s="115"/>
      <c r="AU351" s="115"/>
      <c r="AV351" s="115"/>
      <c r="AW351" s="115"/>
      <c r="AX351" s="115"/>
      <c r="AY351" s="115"/>
      <c r="AZ351" s="115"/>
      <c r="BA351" s="115"/>
      <c r="BB351" s="115"/>
      <c r="BC351" s="115"/>
      <c r="BD351" s="115"/>
      <c r="BE351" s="115"/>
      <c r="BF351" s="115"/>
      <c r="BG351" s="115"/>
      <c r="BH351" s="115"/>
      <c r="BI351" s="115"/>
      <c r="BJ351" s="115"/>
      <c r="BK351" s="115"/>
      <c r="BL351" s="115"/>
      <c r="BM351" s="115"/>
      <c r="BN351" s="115"/>
      <c r="BO351" s="115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</row>
    <row r="352" spans="1:86" s="3" customFormat="1" ht="13.5" hidden="1" customHeight="1" x14ac:dyDescent="0.25">
      <c r="A352" t="str">
        <f>IF(R352=0,"",COUNTIF(A$13:A351,"&gt;0")+1)</f>
        <v/>
      </c>
      <c r="B352" s="4"/>
      <c r="C352" s="5" t="s">
        <v>22</v>
      </c>
      <c r="D352" s="7" t="s">
        <v>992</v>
      </c>
      <c r="E352" s="31"/>
      <c r="F352" s="31"/>
      <c r="G352" s="6" t="s">
        <v>993</v>
      </c>
      <c r="H352" s="7">
        <f>VLOOKUP(D352,A!B$1:L$1126,3,FALSE)</f>
        <v>0</v>
      </c>
      <c r="I352" s="31">
        <f>VLOOKUP(D352,A!B$1:L$1126,3,FALSE)</f>
        <v>0</v>
      </c>
      <c r="J352" s="92"/>
      <c r="K352" s="91" t="str">
        <f>VLOOKUP(D352,A!B$1:L$1126,6,FALSE)</f>
        <v/>
      </c>
      <c r="L352" s="162"/>
      <c r="M352" s="41" t="s">
        <v>994</v>
      </c>
      <c r="N352" s="94">
        <f>VLOOKUP(D352,A!B$1:L$1125,2,FALSE)</f>
        <v>0</v>
      </c>
      <c r="O352" s="94">
        <f>VLOOKUP(D352,A!B$1:L$1126,4,FALSE)</f>
        <v>0</v>
      </c>
      <c r="P352" s="10">
        <v>10</v>
      </c>
      <c r="Q352" s="10">
        <v>3.25</v>
      </c>
      <c r="R352" s="10">
        <f t="shared" si="58"/>
        <v>0</v>
      </c>
      <c r="S352" s="10">
        <f t="shared" si="56"/>
        <v>0</v>
      </c>
      <c r="T352" s="10" t="s">
        <v>162</v>
      </c>
      <c r="U352" s="145">
        <v>0.33</v>
      </c>
      <c r="V352" s="10" t="str">
        <f>VLOOKUP(D352,A!B$1:T$1125,16,FALSE)</f>
        <v/>
      </c>
      <c r="W352" s="10">
        <f t="shared" si="57"/>
        <v>0</v>
      </c>
      <c r="X352" s="29"/>
      <c r="Y352" s="29"/>
      <c r="Z352" s="29"/>
      <c r="AA352" s="29"/>
    </row>
    <row r="353" spans="1:27" s="3" customFormat="1" ht="13.5" hidden="1" customHeight="1" x14ac:dyDescent="0.25">
      <c r="A353" t="str">
        <f>IF(R353=0,"",COUNTIF(A$13:A352,"&gt;0")+1)</f>
        <v/>
      </c>
      <c r="B353" s="4"/>
      <c r="C353" s="5" t="s">
        <v>22</v>
      </c>
      <c r="D353" s="177" t="s">
        <v>995</v>
      </c>
      <c r="E353" s="63"/>
      <c r="F353" s="63"/>
      <c r="G353" s="6" t="s">
        <v>996</v>
      </c>
      <c r="H353" s="7">
        <f>VLOOKUP(D353,A!B$1:L$1126,3,FALSE)</f>
        <v>0</v>
      </c>
      <c r="I353" s="31">
        <f>VLOOKUP(D353,A!B$1:L$1126,3,FALSE)</f>
        <v>0</v>
      </c>
      <c r="J353" s="92"/>
      <c r="K353" s="91" t="str">
        <f>VLOOKUP(D353,A!B$1:L$1126,6,FALSE)</f>
        <v/>
      </c>
      <c r="L353" s="162"/>
      <c r="M353" s="43" t="s">
        <v>997</v>
      </c>
      <c r="N353" s="94">
        <f>VLOOKUP(D353,A!B$1:L$1125,2,FALSE)</f>
        <v>0</v>
      </c>
      <c r="O353" s="94">
        <f>VLOOKUP(D353,A!B$1:L$1126,4,FALSE)</f>
        <v>0</v>
      </c>
      <c r="P353" s="10">
        <v>10</v>
      </c>
      <c r="Q353" s="10">
        <v>3.25</v>
      </c>
      <c r="R353" s="10">
        <f t="shared" si="58"/>
        <v>0</v>
      </c>
      <c r="S353" s="10">
        <f t="shared" si="56"/>
        <v>0</v>
      </c>
      <c r="T353" s="10" t="s">
        <v>162</v>
      </c>
      <c r="U353" s="145">
        <v>0.33</v>
      </c>
      <c r="V353" s="10" t="str">
        <f>VLOOKUP(D353,A!B$1:T$1125,16,FALSE)</f>
        <v/>
      </c>
      <c r="W353" s="10">
        <f t="shared" si="57"/>
        <v>0</v>
      </c>
      <c r="X353" s="29"/>
      <c r="Y353" s="29"/>
      <c r="Z353" s="29"/>
      <c r="AA353" s="29"/>
    </row>
    <row r="354" spans="1:27" s="3" customFormat="1" ht="13.5" hidden="1" customHeight="1" x14ac:dyDescent="0.25">
      <c r="A354" t="str">
        <f>IF(R354=0,"",COUNTIF(A$13:A353,"&gt;0")+1)</f>
        <v/>
      </c>
      <c r="B354" s="4"/>
      <c r="C354" s="5" t="s">
        <v>22</v>
      </c>
      <c r="D354" s="172" t="s">
        <v>998</v>
      </c>
      <c r="E354" s="173"/>
      <c r="F354" s="173"/>
      <c r="G354" s="6" t="s">
        <v>996</v>
      </c>
      <c r="H354" s="7">
        <f>VLOOKUP(D354,A!B$1:L$1126,3,FALSE)</f>
        <v>0</v>
      </c>
      <c r="I354" s="31">
        <f>VLOOKUP(D354,A!B$1:L$1126,3,FALSE)</f>
        <v>0</v>
      </c>
      <c r="J354" s="92"/>
      <c r="K354" s="91" t="str">
        <f>VLOOKUP(D354,A!B$1:L$1126,6,FALSE)</f>
        <v/>
      </c>
      <c r="L354" s="162"/>
      <c r="M354" s="41" t="s">
        <v>999</v>
      </c>
      <c r="N354" s="94">
        <f>VLOOKUP(D354,A!B$1:L$1125,2,FALSE)</f>
        <v>0</v>
      </c>
      <c r="O354" s="94">
        <f>VLOOKUP(D354,A!B$1:L$1126,4,FALSE)</f>
        <v>0</v>
      </c>
      <c r="P354" s="10">
        <v>10</v>
      </c>
      <c r="Q354" s="10">
        <v>3.25</v>
      </c>
      <c r="R354" s="10">
        <f t="shared" si="58"/>
        <v>0</v>
      </c>
      <c r="S354" s="10">
        <f t="shared" si="56"/>
        <v>0</v>
      </c>
      <c r="T354" s="10" t="s">
        <v>162</v>
      </c>
      <c r="U354" s="145">
        <v>0.33</v>
      </c>
      <c r="V354" s="10" t="str">
        <f>VLOOKUP(D354,A!B$1:T$1125,16,FALSE)</f>
        <v/>
      </c>
      <c r="W354" s="10">
        <f t="shared" si="57"/>
        <v>0</v>
      </c>
      <c r="X354" s="29"/>
      <c r="Y354" s="29"/>
      <c r="Z354" s="29"/>
      <c r="AA354" s="29"/>
    </row>
    <row r="355" spans="1:27" s="3" customFormat="1" ht="13.5" hidden="1" customHeight="1" x14ac:dyDescent="0.25">
      <c r="A355" t="str">
        <f>IF(R355=0,"",COUNTIF(A$13:A354,"&gt;0")+1)</f>
        <v/>
      </c>
      <c r="B355" s="4"/>
      <c r="C355" s="5" t="s">
        <v>22</v>
      </c>
      <c r="D355" s="7" t="s">
        <v>1000</v>
      </c>
      <c r="E355" s="31"/>
      <c r="F355" s="31"/>
      <c r="G355" s="6" t="s">
        <v>1001</v>
      </c>
      <c r="H355" s="7">
        <f>VLOOKUP(D355,A!B$1:L$1126,3,FALSE)</f>
        <v>0</v>
      </c>
      <c r="I355" s="31">
        <f>VLOOKUP(D355,A!B$1:L$1126,3,FALSE)</f>
        <v>0</v>
      </c>
      <c r="J355" s="92"/>
      <c r="K355" s="91" t="str">
        <f>VLOOKUP(D355,A!B$1:L$1126,6,FALSE)</f>
        <v/>
      </c>
      <c r="L355" s="162"/>
      <c r="M355" s="43" t="s">
        <v>1002</v>
      </c>
      <c r="N355" s="94">
        <f>VLOOKUP(D355,A!B$1:L$1125,2,FALSE)</f>
        <v>0</v>
      </c>
      <c r="O355" s="94">
        <f>VLOOKUP(D355,A!B$1:L$1126,4,FALSE)</f>
        <v>0</v>
      </c>
      <c r="P355" s="10">
        <v>10</v>
      </c>
      <c r="Q355" s="10">
        <v>3.25</v>
      </c>
      <c r="R355" s="10">
        <f t="shared" si="58"/>
        <v>0</v>
      </c>
      <c r="S355" s="10">
        <f t="shared" si="56"/>
        <v>0</v>
      </c>
      <c r="T355" s="10" t="s">
        <v>162</v>
      </c>
      <c r="U355" s="145">
        <v>0.33</v>
      </c>
      <c r="V355" s="10" t="str">
        <f>VLOOKUP(D355,A!B$1:T$1125,16,FALSE)</f>
        <v/>
      </c>
      <c r="W355" s="10">
        <f t="shared" si="57"/>
        <v>0</v>
      </c>
      <c r="X355" s="29"/>
      <c r="Y355" s="29"/>
      <c r="Z355" s="29"/>
      <c r="AA355" s="29"/>
    </row>
    <row r="356" spans="1:27" s="3" customFormat="1" ht="13.5" hidden="1" customHeight="1" x14ac:dyDescent="0.25">
      <c r="A356" t="str">
        <f>IF(R356=0,"",COUNTIF(A$13:A355,"&gt;0")+1)</f>
        <v/>
      </c>
      <c r="B356" s="4"/>
      <c r="C356" s="5" t="s">
        <v>22</v>
      </c>
      <c r="D356" s="7" t="s">
        <v>1003</v>
      </c>
      <c r="E356" s="31"/>
      <c r="F356" s="31"/>
      <c r="G356" s="6" t="s">
        <v>1001</v>
      </c>
      <c r="H356" s="7">
        <f>VLOOKUP(D356,A!B$1:L$1126,3,FALSE)</f>
        <v>0</v>
      </c>
      <c r="I356" s="31">
        <f>VLOOKUP(D356,A!B$1:L$1126,3,FALSE)</f>
        <v>0</v>
      </c>
      <c r="J356" s="92"/>
      <c r="K356" s="91" t="str">
        <f>VLOOKUP(D356,A!B$1:L$1126,6,FALSE)</f>
        <v/>
      </c>
      <c r="L356" s="162"/>
      <c r="M356" s="43" t="s">
        <v>1004</v>
      </c>
      <c r="N356" s="94">
        <f>VLOOKUP(D356,A!B$1:L$1125,2,FALSE)</f>
        <v>0</v>
      </c>
      <c r="O356" s="94">
        <f>VLOOKUP(D356,A!B$1:L$1126,4,FALSE)</f>
        <v>0</v>
      </c>
      <c r="P356" s="10">
        <v>10</v>
      </c>
      <c r="Q356" s="10">
        <v>3.25</v>
      </c>
      <c r="R356" s="10">
        <f t="shared" si="58"/>
        <v>0</v>
      </c>
      <c r="S356" s="10">
        <f t="shared" si="56"/>
        <v>0</v>
      </c>
      <c r="T356" s="10" t="s">
        <v>162</v>
      </c>
      <c r="U356" s="145">
        <v>0.33</v>
      </c>
      <c r="V356" s="10" t="str">
        <f>VLOOKUP(D356,A!B$1:T$1125,16,FALSE)</f>
        <v/>
      </c>
      <c r="W356" s="10">
        <f t="shared" si="57"/>
        <v>0</v>
      </c>
      <c r="X356" s="29"/>
      <c r="Y356" s="29"/>
      <c r="Z356" s="29"/>
      <c r="AA356" s="29"/>
    </row>
    <row r="357" spans="1:27" s="3" customFormat="1" ht="13.5" hidden="1" customHeight="1" x14ac:dyDescent="0.25">
      <c r="A357" t="str">
        <f>IF(R357=0,"",COUNTIF(A$13:A356,"&gt;0")+1)</f>
        <v/>
      </c>
      <c r="B357" s="4"/>
      <c r="C357" s="5" t="s">
        <v>22</v>
      </c>
      <c r="D357" s="7" t="s">
        <v>1005</v>
      </c>
      <c r="E357" s="31"/>
      <c r="F357" s="31"/>
      <c r="G357" s="6" t="s">
        <v>1006</v>
      </c>
      <c r="H357" s="7">
        <f>VLOOKUP(D357,A!B$1:L$1126,3,FALSE)</f>
        <v>0</v>
      </c>
      <c r="I357" s="31">
        <f>VLOOKUP(D357,A!B$1:L$1126,3,FALSE)</f>
        <v>0</v>
      </c>
      <c r="J357" s="92"/>
      <c r="K357" s="91" t="str">
        <f>VLOOKUP(D357,A!B$1:L$1126,6,FALSE)</f>
        <v/>
      </c>
      <c r="L357" s="162"/>
      <c r="M357" s="43" t="s">
        <v>1007</v>
      </c>
      <c r="N357" s="94">
        <f>VLOOKUP(D357,A!B$1:L$1125,2,FALSE)</f>
        <v>0</v>
      </c>
      <c r="O357" s="94">
        <f>VLOOKUP(D357,A!B$1:L$1126,4,FALSE)</f>
        <v>0</v>
      </c>
      <c r="P357" s="10">
        <v>10</v>
      </c>
      <c r="Q357" s="10">
        <v>3.25</v>
      </c>
      <c r="R357" s="10">
        <f t="shared" si="58"/>
        <v>0</v>
      </c>
      <c r="S357" s="10">
        <f t="shared" si="56"/>
        <v>0</v>
      </c>
      <c r="T357" s="10" t="s">
        <v>162</v>
      </c>
      <c r="U357" s="145">
        <v>0.33</v>
      </c>
      <c r="V357" s="10" t="str">
        <f>VLOOKUP(D357,A!B$1:T$1125,16,FALSE)</f>
        <v/>
      </c>
      <c r="W357" s="10">
        <f t="shared" si="57"/>
        <v>0</v>
      </c>
      <c r="X357" s="29"/>
      <c r="Y357" s="29"/>
      <c r="Z357" s="29"/>
      <c r="AA357" s="29"/>
    </row>
    <row r="358" spans="1:27" s="3" customFormat="1" ht="13.5" hidden="1" customHeight="1" x14ac:dyDescent="0.25">
      <c r="A358" t="str">
        <f>IF(R358=0,"",COUNTIF(A$13:A357,"&gt;0")+1)</f>
        <v/>
      </c>
      <c r="B358" s="4"/>
      <c r="C358" s="5" t="s">
        <v>22</v>
      </c>
      <c r="D358" s="7" t="s">
        <v>1008</v>
      </c>
      <c r="E358" s="31"/>
      <c r="F358" s="31"/>
      <c r="G358" s="6" t="s">
        <v>1001</v>
      </c>
      <c r="H358" s="7">
        <f>VLOOKUP(D358,A!B$1:L$1126,3,FALSE)</f>
        <v>0</v>
      </c>
      <c r="I358" s="31">
        <f>VLOOKUP(D358,A!B$1:L$1126,3,FALSE)</f>
        <v>0</v>
      </c>
      <c r="J358" s="92"/>
      <c r="K358" s="91" t="str">
        <f>VLOOKUP(D358,A!B$1:L$1126,6,FALSE)</f>
        <v/>
      </c>
      <c r="L358" s="162"/>
      <c r="M358" s="43" t="s">
        <v>1009</v>
      </c>
      <c r="N358" s="94">
        <f>VLOOKUP(D358,A!B$1:L$1125,2,FALSE)</f>
        <v>0</v>
      </c>
      <c r="O358" s="94">
        <f>VLOOKUP(D358,A!B$1:L$1126,4,FALSE)</f>
        <v>0</v>
      </c>
      <c r="P358" s="10">
        <v>10</v>
      </c>
      <c r="Q358" s="10">
        <v>3.25</v>
      </c>
      <c r="R358" s="10">
        <f t="shared" si="58"/>
        <v>0</v>
      </c>
      <c r="S358" s="10">
        <f t="shared" si="56"/>
        <v>0</v>
      </c>
      <c r="T358" s="10" t="s">
        <v>162</v>
      </c>
      <c r="U358" s="145">
        <v>0.33</v>
      </c>
      <c r="V358" s="10" t="str">
        <f>VLOOKUP(D358,A!B$1:T$1125,16,FALSE)</f>
        <v/>
      </c>
      <c r="W358" s="10">
        <f t="shared" si="57"/>
        <v>0</v>
      </c>
      <c r="X358" s="29"/>
      <c r="Y358" s="29"/>
      <c r="Z358" s="29"/>
      <c r="AA358" s="29"/>
    </row>
    <row r="359" spans="1:27" s="3" customFormat="1" ht="13.5" hidden="1" customHeight="1" x14ac:dyDescent="0.25">
      <c r="A359" t="str">
        <f>IF(R359=0,"",COUNTIF(A$13:A358,"&gt;0")+1)</f>
        <v/>
      </c>
      <c r="B359" s="4"/>
      <c r="C359" s="5" t="s">
        <v>22</v>
      </c>
      <c r="D359" s="7" t="s">
        <v>1010</v>
      </c>
      <c r="E359" s="31"/>
      <c r="F359" s="31"/>
      <c r="G359" s="6" t="s">
        <v>1001</v>
      </c>
      <c r="H359" s="7">
        <f>VLOOKUP(D359,A!B$1:L$1126,3,FALSE)</f>
        <v>0</v>
      </c>
      <c r="I359" s="31">
        <f>VLOOKUP(D359,A!B$1:L$1126,3,FALSE)</f>
        <v>0</v>
      </c>
      <c r="J359" s="92"/>
      <c r="K359" s="91" t="str">
        <f>VLOOKUP(D359,A!B$1:L$1126,6,FALSE)</f>
        <v/>
      </c>
      <c r="L359" s="162"/>
      <c r="M359" s="43" t="s">
        <v>1011</v>
      </c>
      <c r="N359" s="94">
        <f>VLOOKUP(D359,A!B$1:L$1125,2,FALSE)</f>
        <v>0</v>
      </c>
      <c r="O359" s="94">
        <f>VLOOKUP(D359,A!B$1:L$1126,4,FALSE)</f>
        <v>0</v>
      </c>
      <c r="P359" s="10">
        <v>10</v>
      </c>
      <c r="Q359" s="10">
        <v>3.25</v>
      </c>
      <c r="R359" s="10">
        <f t="shared" si="58"/>
        <v>0</v>
      </c>
      <c r="S359" s="10">
        <f t="shared" si="56"/>
        <v>0</v>
      </c>
      <c r="T359" s="10" t="s">
        <v>162</v>
      </c>
      <c r="U359" s="145">
        <v>0.33</v>
      </c>
      <c r="V359" s="10" t="str">
        <f>VLOOKUP(D359,A!B$1:T$1125,16,FALSE)</f>
        <v/>
      </c>
      <c r="W359" s="10">
        <f t="shared" si="57"/>
        <v>0</v>
      </c>
      <c r="X359" s="29"/>
      <c r="Y359" s="29"/>
      <c r="Z359" s="29"/>
      <c r="AA359" s="29"/>
    </row>
    <row r="360" spans="1:27" s="3" customFormat="1" ht="13.5" hidden="1" customHeight="1" x14ac:dyDescent="0.25">
      <c r="A360" t="str">
        <f>IF(R360=0,"",COUNTIF(A$13:A359,"&gt;0")+1)</f>
        <v/>
      </c>
      <c r="B360" s="4"/>
      <c r="C360" s="5" t="s">
        <v>22</v>
      </c>
      <c r="D360" s="7" t="s">
        <v>1012</v>
      </c>
      <c r="E360" s="31"/>
      <c r="F360" s="31"/>
      <c r="G360" s="6" t="s">
        <v>1013</v>
      </c>
      <c r="H360" s="7">
        <f>VLOOKUP(D360,A!B$1:L$1126,3,FALSE)</f>
        <v>0</v>
      </c>
      <c r="I360" s="31">
        <f>VLOOKUP(D360,A!B$1:L$1126,3,FALSE)</f>
        <v>0</v>
      </c>
      <c r="J360" s="92"/>
      <c r="K360" s="91" t="str">
        <f>VLOOKUP(D360,A!B$1:L$1126,6,FALSE)</f>
        <v/>
      </c>
      <c r="L360" s="162"/>
      <c r="M360" s="43" t="s">
        <v>1014</v>
      </c>
      <c r="N360" s="94">
        <f>VLOOKUP(D360,A!B$1:L$1125,2,FALSE)</f>
        <v>0</v>
      </c>
      <c r="O360" s="94">
        <f>VLOOKUP(D360,A!B$1:L$1126,4,FALSE)</f>
        <v>0</v>
      </c>
      <c r="P360" s="10">
        <v>10</v>
      </c>
      <c r="Q360" s="10">
        <v>3.25</v>
      </c>
      <c r="R360" s="10">
        <f t="shared" si="58"/>
        <v>0</v>
      </c>
      <c r="S360" s="10">
        <f t="shared" si="56"/>
        <v>0</v>
      </c>
      <c r="T360" s="10" t="s">
        <v>162</v>
      </c>
      <c r="U360" s="145">
        <v>0.33</v>
      </c>
      <c r="V360" s="10" t="str">
        <f>VLOOKUP(D360,A!B$1:T$1125,16,FALSE)</f>
        <v/>
      </c>
      <c r="W360" s="10">
        <f t="shared" si="57"/>
        <v>0</v>
      </c>
      <c r="X360" s="29"/>
      <c r="Y360" s="29"/>
      <c r="Z360" s="29"/>
      <c r="AA360" s="29"/>
    </row>
    <row r="361" spans="1:27" s="3" customFormat="1" ht="13.5" hidden="1" customHeight="1" x14ac:dyDescent="0.25">
      <c r="A361" t="str">
        <f>IF(R361=0,"",COUNTIF(A$13:A360,"&gt;0")+1)</f>
        <v/>
      </c>
      <c r="B361" s="4"/>
      <c r="C361" s="5" t="s">
        <v>22</v>
      </c>
      <c r="D361" s="7" t="s">
        <v>1015</v>
      </c>
      <c r="E361" s="31"/>
      <c r="F361" s="31"/>
      <c r="G361" s="6" t="s">
        <v>1016</v>
      </c>
      <c r="H361" s="7">
        <f>VLOOKUP(D361,A!B$1:L$1126,3,FALSE)</f>
        <v>0</v>
      </c>
      <c r="I361" s="31">
        <f>VLOOKUP(D361,A!B$1:L$1126,3,FALSE)</f>
        <v>0</v>
      </c>
      <c r="J361" s="92"/>
      <c r="K361" s="91" t="str">
        <f>VLOOKUP(D361,A!B$1:L$1126,6,FALSE)</f>
        <v/>
      </c>
      <c r="L361" s="162"/>
      <c r="M361" s="43" t="s">
        <v>1017</v>
      </c>
      <c r="N361" s="94">
        <f>VLOOKUP(D361,A!B$1:L$1125,2,FALSE)</f>
        <v>0</v>
      </c>
      <c r="O361" s="94">
        <f>VLOOKUP(D361,A!B$1:L$1126,4,FALSE)</f>
        <v>0</v>
      </c>
      <c r="P361" s="10">
        <v>10</v>
      </c>
      <c r="Q361" s="10">
        <v>3.25</v>
      </c>
      <c r="R361" s="10">
        <f t="shared" si="58"/>
        <v>0</v>
      </c>
      <c r="S361" s="10">
        <f t="shared" si="56"/>
        <v>0</v>
      </c>
      <c r="T361" s="10" t="s">
        <v>162</v>
      </c>
      <c r="U361" s="145">
        <v>0.33</v>
      </c>
      <c r="V361" s="10" t="str">
        <f>VLOOKUP(D361,A!B$1:T$1125,16,FALSE)</f>
        <v/>
      </c>
      <c r="W361" s="10">
        <f t="shared" si="57"/>
        <v>0</v>
      </c>
      <c r="X361" s="29"/>
      <c r="Y361" s="29"/>
      <c r="Z361" s="29"/>
      <c r="AA361" s="29"/>
    </row>
    <row r="362" spans="1:27" s="3" customFormat="1" ht="13.5" hidden="1" customHeight="1" x14ac:dyDescent="0.25">
      <c r="A362" t="str">
        <f>IF(R362=0,"",COUNTIF(A$13:A361,"&gt;0")+1)</f>
        <v/>
      </c>
      <c r="B362" s="4"/>
      <c r="C362" s="5" t="s">
        <v>22</v>
      </c>
      <c r="D362" s="7" t="s">
        <v>1018</v>
      </c>
      <c r="E362" s="31"/>
      <c r="F362" s="31"/>
      <c r="G362" s="6" t="s">
        <v>1019</v>
      </c>
      <c r="H362" s="7">
        <f>VLOOKUP(D362,A!B$1:L$1126,3,FALSE)</f>
        <v>0</v>
      </c>
      <c r="I362" s="31">
        <f>VLOOKUP(D362,A!B$1:L$1126,3,FALSE)</f>
        <v>0</v>
      </c>
      <c r="J362" s="92"/>
      <c r="K362" s="91" t="str">
        <f>VLOOKUP(D362,A!B$1:L$1126,6,FALSE)</f>
        <v/>
      </c>
      <c r="L362" s="162"/>
      <c r="M362" s="43" t="s">
        <v>1020</v>
      </c>
      <c r="N362" s="94">
        <f>VLOOKUP(D362,A!B$1:L$1125,2,FALSE)</f>
        <v>0</v>
      </c>
      <c r="O362" s="94">
        <f>VLOOKUP(D362,A!B$1:L$1126,4,FALSE)</f>
        <v>0</v>
      </c>
      <c r="P362" s="10">
        <v>10</v>
      </c>
      <c r="Q362" s="10">
        <v>3.25</v>
      </c>
      <c r="R362" s="10">
        <f t="shared" si="58"/>
        <v>0</v>
      </c>
      <c r="S362" s="10">
        <f t="shared" si="56"/>
        <v>0</v>
      </c>
      <c r="T362" s="10" t="s">
        <v>162</v>
      </c>
      <c r="U362" s="145">
        <v>0.33</v>
      </c>
      <c r="V362" s="10" t="str">
        <f>VLOOKUP(D362,A!B$1:T$1125,16,FALSE)</f>
        <v/>
      </c>
      <c r="W362" s="10">
        <f t="shared" si="57"/>
        <v>0</v>
      </c>
      <c r="X362" s="29"/>
      <c r="Y362" s="29"/>
      <c r="Z362" s="29"/>
      <c r="AA362" s="29"/>
    </row>
    <row r="363" spans="1:27" s="3" customFormat="1" ht="13.5" hidden="1" customHeight="1" x14ac:dyDescent="0.25">
      <c r="A363" t="str">
        <f>IF(R363=0,"",COUNTIF(A$13:A362,"&gt;0")+1)</f>
        <v/>
      </c>
      <c r="B363" s="4"/>
      <c r="C363" s="5" t="s">
        <v>22</v>
      </c>
      <c r="D363" s="7" t="s">
        <v>1021</v>
      </c>
      <c r="E363" s="31"/>
      <c r="F363" s="31"/>
      <c r="G363" s="6" t="s">
        <v>1022</v>
      </c>
      <c r="H363" s="7">
        <f>VLOOKUP(D363,A!B$1:L$1126,3,FALSE)</f>
        <v>0</v>
      </c>
      <c r="I363" s="31">
        <f>VLOOKUP(D363,A!B$1:L$1126,3,FALSE)</f>
        <v>0</v>
      </c>
      <c r="J363" s="92"/>
      <c r="K363" s="91" t="str">
        <f>VLOOKUP(D363,A!B$1:L$1126,6,FALSE)</f>
        <v/>
      </c>
      <c r="L363" s="162"/>
      <c r="M363" s="43" t="s">
        <v>1023</v>
      </c>
      <c r="N363" s="94">
        <f>VLOOKUP(D363,A!B$1:L$1125,2,FALSE)</f>
        <v>0</v>
      </c>
      <c r="O363" s="94">
        <f>VLOOKUP(D363,A!B$1:L$1126,4,FALSE)</f>
        <v>0</v>
      </c>
      <c r="P363" s="10">
        <v>10</v>
      </c>
      <c r="Q363" s="10">
        <v>3.25</v>
      </c>
      <c r="R363" s="10">
        <f t="shared" si="58"/>
        <v>0</v>
      </c>
      <c r="S363" s="10">
        <f t="shared" si="56"/>
        <v>0</v>
      </c>
      <c r="T363" s="10" t="s">
        <v>162</v>
      </c>
      <c r="U363" s="145">
        <v>0.33</v>
      </c>
      <c r="V363" s="10" t="str">
        <f>VLOOKUP(D363,A!B$1:T$1125,16,FALSE)</f>
        <v/>
      </c>
      <c r="W363" s="10">
        <f t="shared" si="57"/>
        <v>0</v>
      </c>
      <c r="X363" s="29"/>
      <c r="Y363" s="29"/>
      <c r="Z363" s="29"/>
      <c r="AA363" s="29"/>
    </row>
    <row r="364" spans="1:27" s="3" customFormat="1" ht="13.5" hidden="1" customHeight="1" x14ac:dyDescent="0.25">
      <c r="A364" t="str">
        <f>IF(R364=0,"",COUNTIF(A$13:A363,"&gt;0")+1)</f>
        <v/>
      </c>
      <c r="B364" s="4"/>
      <c r="C364" s="5" t="s">
        <v>22</v>
      </c>
      <c r="D364" s="7" t="s">
        <v>1024</v>
      </c>
      <c r="E364" s="31"/>
      <c r="F364" s="31"/>
      <c r="G364" s="6" t="s">
        <v>1025</v>
      </c>
      <c r="H364" s="7">
        <f>VLOOKUP(D364,A!B$1:L$1126,3,FALSE)</f>
        <v>0</v>
      </c>
      <c r="I364" s="31">
        <f>VLOOKUP(D364,A!B$1:L$1126,3,FALSE)</f>
        <v>0</v>
      </c>
      <c r="J364" s="92"/>
      <c r="K364" s="91" t="str">
        <f>VLOOKUP(D364,A!B$1:L$1126,6,FALSE)</f>
        <v/>
      </c>
      <c r="L364" s="162"/>
      <c r="M364" s="42" t="s">
        <v>1026</v>
      </c>
      <c r="N364" s="94">
        <f>VLOOKUP(D364,A!B$1:L$1125,2,FALSE)</f>
        <v>0</v>
      </c>
      <c r="O364" s="94">
        <f>VLOOKUP(D364,A!B$1:L$1126,4,FALSE)</f>
        <v>0</v>
      </c>
      <c r="P364" s="10">
        <v>10</v>
      </c>
      <c r="Q364" s="10">
        <v>3.25</v>
      </c>
      <c r="R364" s="10">
        <f t="shared" si="58"/>
        <v>0</v>
      </c>
      <c r="S364" s="10">
        <f t="shared" si="56"/>
        <v>0</v>
      </c>
      <c r="T364" s="10" t="s">
        <v>162</v>
      </c>
      <c r="U364" s="145">
        <v>0.33</v>
      </c>
      <c r="V364" s="10" t="str">
        <f>VLOOKUP(D364,A!B$1:T$1125,16,FALSE)</f>
        <v/>
      </c>
      <c r="W364" s="10">
        <f t="shared" si="57"/>
        <v>0</v>
      </c>
      <c r="X364" s="29"/>
      <c r="Y364" s="29"/>
      <c r="Z364" s="29"/>
      <c r="AA364" s="29"/>
    </row>
    <row r="365" spans="1:27" s="3" customFormat="1" ht="13.5" hidden="1" customHeight="1" x14ac:dyDescent="0.25">
      <c r="A365" t="str">
        <f>IF(R365=0,"",COUNTIF(A$13:A364,"&gt;0")+1)</f>
        <v/>
      </c>
      <c r="B365" s="4"/>
      <c r="C365" s="5" t="s">
        <v>22</v>
      </c>
      <c r="D365" s="7" t="s">
        <v>1027</v>
      </c>
      <c r="E365" s="31"/>
      <c r="F365" s="31"/>
      <c r="G365" s="6" t="s">
        <v>1028</v>
      </c>
      <c r="H365" s="7">
        <f>VLOOKUP(D365,A!B$1:L$1126,3,FALSE)</f>
        <v>0</v>
      </c>
      <c r="I365" s="31">
        <f>VLOOKUP(D365,A!B$1:L$1126,3,FALSE)</f>
        <v>0</v>
      </c>
      <c r="J365" s="92"/>
      <c r="K365" s="91" t="str">
        <f>VLOOKUP(D365,A!B$1:L$1126,6,FALSE)</f>
        <v/>
      </c>
      <c r="L365" s="162"/>
      <c r="M365" s="42" t="s">
        <v>1029</v>
      </c>
      <c r="N365" s="94">
        <f>VLOOKUP(D365,A!B$1:L$1125,2,FALSE)</f>
        <v>0</v>
      </c>
      <c r="O365" s="94">
        <f>VLOOKUP(D365,A!B$1:L$1126,4,FALSE)</f>
        <v>0</v>
      </c>
      <c r="P365" s="10">
        <v>10</v>
      </c>
      <c r="Q365" s="10">
        <v>3.25</v>
      </c>
      <c r="R365" s="10">
        <f t="shared" si="58"/>
        <v>0</v>
      </c>
      <c r="S365" s="10">
        <f t="shared" si="56"/>
        <v>0</v>
      </c>
      <c r="T365" s="10" t="s">
        <v>162</v>
      </c>
      <c r="U365" s="145">
        <v>0.33</v>
      </c>
      <c r="V365" s="10" t="str">
        <f>VLOOKUP(D365,A!B$1:T$1125,16,FALSE)</f>
        <v/>
      </c>
      <c r="W365" s="10">
        <f t="shared" si="57"/>
        <v>0</v>
      </c>
      <c r="X365" s="29"/>
      <c r="Y365" s="29"/>
      <c r="Z365" s="29"/>
      <c r="AA365" s="29"/>
    </row>
    <row r="366" spans="1:27" s="3" customFormat="1" ht="13.5" hidden="1" customHeight="1" x14ac:dyDescent="0.25">
      <c r="A366" t="str">
        <f>IF(R366=0,"",COUNTIF(A$13:A365,"&gt;0")+1)</f>
        <v/>
      </c>
      <c r="B366" s="4"/>
      <c r="C366" s="5" t="s">
        <v>22</v>
      </c>
      <c r="D366" s="7" t="s">
        <v>1030</v>
      </c>
      <c r="E366" s="31"/>
      <c r="F366" s="31"/>
      <c r="G366" s="6" t="s">
        <v>1028</v>
      </c>
      <c r="H366" s="7">
        <f>VLOOKUP(D366,A!B$1:L$1126,3,FALSE)</f>
        <v>0</v>
      </c>
      <c r="I366" s="31">
        <f>VLOOKUP(D366,A!B$1:L$1126,3,FALSE)</f>
        <v>0</v>
      </c>
      <c r="J366" s="92"/>
      <c r="K366" s="91" t="str">
        <f>VLOOKUP(D366,A!B$1:L$1126,6,FALSE)</f>
        <v/>
      </c>
      <c r="L366" s="162"/>
      <c r="M366" s="42" t="s">
        <v>1031</v>
      </c>
      <c r="N366" s="94">
        <f>VLOOKUP(D366,A!B$1:L$1125,2,FALSE)</f>
        <v>0</v>
      </c>
      <c r="O366" s="94">
        <f>VLOOKUP(D366,A!B$1:L$1126,4,FALSE)</f>
        <v>0</v>
      </c>
      <c r="P366" s="10">
        <v>10</v>
      </c>
      <c r="Q366" s="10">
        <v>3.25</v>
      </c>
      <c r="R366" s="10">
        <f t="shared" si="58"/>
        <v>0</v>
      </c>
      <c r="S366" s="10">
        <f t="shared" si="56"/>
        <v>0</v>
      </c>
      <c r="T366" s="10" t="s">
        <v>162</v>
      </c>
      <c r="U366" s="145">
        <v>0.33</v>
      </c>
      <c r="V366" s="10" t="str">
        <f>VLOOKUP(D366,A!B$1:T$1125,16,FALSE)</f>
        <v/>
      </c>
      <c r="W366" s="10">
        <f t="shared" si="57"/>
        <v>0</v>
      </c>
      <c r="X366" s="29"/>
      <c r="Y366" s="29"/>
      <c r="Z366" s="29"/>
      <c r="AA366" s="29"/>
    </row>
    <row r="367" spans="1:27" s="3" customFormat="1" ht="13.5" hidden="1" customHeight="1" x14ac:dyDescent="0.25">
      <c r="A367" t="str">
        <f>IF(R367=0,"",COUNTIF(A$13:A366,"&gt;0")+1)</f>
        <v/>
      </c>
      <c r="B367" s="4"/>
      <c r="C367" s="5" t="s">
        <v>22</v>
      </c>
      <c r="D367" s="7" t="s">
        <v>1032</v>
      </c>
      <c r="E367" s="31"/>
      <c r="F367" s="31"/>
      <c r="G367" s="6" t="s">
        <v>1033</v>
      </c>
      <c r="H367" s="7">
        <f>VLOOKUP(D367,A!B$1:L$1126,3,FALSE)</f>
        <v>0</v>
      </c>
      <c r="I367" s="31">
        <f>VLOOKUP(D367,A!B$1:L$1126,3,FALSE)</f>
        <v>0</v>
      </c>
      <c r="J367" s="92"/>
      <c r="K367" s="91" t="str">
        <f>VLOOKUP(D367,A!B$1:L$1126,6,FALSE)</f>
        <v/>
      </c>
      <c r="L367" s="162"/>
      <c r="M367" s="43" t="s">
        <v>1034</v>
      </c>
      <c r="N367" s="94">
        <f>VLOOKUP(D367,A!B$1:L$1125,2,FALSE)</f>
        <v>0</v>
      </c>
      <c r="O367" s="94">
        <f>VLOOKUP(D367,A!B$1:L$1126,4,FALSE)</f>
        <v>0</v>
      </c>
      <c r="P367" s="10">
        <v>10</v>
      </c>
      <c r="Q367" s="10">
        <v>3.25</v>
      </c>
      <c r="R367" s="10">
        <f t="shared" si="58"/>
        <v>0</v>
      </c>
      <c r="S367" s="10">
        <f t="shared" si="56"/>
        <v>0</v>
      </c>
      <c r="T367" s="10" t="s">
        <v>162</v>
      </c>
      <c r="U367" s="145">
        <v>0.33</v>
      </c>
      <c r="V367" s="10" t="str">
        <f>VLOOKUP(D367,A!B$1:T$1125,16,FALSE)</f>
        <v/>
      </c>
      <c r="W367" s="10">
        <f t="shared" si="57"/>
        <v>0</v>
      </c>
      <c r="X367" s="29"/>
      <c r="Y367" s="29"/>
      <c r="Z367" s="29"/>
      <c r="AA367" s="29"/>
    </row>
    <row r="368" spans="1:27" s="3" customFormat="1" ht="13.5" hidden="1" customHeight="1" x14ac:dyDescent="0.25">
      <c r="A368" t="str">
        <f>IF(R368=0,"",COUNTIF(A$13:A367,"&gt;0")+1)</f>
        <v/>
      </c>
      <c r="B368" s="4"/>
      <c r="C368" s="5" t="s">
        <v>22</v>
      </c>
      <c r="D368" s="7" t="s">
        <v>1035</v>
      </c>
      <c r="E368" s="31"/>
      <c r="F368" s="31"/>
      <c r="G368" s="6" t="s">
        <v>1036</v>
      </c>
      <c r="H368" s="7">
        <f>VLOOKUP(D368,A!B$1:L$1126,3,FALSE)</f>
        <v>0</v>
      </c>
      <c r="I368" s="31">
        <f>VLOOKUP(D368,A!B$1:L$1126,3,FALSE)</f>
        <v>0</v>
      </c>
      <c r="J368" s="92"/>
      <c r="K368" s="91" t="str">
        <f>VLOOKUP(D368,A!B$1:L$1126,6,FALSE)</f>
        <v/>
      </c>
      <c r="L368" s="162"/>
      <c r="M368" s="43" t="s">
        <v>1037</v>
      </c>
      <c r="N368" s="94">
        <f>VLOOKUP(D368,A!B$1:L$1125,2,FALSE)</f>
        <v>0</v>
      </c>
      <c r="O368" s="94">
        <f>VLOOKUP(D368,A!B$1:L$1126,4,FALSE)</f>
        <v>0</v>
      </c>
      <c r="P368" s="10">
        <v>10</v>
      </c>
      <c r="Q368" s="10">
        <v>3.25</v>
      </c>
      <c r="R368" s="10">
        <f t="shared" si="58"/>
        <v>0</v>
      </c>
      <c r="S368" s="10">
        <f t="shared" si="56"/>
        <v>0</v>
      </c>
      <c r="T368" s="10" t="s">
        <v>162</v>
      </c>
      <c r="U368" s="145">
        <v>0.33</v>
      </c>
      <c r="V368" s="10" t="str">
        <f>VLOOKUP(D368,A!B$1:T$1125,16,FALSE)</f>
        <v/>
      </c>
      <c r="W368" s="10">
        <f t="shared" si="57"/>
        <v>0</v>
      </c>
      <c r="X368" s="29"/>
      <c r="Y368" s="29"/>
      <c r="Z368" s="29"/>
      <c r="AA368" s="29"/>
    </row>
    <row r="369" spans="1:86" s="3" customFormat="1" ht="13.5" hidden="1" customHeight="1" x14ac:dyDescent="0.25">
      <c r="A369" t="str">
        <f>IF(R369=0,"",COUNTIF(A$13:A368,"&gt;0")+1)</f>
        <v/>
      </c>
      <c r="B369" s="4"/>
      <c r="C369" s="5" t="s">
        <v>22</v>
      </c>
      <c r="D369" s="7" t="s">
        <v>1038</v>
      </c>
      <c r="E369" s="31"/>
      <c r="F369" s="31"/>
      <c r="G369" s="6" t="s">
        <v>1036</v>
      </c>
      <c r="H369" s="7">
        <f>VLOOKUP(D369,A!B$1:L$1126,3,FALSE)</f>
        <v>0</v>
      </c>
      <c r="I369" s="31">
        <f>VLOOKUP(D369,A!B$1:L$1126,3,FALSE)</f>
        <v>0</v>
      </c>
      <c r="J369" s="92"/>
      <c r="K369" s="91" t="str">
        <f>VLOOKUP(D369,A!B$1:L$1126,6,FALSE)</f>
        <v/>
      </c>
      <c r="L369" s="162"/>
      <c r="M369" s="43" t="s">
        <v>1039</v>
      </c>
      <c r="N369" s="94">
        <f>VLOOKUP(D369,A!B$1:L$1125,2,FALSE)</f>
        <v>0</v>
      </c>
      <c r="O369" s="94">
        <f>VLOOKUP(D369,A!B$1:L$1126,4,FALSE)</f>
        <v>0</v>
      </c>
      <c r="P369" s="10">
        <v>10</v>
      </c>
      <c r="Q369" s="10">
        <v>3.25</v>
      </c>
      <c r="R369" s="10">
        <f t="shared" si="58"/>
        <v>0</v>
      </c>
      <c r="S369" s="10">
        <f t="shared" si="56"/>
        <v>0</v>
      </c>
      <c r="T369" s="10" t="s">
        <v>162</v>
      </c>
      <c r="U369" s="145">
        <v>0.33</v>
      </c>
      <c r="V369" s="10" t="str">
        <f>VLOOKUP(D369,A!B$1:T$1125,16,FALSE)</f>
        <v/>
      </c>
      <c r="W369" s="10">
        <f t="shared" si="57"/>
        <v>0</v>
      </c>
      <c r="X369" s="29"/>
      <c r="Y369" s="29"/>
      <c r="Z369" s="29"/>
      <c r="AA369" s="29"/>
    </row>
    <row r="370" spans="1:86" s="3" customFormat="1" ht="13.5" hidden="1" customHeight="1" x14ac:dyDescent="0.25">
      <c r="A370" t="str">
        <f>IF(R370=0,"",COUNTIF(A$13:A369,"&gt;0")+1)</f>
        <v/>
      </c>
      <c r="B370" s="4"/>
      <c r="C370" s="5" t="s">
        <v>22</v>
      </c>
      <c r="D370" s="7" t="s">
        <v>1040</v>
      </c>
      <c r="E370" s="31"/>
      <c r="F370" s="31"/>
      <c r="G370" s="6" t="s">
        <v>1036</v>
      </c>
      <c r="H370" s="7">
        <f>VLOOKUP(D370,A!B$1:L$1126,3,FALSE)</f>
        <v>0</v>
      </c>
      <c r="I370" s="31">
        <f>VLOOKUP(D370,A!B$1:L$1126,3,FALSE)</f>
        <v>0</v>
      </c>
      <c r="J370" s="92"/>
      <c r="K370" s="91" t="str">
        <f>VLOOKUP(D370,A!B$1:L$1126,6,FALSE)</f>
        <v/>
      </c>
      <c r="L370" s="162"/>
      <c r="M370" s="43" t="s">
        <v>1041</v>
      </c>
      <c r="N370" s="94">
        <f>VLOOKUP(D370,A!B$1:L$1125,2,FALSE)</f>
        <v>0</v>
      </c>
      <c r="O370" s="94">
        <f>VLOOKUP(D370,A!B$1:L$1126,4,FALSE)</f>
        <v>0</v>
      </c>
      <c r="P370" s="10">
        <v>10</v>
      </c>
      <c r="Q370" s="10">
        <v>3.25</v>
      </c>
      <c r="R370" s="10">
        <f t="shared" si="58"/>
        <v>0</v>
      </c>
      <c r="S370" s="10">
        <f t="shared" si="56"/>
        <v>0</v>
      </c>
      <c r="T370" s="10" t="s">
        <v>162</v>
      </c>
      <c r="U370" s="145">
        <v>0.33</v>
      </c>
      <c r="V370" s="10" t="str">
        <f>VLOOKUP(D370,A!B$1:T$1125,16,FALSE)</f>
        <v/>
      </c>
      <c r="W370" s="10">
        <f t="shared" si="57"/>
        <v>0</v>
      </c>
      <c r="X370" s="29"/>
      <c r="Y370" s="29"/>
      <c r="Z370" s="29"/>
      <c r="AA370" s="29"/>
    </row>
    <row r="371" spans="1:86" s="3" customFormat="1" ht="13.5" hidden="1" customHeight="1" x14ac:dyDescent="0.25">
      <c r="A371" t="str">
        <f>IF(R371=0,"",COUNTIF(A$13:A370,"&gt;0")+1)</f>
        <v/>
      </c>
      <c r="B371" s="4"/>
      <c r="C371" s="5" t="s">
        <v>22</v>
      </c>
      <c r="D371" s="7" t="s">
        <v>1042</v>
      </c>
      <c r="E371" s="31"/>
      <c r="F371" s="31"/>
      <c r="G371" s="6" t="s">
        <v>1036</v>
      </c>
      <c r="H371" s="7">
        <f>VLOOKUP(D371,A!B$1:L$1126,3,FALSE)</f>
        <v>0</v>
      </c>
      <c r="I371" s="31">
        <f>VLOOKUP(D371,A!B$1:L$1126,3,FALSE)</f>
        <v>0</v>
      </c>
      <c r="J371" s="92"/>
      <c r="K371" s="91" t="str">
        <f>VLOOKUP(D371,A!B$1:L$1126,6,FALSE)</f>
        <v/>
      </c>
      <c r="L371" s="162"/>
      <c r="M371" s="43" t="s">
        <v>1043</v>
      </c>
      <c r="N371" s="94">
        <f>VLOOKUP(D371,A!B$1:L$1125,2,FALSE)</f>
        <v>0</v>
      </c>
      <c r="O371" s="94">
        <f>VLOOKUP(D371,A!B$1:L$1126,4,FALSE)</f>
        <v>0</v>
      </c>
      <c r="P371" s="10">
        <v>10</v>
      </c>
      <c r="Q371" s="10">
        <v>3.25</v>
      </c>
      <c r="R371" s="10">
        <f t="shared" si="58"/>
        <v>0</v>
      </c>
      <c r="S371" s="10">
        <f t="shared" si="56"/>
        <v>0</v>
      </c>
      <c r="T371" s="10" t="s">
        <v>162</v>
      </c>
      <c r="U371" s="145">
        <v>0.33</v>
      </c>
      <c r="V371" s="10" t="str">
        <f>VLOOKUP(D371,A!B$1:T$1125,16,FALSE)</f>
        <v/>
      </c>
      <c r="W371" s="10">
        <f t="shared" si="57"/>
        <v>0</v>
      </c>
      <c r="X371" s="29"/>
      <c r="Y371" s="29"/>
      <c r="Z371" s="29"/>
      <c r="AA371" s="29"/>
    </row>
    <row r="372" spans="1:86" s="3" customFormat="1" ht="13.5" hidden="1" customHeight="1" x14ac:dyDescent="0.25">
      <c r="A372" t="str">
        <f>IF(R372=0,"",COUNTIF(A$13:A371,"&gt;0")+1)</f>
        <v/>
      </c>
      <c r="B372" s="4"/>
      <c r="C372" s="5" t="s">
        <v>22</v>
      </c>
      <c r="D372" s="7" t="s">
        <v>1044</v>
      </c>
      <c r="E372" s="31"/>
      <c r="F372" s="31"/>
      <c r="G372" s="6" t="s">
        <v>1036</v>
      </c>
      <c r="H372" s="7">
        <f>VLOOKUP(D372,A!B$1:L$1126,3,FALSE)</f>
        <v>0</v>
      </c>
      <c r="I372" s="31">
        <f>VLOOKUP(D372,A!B$1:L$1126,3,FALSE)</f>
        <v>0</v>
      </c>
      <c r="J372" s="92"/>
      <c r="K372" s="91" t="str">
        <f>VLOOKUP(D372,A!B$1:L$1126,6,FALSE)</f>
        <v/>
      </c>
      <c r="L372" s="162"/>
      <c r="M372" s="43" t="s">
        <v>1045</v>
      </c>
      <c r="N372" s="94">
        <f>VLOOKUP(D372,A!B$1:L$1125,2,FALSE)</f>
        <v>0</v>
      </c>
      <c r="O372" s="94">
        <f>VLOOKUP(D372,A!B$1:L$1126,4,FALSE)</f>
        <v>0</v>
      </c>
      <c r="P372" s="10">
        <v>10</v>
      </c>
      <c r="Q372" s="10">
        <v>3.25</v>
      </c>
      <c r="R372" s="10">
        <f t="shared" si="58"/>
        <v>0</v>
      </c>
      <c r="S372" s="10">
        <f t="shared" si="56"/>
        <v>0</v>
      </c>
      <c r="T372" s="10" t="s">
        <v>162</v>
      </c>
      <c r="U372" s="145">
        <v>0.33</v>
      </c>
      <c r="V372" s="10" t="str">
        <f>VLOOKUP(D372,A!B$1:T$1125,16,FALSE)</f>
        <v/>
      </c>
      <c r="W372" s="10">
        <f t="shared" si="57"/>
        <v>0</v>
      </c>
      <c r="X372" s="29"/>
      <c r="Y372" s="29"/>
      <c r="Z372" s="29"/>
      <c r="AA372" s="29"/>
    </row>
    <row r="373" spans="1:86" s="3" customFormat="1" ht="13.5" hidden="1" customHeight="1" x14ac:dyDescent="0.25">
      <c r="A373" t="str">
        <f>IF(R373=0,"",COUNTIF(A$13:A372,"&gt;0")+1)</f>
        <v/>
      </c>
      <c r="B373" s="4"/>
      <c r="C373" s="5" t="s">
        <v>22</v>
      </c>
      <c r="D373" s="7" t="s">
        <v>1046</v>
      </c>
      <c r="E373" s="31"/>
      <c r="F373" s="31"/>
      <c r="G373" s="6" t="s">
        <v>1047</v>
      </c>
      <c r="H373" s="7">
        <f>VLOOKUP(D373,A!B$1:L$1126,3,FALSE)</f>
        <v>0</v>
      </c>
      <c r="I373" s="31">
        <f>VLOOKUP(D373,A!B$1:L$1126,3,FALSE)</f>
        <v>0</v>
      </c>
      <c r="J373" s="92"/>
      <c r="K373" s="91" t="str">
        <f>VLOOKUP(D373,A!B$1:L$1126,6,FALSE)</f>
        <v/>
      </c>
      <c r="L373" s="162"/>
      <c r="M373" s="43" t="s">
        <v>1048</v>
      </c>
      <c r="N373" s="94">
        <f>VLOOKUP(D373,A!B$1:L$1125,2,FALSE)</f>
        <v>0</v>
      </c>
      <c r="O373" s="94">
        <f>VLOOKUP(D373,A!B$1:L$1126,4,FALSE)</f>
        <v>0</v>
      </c>
      <c r="P373" s="10">
        <v>10</v>
      </c>
      <c r="Q373" s="10">
        <v>3.25</v>
      </c>
      <c r="R373" s="10">
        <f t="shared" si="58"/>
        <v>0</v>
      </c>
      <c r="S373" s="10">
        <f t="shared" si="56"/>
        <v>0</v>
      </c>
      <c r="T373" s="10" t="s">
        <v>162</v>
      </c>
      <c r="U373" s="145">
        <v>0.33</v>
      </c>
      <c r="V373" s="10" t="str">
        <f>VLOOKUP(D373,A!B$1:T$1125,16,FALSE)</f>
        <v/>
      </c>
      <c r="W373" s="10">
        <f t="shared" si="57"/>
        <v>0</v>
      </c>
      <c r="X373" s="29"/>
      <c r="Y373" s="29"/>
      <c r="Z373" s="29"/>
      <c r="AA373" s="29"/>
    </row>
    <row r="374" spans="1:86" s="3" customFormat="1" ht="13.5" hidden="1" customHeight="1" x14ac:dyDescent="0.25">
      <c r="A374" t="str">
        <f>IF(R374=0,"",COUNTIF(A$13:A373,"&gt;0")+1)</f>
        <v/>
      </c>
      <c r="B374" s="4"/>
      <c r="C374" s="5" t="s">
        <v>22</v>
      </c>
      <c r="D374" s="7" t="s">
        <v>1049</v>
      </c>
      <c r="E374" s="31"/>
      <c r="F374" s="31"/>
      <c r="G374" s="6" t="s">
        <v>1047</v>
      </c>
      <c r="H374" s="7">
        <f>VLOOKUP(D374,A!B$1:L$1126,3,FALSE)</f>
        <v>0</v>
      </c>
      <c r="I374" s="31">
        <f>VLOOKUP(D374,A!B$1:L$1126,3,FALSE)</f>
        <v>0</v>
      </c>
      <c r="J374" s="92"/>
      <c r="K374" s="91" t="str">
        <f>VLOOKUP(D374,A!B$1:L$1126,6,FALSE)</f>
        <v/>
      </c>
      <c r="L374" s="162"/>
      <c r="M374" s="43" t="s">
        <v>1050</v>
      </c>
      <c r="N374" s="94">
        <f>VLOOKUP(D374,A!B$1:L$1125,2,FALSE)</f>
        <v>0</v>
      </c>
      <c r="O374" s="94">
        <f>VLOOKUP(D374,A!B$1:L$1126,4,FALSE)</f>
        <v>0</v>
      </c>
      <c r="P374" s="10">
        <v>10</v>
      </c>
      <c r="Q374" s="10">
        <v>3.25</v>
      </c>
      <c r="R374" s="10">
        <f t="shared" si="58"/>
        <v>0</v>
      </c>
      <c r="S374" s="10">
        <f t="shared" ref="S374:S439" si="59">R374*Q374</f>
        <v>0</v>
      </c>
      <c r="T374" s="10" t="s">
        <v>162</v>
      </c>
      <c r="U374" s="145">
        <v>0.33</v>
      </c>
      <c r="V374" s="10" t="str">
        <f>VLOOKUP(D374,A!B$1:T$1125,16,FALSE)</f>
        <v/>
      </c>
      <c r="W374" s="10">
        <f t="shared" ref="W374:W439" si="60">U374*B374</f>
        <v>0</v>
      </c>
      <c r="X374" s="29"/>
      <c r="Y374" s="29"/>
      <c r="Z374" s="29"/>
      <c r="AA374" s="29"/>
    </row>
    <row r="375" spans="1:86" s="3" customFormat="1" ht="13.5" hidden="1" customHeight="1" x14ac:dyDescent="0.25">
      <c r="A375" t="str">
        <f>IF(R375=0,"",COUNTIF(A$13:A374,"&gt;0")+1)</f>
        <v/>
      </c>
      <c r="B375" s="4"/>
      <c r="C375" s="5" t="s">
        <v>22</v>
      </c>
      <c r="D375" s="7" t="s">
        <v>1051</v>
      </c>
      <c r="E375" s="31"/>
      <c r="F375" s="31"/>
      <c r="G375" s="6" t="s">
        <v>1052</v>
      </c>
      <c r="H375" s="7">
        <f>VLOOKUP(D375,A!B$1:L$1126,3,FALSE)</f>
        <v>0</v>
      </c>
      <c r="I375" s="31">
        <f>VLOOKUP(D375,A!B$1:L$1126,3,FALSE)</f>
        <v>0</v>
      </c>
      <c r="J375" s="92"/>
      <c r="K375" s="91" t="str">
        <f>VLOOKUP(D375,A!B$1:L$1126,6,FALSE)</f>
        <v/>
      </c>
      <c r="L375" s="162"/>
      <c r="M375" s="43" t="s">
        <v>1053</v>
      </c>
      <c r="N375" s="94">
        <f>VLOOKUP(D375,A!B$1:L$1125,2,FALSE)</f>
        <v>0</v>
      </c>
      <c r="O375" s="94">
        <f>VLOOKUP(D375,A!B$1:L$1126,4,FALSE)</f>
        <v>0</v>
      </c>
      <c r="P375" s="10">
        <v>10</v>
      </c>
      <c r="Q375" s="10">
        <v>3.25</v>
      </c>
      <c r="R375" s="10">
        <f t="shared" ref="R375:R440" si="61">B375*P375</f>
        <v>0</v>
      </c>
      <c r="S375" s="10">
        <f t="shared" si="59"/>
        <v>0</v>
      </c>
      <c r="T375" s="10" t="s">
        <v>162</v>
      </c>
      <c r="U375" s="145">
        <v>0.33</v>
      </c>
      <c r="V375" s="10" t="str">
        <f>VLOOKUP(D375,A!B$1:T$1125,16,FALSE)</f>
        <v/>
      </c>
      <c r="W375" s="10">
        <f t="shared" si="60"/>
        <v>0</v>
      </c>
      <c r="X375" s="29"/>
      <c r="Y375" s="29"/>
      <c r="Z375" s="29"/>
      <c r="AA375" s="29"/>
    </row>
    <row r="376" spans="1:86" s="3" customFormat="1" ht="13.5" hidden="1" customHeight="1" x14ac:dyDescent="0.25">
      <c r="A376" t="str">
        <f>IF(R376=0,"",COUNTIF(A$13:A375,"&gt;0")+1)</f>
        <v/>
      </c>
      <c r="B376" s="4"/>
      <c r="C376" s="5" t="s">
        <v>22</v>
      </c>
      <c r="D376" s="7" t="s">
        <v>1054</v>
      </c>
      <c r="E376" s="31"/>
      <c r="F376" s="31"/>
      <c r="G376" s="6" t="s">
        <v>1047</v>
      </c>
      <c r="H376" s="7">
        <f>VLOOKUP(D376,A!B$1:L$1126,3,FALSE)</f>
        <v>0</v>
      </c>
      <c r="I376" s="31">
        <f>VLOOKUP(D376,A!B$1:L$1126,3,FALSE)</f>
        <v>0</v>
      </c>
      <c r="J376" s="92"/>
      <c r="K376" s="91" t="str">
        <f>VLOOKUP(D376,A!B$1:L$1126,6,FALSE)</f>
        <v/>
      </c>
      <c r="L376" s="162"/>
      <c r="M376" s="43" t="s">
        <v>1055</v>
      </c>
      <c r="N376" s="94">
        <f>VLOOKUP(D376,A!B$1:L$1125,2,FALSE)</f>
        <v>0</v>
      </c>
      <c r="O376" s="94">
        <f>VLOOKUP(D376,A!B$1:L$1126,4,FALSE)</f>
        <v>0</v>
      </c>
      <c r="P376" s="10">
        <v>10</v>
      </c>
      <c r="Q376" s="10">
        <v>3.25</v>
      </c>
      <c r="R376" s="10">
        <f t="shared" si="61"/>
        <v>0</v>
      </c>
      <c r="S376" s="10">
        <f t="shared" si="59"/>
        <v>0</v>
      </c>
      <c r="T376" s="10" t="s">
        <v>162</v>
      </c>
      <c r="U376" s="145">
        <v>0.33</v>
      </c>
      <c r="V376" s="10" t="str">
        <f>VLOOKUP(D376,A!B$1:T$1125,16,FALSE)</f>
        <v/>
      </c>
      <c r="W376" s="10">
        <f t="shared" si="60"/>
        <v>0</v>
      </c>
      <c r="X376" s="29"/>
      <c r="Y376" s="29"/>
      <c r="Z376" s="29"/>
      <c r="AA376" s="29"/>
    </row>
    <row r="377" spans="1:86" s="3" customFormat="1" ht="13.5" hidden="1" customHeight="1" x14ac:dyDescent="0.25">
      <c r="A377" t="str">
        <f>IF(R377=0,"",COUNTIF(A$13:A376,"&gt;0")+1)</f>
        <v/>
      </c>
      <c r="B377" s="4"/>
      <c r="C377" s="5" t="s">
        <v>22</v>
      </c>
      <c r="D377" s="7" t="s">
        <v>256</v>
      </c>
      <c r="E377" s="31"/>
      <c r="F377" s="31"/>
      <c r="G377" s="6" t="s">
        <v>257</v>
      </c>
      <c r="H377" s="7">
        <f>VLOOKUP(D377,A!B$1:L$1126,3,FALSE)</f>
        <v>0</v>
      </c>
      <c r="I377" s="31">
        <f>VLOOKUP(D377,A!B$1:L$1126,3,FALSE)</f>
        <v>0</v>
      </c>
      <c r="J377" s="92"/>
      <c r="K377" s="91" t="str">
        <f>VLOOKUP(D377,A!B$1:L$1126,6,FALSE)</f>
        <v/>
      </c>
      <c r="L377" s="2"/>
      <c r="M377" s="41" t="s">
        <v>258</v>
      </c>
      <c r="N377" s="94">
        <f>VLOOKUP(D377,A!B$1:L$1125,2,FALSE)</f>
        <v>0</v>
      </c>
      <c r="O377" s="94">
        <f>VLOOKUP(D377,A!B$1:L$1126,4,FALSE)</f>
        <v>0</v>
      </c>
      <c r="P377" s="10">
        <v>10</v>
      </c>
      <c r="Q377" s="10">
        <v>3.25</v>
      </c>
      <c r="R377" s="10">
        <f t="shared" si="61"/>
        <v>0</v>
      </c>
      <c r="S377" s="10">
        <f t="shared" si="59"/>
        <v>0</v>
      </c>
      <c r="T377" s="10" t="s">
        <v>162</v>
      </c>
      <c r="U377" s="145">
        <v>0.33</v>
      </c>
      <c r="V377" s="10" t="str">
        <f>VLOOKUP(D377,A!B$1:T$1125,16,FALSE)</f>
        <v/>
      </c>
      <c r="W377" s="10">
        <f t="shared" si="60"/>
        <v>0</v>
      </c>
      <c r="X377" s="30"/>
      <c r="Y377" s="30"/>
      <c r="Z377" s="30"/>
      <c r="AA377" s="30"/>
      <c r="AB377" s="30"/>
      <c r="AC377" s="30"/>
      <c r="AD377" s="30"/>
      <c r="AE377" s="115"/>
      <c r="AF377" s="115"/>
      <c r="AG377" s="115"/>
      <c r="AH377" s="115"/>
      <c r="AI377" s="115"/>
      <c r="AJ377" s="115"/>
      <c r="AK377" s="115"/>
      <c r="AL377" s="115"/>
      <c r="AM377" s="115"/>
      <c r="AN377" s="115"/>
      <c r="AO377" s="115"/>
      <c r="AP377" s="115"/>
      <c r="AQ377" s="115"/>
      <c r="AR377" s="115"/>
      <c r="AS377" s="115"/>
      <c r="AT377" s="115"/>
      <c r="AU377" s="115"/>
      <c r="AV377" s="115"/>
      <c r="AW377" s="115"/>
      <c r="AX377" s="115"/>
      <c r="AY377" s="115"/>
      <c r="AZ377" s="115"/>
      <c r="BA377" s="115"/>
      <c r="BB377" s="115"/>
      <c r="BC377" s="115"/>
      <c r="BD377" s="115"/>
      <c r="BE377" s="115"/>
      <c r="BF377" s="115"/>
      <c r="BG377" s="115"/>
      <c r="BH377" s="115"/>
      <c r="BI377" s="115"/>
      <c r="BJ377" s="115"/>
      <c r="BK377" s="115"/>
      <c r="BL377" s="115"/>
      <c r="BM377" s="115"/>
      <c r="BN377" s="115"/>
      <c r="BO377" s="115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</row>
    <row r="378" spans="1:86" s="3" customFormat="1" ht="13.5" hidden="1" customHeight="1" x14ac:dyDescent="0.25">
      <c r="A378" t="str">
        <f>IF(R378=0,"",COUNTIF(A$13:A377,"&gt;0")+1)</f>
        <v/>
      </c>
      <c r="B378" s="4"/>
      <c r="C378" s="5" t="s">
        <v>22</v>
      </c>
      <c r="D378" s="7" t="s">
        <v>1056</v>
      </c>
      <c r="E378" s="31"/>
      <c r="F378" s="31"/>
      <c r="G378" s="6" t="s">
        <v>1057</v>
      </c>
      <c r="H378" s="7">
        <f>VLOOKUP(D378,A!B$1:L$1126,3,FALSE)</f>
        <v>0</v>
      </c>
      <c r="I378" s="31">
        <f>VLOOKUP(D378,A!B$1:L$1126,3,FALSE)</f>
        <v>0</v>
      </c>
      <c r="J378" s="92"/>
      <c r="K378" s="91" t="str">
        <f>VLOOKUP(D378,A!B$1:L$1126,6,FALSE)</f>
        <v/>
      </c>
      <c r="L378" s="162"/>
      <c r="M378" s="41" t="s">
        <v>1058</v>
      </c>
      <c r="N378" s="94">
        <f>VLOOKUP(D378,A!B$1:L$1125,2,FALSE)</f>
        <v>0</v>
      </c>
      <c r="O378" s="94">
        <f>VLOOKUP(D378,A!B$1:L$1126,4,FALSE)</f>
        <v>0</v>
      </c>
      <c r="P378" s="10">
        <v>10</v>
      </c>
      <c r="Q378" s="10">
        <v>3.25</v>
      </c>
      <c r="R378" s="10">
        <f t="shared" si="61"/>
        <v>0</v>
      </c>
      <c r="S378" s="10">
        <f t="shared" si="59"/>
        <v>0</v>
      </c>
      <c r="T378" s="10" t="s">
        <v>162</v>
      </c>
      <c r="U378" s="145">
        <v>0.33</v>
      </c>
      <c r="V378" s="10" t="str">
        <f>VLOOKUP(D378,A!B$1:T$1125,16,FALSE)</f>
        <v/>
      </c>
      <c r="W378" s="10">
        <f t="shared" si="60"/>
        <v>0</v>
      </c>
      <c r="X378" s="29"/>
      <c r="Y378" s="29"/>
      <c r="Z378" s="29"/>
      <c r="AA378" s="29"/>
    </row>
    <row r="379" spans="1:86" s="3" customFormat="1" ht="13.5" hidden="1" customHeight="1" x14ac:dyDescent="0.25">
      <c r="A379" t="str">
        <f>IF(R379=0,"",COUNTIF(A$13:A378,"&gt;0")+1)</f>
        <v/>
      </c>
      <c r="B379" s="4"/>
      <c r="C379" s="5" t="s">
        <v>22</v>
      </c>
      <c r="D379" s="7" t="s">
        <v>1059</v>
      </c>
      <c r="E379" s="31"/>
      <c r="F379" s="31"/>
      <c r="G379" s="6" t="s">
        <v>1060</v>
      </c>
      <c r="H379" s="7">
        <f>VLOOKUP(D379,A!B$1:L$1126,3,FALSE)</f>
        <v>0</v>
      </c>
      <c r="I379" s="31">
        <f>VLOOKUP(D379,A!B$1:L$1126,3,FALSE)</f>
        <v>0</v>
      </c>
      <c r="J379" s="92"/>
      <c r="K379" s="91" t="str">
        <f>VLOOKUP(D379,A!B$1:L$1126,6,FALSE)</f>
        <v/>
      </c>
      <c r="L379" s="162"/>
      <c r="M379" s="41" t="s">
        <v>1061</v>
      </c>
      <c r="N379" s="94">
        <f>VLOOKUP(D379,A!B$1:L$1125,2,FALSE)</f>
        <v>0</v>
      </c>
      <c r="O379" s="94">
        <f>VLOOKUP(D379,A!B$1:L$1126,4,FALSE)</f>
        <v>0</v>
      </c>
      <c r="P379" s="10">
        <v>10</v>
      </c>
      <c r="Q379" s="10">
        <v>3.25</v>
      </c>
      <c r="R379" s="10">
        <f t="shared" si="61"/>
        <v>0</v>
      </c>
      <c r="S379" s="10">
        <f t="shared" si="59"/>
        <v>0</v>
      </c>
      <c r="T379" s="10" t="s">
        <v>162</v>
      </c>
      <c r="U379" s="145">
        <v>0.33</v>
      </c>
      <c r="V379" s="10" t="str">
        <f>VLOOKUP(D379,A!B$1:T$1125,16,FALSE)</f>
        <v/>
      </c>
      <c r="W379" s="10">
        <f t="shared" si="60"/>
        <v>0</v>
      </c>
      <c r="X379" s="29"/>
      <c r="Y379" s="29"/>
      <c r="Z379" s="29"/>
      <c r="AA379" s="29"/>
    </row>
    <row r="380" spans="1:86" s="3" customFormat="1" ht="13.5" hidden="1" customHeight="1" x14ac:dyDescent="0.25">
      <c r="A380" t="str">
        <f>IF(R380=0,"",COUNTIF(A$13:A379,"&gt;0")+1)</f>
        <v/>
      </c>
      <c r="B380" s="4"/>
      <c r="C380" s="5" t="s">
        <v>22</v>
      </c>
      <c r="D380" s="7" t="s">
        <v>1062</v>
      </c>
      <c r="E380" s="31"/>
      <c r="F380" s="31"/>
      <c r="G380" s="6" t="s">
        <v>1063</v>
      </c>
      <c r="H380" s="7">
        <f>VLOOKUP(D380,A!B$1:L$1126,3,FALSE)</f>
        <v>0</v>
      </c>
      <c r="I380" s="31">
        <f>VLOOKUP(D380,A!B$1:L$1126,3,FALSE)</f>
        <v>0</v>
      </c>
      <c r="J380" s="92"/>
      <c r="K380" s="91" t="str">
        <f>VLOOKUP(D380,A!B$1:L$1126,6,FALSE)</f>
        <v/>
      </c>
      <c r="L380" s="162"/>
      <c r="M380" s="41" t="s">
        <v>1064</v>
      </c>
      <c r="N380" s="94">
        <f>VLOOKUP(D380,A!B$1:L$1125,2,FALSE)</f>
        <v>0</v>
      </c>
      <c r="O380" s="94">
        <f>VLOOKUP(D380,A!B$1:L$1126,4,FALSE)</f>
        <v>0</v>
      </c>
      <c r="P380" s="10">
        <v>10</v>
      </c>
      <c r="Q380" s="10">
        <v>3.25</v>
      </c>
      <c r="R380" s="10">
        <f t="shared" si="61"/>
        <v>0</v>
      </c>
      <c r="S380" s="10">
        <f t="shared" si="59"/>
        <v>0</v>
      </c>
      <c r="T380" s="10" t="s">
        <v>162</v>
      </c>
      <c r="U380" s="145">
        <v>0.33</v>
      </c>
      <c r="V380" s="10" t="str">
        <f>VLOOKUP(D380,A!B$1:T$1125,16,FALSE)</f>
        <v/>
      </c>
      <c r="W380" s="10">
        <f t="shared" si="60"/>
        <v>0</v>
      </c>
      <c r="X380" s="29"/>
      <c r="Y380" s="29"/>
      <c r="Z380" s="29"/>
      <c r="AA380" s="29"/>
    </row>
    <row r="381" spans="1:86" s="3" customFormat="1" ht="13.5" hidden="1" customHeight="1" x14ac:dyDescent="0.25">
      <c r="A381" t="str">
        <f>IF(R381=0,"",COUNTIF(A$13:A380,"&gt;0")+1)</f>
        <v/>
      </c>
      <c r="B381" s="4"/>
      <c r="C381" s="5" t="s">
        <v>22</v>
      </c>
      <c r="D381" s="7" t="s">
        <v>1065</v>
      </c>
      <c r="E381" s="31"/>
      <c r="F381" s="31"/>
      <c r="G381" s="6" t="s">
        <v>1066</v>
      </c>
      <c r="H381" s="7">
        <f>VLOOKUP(D381,A!B$1:L$1126,3,FALSE)</f>
        <v>0</v>
      </c>
      <c r="I381" s="31">
        <f>VLOOKUP(D381,A!B$1:L$1126,3,FALSE)</f>
        <v>0</v>
      </c>
      <c r="J381" s="92"/>
      <c r="K381" s="91" t="str">
        <f>VLOOKUP(D381,A!B$1:L$1126,6,FALSE)</f>
        <v/>
      </c>
      <c r="L381" s="162"/>
      <c r="M381" s="43" t="s">
        <v>1067</v>
      </c>
      <c r="N381" s="94">
        <f>VLOOKUP(D381,A!B$1:L$1125,2,FALSE)</f>
        <v>0</v>
      </c>
      <c r="O381" s="94">
        <f>VLOOKUP(D381,A!B$1:L$1126,4,FALSE)</f>
        <v>0</v>
      </c>
      <c r="P381" s="10">
        <v>10</v>
      </c>
      <c r="Q381" s="10">
        <v>3.25</v>
      </c>
      <c r="R381" s="10">
        <f t="shared" si="61"/>
        <v>0</v>
      </c>
      <c r="S381" s="10">
        <f t="shared" si="59"/>
        <v>0</v>
      </c>
      <c r="T381" s="10" t="s">
        <v>162</v>
      </c>
      <c r="U381" s="145">
        <v>0.33</v>
      </c>
      <c r="V381" s="10" t="str">
        <f>VLOOKUP(D381,A!B$1:T$1125,16,FALSE)</f>
        <v/>
      </c>
      <c r="W381" s="10">
        <f t="shared" si="60"/>
        <v>0</v>
      </c>
      <c r="X381" s="29"/>
      <c r="Y381" s="29"/>
      <c r="Z381" s="29"/>
      <c r="AA381" s="29"/>
    </row>
    <row r="382" spans="1:86" s="3" customFormat="1" ht="13.5" hidden="1" customHeight="1" x14ac:dyDescent="0.25">
      <c r="A382" t="str">
        <f>IF(R382=0,"",COUNTIF(A$13:A381,"&gt;0")+1)</f>
        <v/>
      </c>
      <c r="B382" s="4"/>
      <c r="C382" s="5" t="s">
        <v>22</v>
      </c>
      <c r="D382" s="7" t="s">
        <v>1068</v>
      </c>
      <c r="E382" s="31"/>
      <c r="F382" s="31"/>
      <c r="G382" s="6" t="s">
        <v>1069</v>
      </c>
      <c r="H382" s="7">
        <f>VLOOKUP(D382,A!B$1:L$1126,3,FALSE)</f>
        <v>0</v>
      </c>
      <c r="I382" s="31">
        <f>VLOOKUP(D382,A!B$1:L$1126,3,FALSE)</f>
        <v>0</v>
      </c>
      <c r="J382" s="92"/>
      <c r="K382" s="91" t="str">
        <f>VLOOKUP(D382,A!B$1:L$1126,6,FALSE)</f>
        <v/>
      </c>
      <c r="L382" s="162"/>
      <c r="M382" s="41" t="s">
        <v>1070</v>
      </c>
      <c r="N382" s="94">
        <f>VLOOKUP(D382,A!B$1:L$1125,2,FALSE)</f>
        <v>0</v>
      </c>
      <c r="O382" s="94">
        <f>VLOOKUP(D382,A!B$1:L$1126,4,FALSE)</f>
        <v>0</v>
      </c>
      <c r="P382" s="10">
        <v>10</v>
      </c>
      <c r="Q382" s="10">
        <v>3.25</v>
      </c>
      <c r="R382" s="10">
        <f t="shared" si="61"/>
        <v>0</v>
      </c>
      <c r="S382" s="10">
        <f t="shared" si="59"/>
        <v>0</v>
      </c>
      <c r="T382" s="10" t="s">
        <v>162</v>
      </c>
      <c r="U382" s="145">
        <v>0.33</v>
      </c>
      <c r="V382" s="10" t="str">
        <f>VLOOKUP(D382,A!B$1:T$1125,16,FALSE)</f>
        <v/>
      </c>
      <c r="W382" s="10">
        <f t="shared" si="60"/>
        <v>0</v>
      </c>
      <c r="X382" s="29"/>
      <c r="Y382" s="29"/>
      <c r="Z382" s="29"/>
      <c r="AA382" s="29"/>
    </row>
    <row r="383" spans="1:86" s="3" customFormat="1" ht="13.5" hidden="1" customHeight="1" x14ac:dyDescent="0.25">
      <c r="A383" t="str">
        <f>IF(R383=0,"",COUNTIF(A$13:A382,"&gt;0")+1)</f>
        <v/>
      </c>
      <c r="B383" s="4"/>
      <c r="C383" s="5" t="s">
        <v>22</v>
      </c>
      <c r="D383" s="7" t="s">
        <v>1071</v>
      </c>
      <c r="E383" s="31"/>
      <c r="F383" s="31"/>
      <c r="G383" s="6" t="s">
        <v>289</v>
      </c>
      <c r="H383" s="7">
        <f>VLOOKUP(D383,A!B$1:L$1126,3,FALSE)</f>
        <v>0</v>
      </c>
      <c r="I383" s="31">
        <f>VLOOKUP(D383,A!B$1:L$1126,3,FALSE)</f>
        <v>0</v>
      </c>
      <c r="J383" s="92"/>
      <c r="K383" s="91" t="str">
        <f>VLOOKUP(D383,A!B$1:L$1126,6,FALSE)</f>
        <v/>
      </c>
      <c r="L383" s="162"/>
      <c r="M383" s="43" t="s">
        <v>1072</v>
      </c>
      <c r="N383" s="94">
        <f>VLOOKUP(D383,A!B$1:L$1125,2,FALSE)</f>
        <v>0</v>
      </c>
      <c r="O383" s="94">
        <f>VLOOKUP(D383,A!B$1:L$1126,4,FALSE)</f>
        <v>0</v>
      </c>
      <c r="P383" s="10">
        <v>10</v>
      </c>
      <c r="Q383" s="10">
        <v>3.25</v>
      </c>
      <c r="R383" s="10">
        <f t="shared" si="61"/>
        <v>0</v>
      </c>
      <c r="S383" s="10">
        <f t="shared" si="59"/>
        <v>0</v>
      </c>
      <c r="T383" s="10" t="s">
        <v>162</v>
      </c>
      <c r="U383" s="145">
        <v>0.33</v>
      </c>
      <c r="V383" s="10" t="str">
        <f>VLOOKUP(D383,A!B$1:T$1125,16,FALSE)</f>
        <v/>
      </c>
      <c r="W383" s="10">
        <f t="shared" si="60"/>
        <v>0</v>
      </c>
      <c r="X383" s="29"/>
      <c r="Y383" s="29"/>
      <c r="Z383" s="29"/>
      <c r="AA383" s="29"/>
    </row>
    <row r="384" spans="1:86" s="3" customFormat="1" ht="13.5" customHeight="1" x14ac:dyDescent="0.25">
      <c r="A384" t="str">
        <f>IF(R384=0,"",COUNTIF(A$13:A383,"&gt;0")+1)</f>
        <v/>
      </c>
      <c r="B384" s="4"/>
      <c r="C384" s="5" t="s">
        <v>22</v>
      </c>
      <c r="D384" s="7" t="s">
        <v>291</v>
      </c>
      <c r="E384" s="31"/>
      <c r="F384" s="31"/>
      <c r="G384" s="6" t="s">
        <v>289</v>
      </c>
      <c r="H384" s="7">
        <f>VLOOKUP(D384,A!B$1:L$1126,3,FALSE)</f>
        <v>1</v>
      </c>
      <c r="I384" s="31">
        <f>VLOOKUP(D384,A!B$1:L$1126,3,FALSE)</f>
        <v>1</v>
      </c>
      <c r="J384" s="92"/>
      <c r="K384" s="91" t="str">
        <f>VLOOKUP(D384,A!B$1:L$1126,6,FALSE)</f>
        <v/>
      </c>
      <c r="L384" s="2"/>
      <c r="M384" s="43" t="s">
        <v>290</v>
      </c>
      <c r="N384" s="94" t="str">
        <f>VLOOKUP(D384,A!B$1:L$1125,2,FALSE)</f>
        <v>y</v>
      </c>
      <c r="O384" s="94">
        <f>VLOOKUP(D384,A!B$1:L$1126,4,FALSE)</f>
        <v>0</v>
      </c>
      <c r="P384" s="10">
        <v>10</v>
      </c>
      <c r="Q384" s="10">
        <v>3.25</v>
      </c>
      <c r="R384" s="10">
        <f t="shared" si="61"/>
        <v>0</v>
      </c>
      <c r="S384" s="10">
        <f t="shared" si="59"/>
        <v>0</v>
      </c>
      <c r="T384" s="10" t="s">
        <v>162</v>
      </c>
      <c r="U384" s="145">
        <v>0.33</v>
      </c>
      <c r="V384" s="10" t="str">
        <f>VLOOKUP(D384,A!B$1:T$1125,16,FALSE)</f>
        <v/>
      </c>
      <c r="W384" s="10">
        <f t="shared" si="60"/>
        <v>0</v>
      </c>
      <c r="X384" s="30"/>
      <c r="Y384" s="30"/>
      <c r="Z384" s="30"/>
      <c r="AA384" s="30"/>
      <c r="AB384" s="30"/>
      <c r="AC384" s="30"/>
      <c r="AD384" s="30"/>
      <c r="AE384" s="115"/>
      <c r="AF384" s="115"/>
      <c r="AG384" s="115"/>
      <c r="AH384" s="115"/>
      <c r="AI384" s="115"/>
      <c r="AJ384" s="115"/>
      <c r="AK384" s="115"/>
      <c r="AL384" s="115"/>
      <c r="AM384" s="115"/>
      <c r="AN384" s="115"/>
      <c r="AO384" s="115"/>
      <c r="AP384" s="115"/>
      <c r="AQ384" s="115"/>
      <c r="AR384" s="115"/>
      <c r="AS384" s="115"/>
      <c r="AT384" s="115"/>
      <c r="AU384" s="115"/>
      <c r="AV384" s="115"/>
      <c r="AW384" s="115"/>
      <c r="AX384" s="115"/>
      <c r="AY384" s="115"/>
      <c r="AZ384" s="115"/>
      <c r="BA384" s="115"/>
      <c r="BB384" s="115"/>
      <c r="BC384" s="115"/>
      <c r="BD384" s="115"/>
      <c r="BE384" s="115"/>
      <c r="BF384" s="115"/>
      <c r="BG384" s="115"/>
      <c r="BH384" s="115"/>
      <c r="BI384" s="115"/>
      <c r="BJ384" s="115"/>
      <c r="BK384" s="115"/>
      <c r="BL384" s="115"/>
      <c r="BM384" s="115"/>
      <c r="BN384" s="115"/>
      <c r="BO384" s="115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</row>
    <row r="385" spans="1:27" s="3" customFormat="1" ht="13.5" hidden="1" customHeight="1" x14ac:dyDescent="0.25">
      <c r="A385" t="str">
        <f>IF(R385=0,"",COUNTIF(A$13:A384,"&gt;0")+1)</f>
        <v/>
      </c>
      <c r="B385" s="4"/>
      <c r="C385" s="5" t="s">
        <v>22</v>
      </c>
      <c r="D385" s="7" t="s">
        <v>1073</v>
      </c>
      <c r="E385" s="31"/>
      <c r="F385" s="31"/>
      <c r="G385" s="6" t="s">
        <v>289</v>
      </c>
      <c r="H385" s="7">
        <f>VLOOKUP(D385,A!B$1:L$1126,3,FALSE)</f>
        <v>0</v>
      </c>
      <c r="I385" s="31">
        <f>VLOOKUP(D385,A!B$1:L$1126,3,FALSE)</f>
        <v>0</v>
      </c>
      <c r="J385" s="92"/>
      <c r="K385" s="91" t="str">
        <f>VLOOKUP(D385,A!B$1:L$1126,6,FALSE)</f>
        <v/>
      </c>
      <c r="L385" s="162"/>
      <c r="M385" s="43" t="s">
        <v>1074</v>
      </c>
      <c r="N385" s="94">
        <f>VLOOKUP(D385,A!B$1:L$1125,2,FALSE)</f>
        <v>0</v>
      </c>
      <c r="O385" s="94">
        <f>VLOOKUP(D385,A!B$1:L$1126,4,FALSE)</f>
        <v>0</v>
      </c>
      <c r="P385" s="10">
        <v>10</v>
      </c>
      <c r="Q385" s="10">
        <v>3.25</v>
      </c>
      <c r="R385" s="10">
        <f t="shared" si="61"/>
        <v>0</v>
      </c>
      <c r="S385" s="10">
        <f t="shared" si="59"/>
        <v>0</v>
      </c>
      <c r="T385" s="10" t="s">
        <v>162</v>
      </c>
      <c r="U385" s="145">
        <v>0.33</v>
      </c>
      <c r="V385" s="10" t="str">
        <f>VLOOKUP(D385,A!B$1:T$1125,16,FALSE)</f>
        <v/>
      </c>
      <c r="W385" s="10">
        <f t="shared" si="60"/>
        <v>0</v>
      </c>
      <c r="X385" s="29"/>
      <c r="Y385" s="29"/>
      <c r="Z385" s="29"/>
      <c r="AA385" s="29"/>
    </row>
    <row r="386" spans="1:27" s="3" customFormat="1" ht="13.5" hidden="1" customHeight="1" x14ac:dyDescent="0.25">
      <c r="A386" t="str">
        <f>IF(R386=0,"",COUNTIF(A$13:A385,"&gt;0")+1)</f>
        <v/>
      </c>
      <c r="B386" s="4"/>
      <c r="C386" s="5" t="s">
        <v>22</v>
      </c>
      <c r="D386" s="7" t="s">
        <v>1075</v>
      </c>
      <c r="E386" s="31"/>
      <c r="F386" s="31"/>
      <c r="G386" s="6" t="s">
        <v>289</v>
      </c>
      <c r="H386" s="7">
        <f>VLOOKUP(D386,A!B$1:L$1126,3,FALSE)</f>
        <v>0</v>
      </c>
      <c r="I386" s="31">
        <f>VLOOKUP(D386,A!B$1:L$1126,3,FALSE)</f>
        <v>0</v>
      </c>
      <c r="J386" s="92"/>
      <c r="K386" s="91" t="str">
        <f>VLOOKUP(D386,A!B$1:L$1126,6,FALSE)</f>
        <v/>
      </c>
      <c r="L386" s="162"/>
      <c r="M386" s="43" t="s">
        <v>1076</v>
      </c>
      <c r="N386" s="94">
        <f>VLOOKUP(D386,A!B$1:L$1125,2,FALSE)</f>
        <v>0</v>
      </c>
      <c r="O386" s="94">
        <f>VLOOKUP(D386,A!B$1:L$1126,4,FALSE)</f>
        <v>0</v>
      </c>
      <c r="P386" s="10">
        <v>10</v>
      </c>
      <c r="Q386" s="10">
        <v>3.25</v>
      </c>
      <c r="R386" s="10">
        <f t="shared" si="61"/>
        <v>0</v>
      </c>
      <c r="S386" s="10">
        <f t="shared" si="59"/>
        <v>0</v>
      </c>
      <c r="T386" s="10" t="s">
        <v>162</v>
      </c>
      <c r="U386" s="145">
        <v>0.33</v>
      </c>
      <c r="V386" s="10" t="str">
        <f>VLOOKUP(D386,A!B$1:T$1125,16,FALSE)</f>
        <v/>
      </c>
      <c r="W386" s="10">
        <f t="shared" si="60"/>
        <v>0</v>
      </c>
      <c r="X386" s="29"/>
      <c r="Y386" s="29"/>
      <c r="Z386" s="29"/>
      <c r="AA386" s="29"/>
    </row>
    <row r="387" spans="1:27" s="3" customFormat="1" ht="13.5" hidden="1" customHeight="1" x14ac:dyDescent="0.25">
      <c r="A387" t="str">
        <f>IF(R387=0,"",COUNTIF(A$13:A386,"&gt;0")+1)</f>
        <v/>
      </c>
      <c r="B387" s="4"/>
      <c r="C387" s="5" t="s">
        <v>22</v>
      </c>
      <c r="D387" s="7" t="s">
        <v>1077</v>
      </c>
      <c r="E387" s="31"/>
      <c r="F387" s="31"/>
      <c r="G387" s="6" t="s">
        <v>289</v>
      </c>
      <c r="H387" s="7">
        <f>VLOOKUP(D387,A!B$1:L$1126,3,FALSE)</f>
        <v>0</v>
      </c>
      <c r="I387" s="31">
        <f>VLOOKUP(D387,A!B$1:L$1126,3,FALSE)</f>
        <v>0</v>
      </c>
      <c r="J387" s="92"/>
      <c r="K387" s="91" t="str">
        <f>VLOOKUP(D387,A!B$1:L$1126,6,FALSE)</f>
        <v/>
      </c>
      <c r="L387" s="162"/>
      <c r="M387" s="43" t="s">
        <v>1078</v>
      </c>
      <c r="N387" s="94">
        <f>VLOOKUP(D387,A!B$1:L$1125,2,FALSE)</f>
        <v>0</v>
      </c>
      <c r="O387" s="94">
        <f>VLOOKUP(D387,A!B$1:L$1126,4,FALSE)</f>
        <v>0</v>
      </c>
      <c r="P387" s="10">
        <v>10</v>
      </c>
      <c r="Q387" s="10">
        <v>3.25</v>
      </c>
      <c r="R387" s="10">
        <f t="shared" si="61"/>
        <v>0</v>
      </c>
      <c r="S387" s="10">
        <f t="shared" si="59"/>
        <v>0</v>
      </c>
      <c r="T387" s="10" t="s">
        <v>162</v>
      </c>
      <c r="U387" s="145">
        <v>0.33</v>
      </c>
      <c r="V387" s="10" t="str">
        <f>VLOOKUP(D387,A!B$1:T$1125,16,FALSE)</f>
        <v/>
      </c>
      <c r="W387" s="10">
        <f t="shared" si="60"/>
        <v>0</v>
      </c>
      <c r="X387" s="29"/>
      <c r="Y387" s="29"/>
      <c r="Z387" s="29"/>
      <c r="AA387" s="29"/>
    </row>
    <row r="388" spans="1:27" s="3" customFormat="1" ht="13.5" hidden="1" customHeight="1" x14ac:dyDescent="0.25">
      <c r="A388" t="str">
        <f>IF(R388=0,"",COUNTIF(A$13:A387,"&gt;0")+1)</f>
        <v/>
      </c>
      <c r="B388" s="4"/>
      <c r="C388" s="5" t="s">
        <v>22</v>
      </c>
      <c r="D388" s="7" t="s">
        <v>1079</v>
      </c>
      <c r="E388" s="31"/>
      <c r="F388" s="31"/>
      <c r="G388" s="6" t="s">
        <v>289</v>
      </c>
      <c r="H388" s="7">
        <f>VLOOKUP(D388,A!B$1:L$1126,3,FALSE)</f>
        <v>0</v>
      </c>
      <c r="I388" s="31">
        <f>VLOOKUP(D388,A!B$1:L$1126,3,FALSE)</f>
        <v>0</v>
      </c>
      <c r="J388" s="92"/>
      <c r="K388" s="91" t="str">
        <f>VLOOKUP(D388,A!B$1:L$1126,6,FALSE)</f>
        <v/>
      </c>
      <c r="L388" s="162"/>
      <c r="M388" s="43" t="s">
        <v>1080</v>
      </c>
      <c r="N388" s="94">
        <f>VLOOKUP(D388,A!B$1:L$1125,2,FALSE)</f>
        <v>0</v>
      </c>
      <c r="O388" s="94">
        <f>VLOOKUP(D388,A!B$1:L$1126,4,FALSE)</f>
        <v>0</v>
      </c>
      <c r="P388" s="10">
        <v>10</v>
      </c>
      <c r="Q388" s="10">
        <v>3.25</v>
      </c>
      <c r="R388" s="10">
        <f t="shared" si="61"/>
        <v>0</v>
      </c>
      <c r="S388" s="10">
        <f t="shared" si="59"/>
        <v>0</v>
      </c>
      <c r="T388" s="10" t="s">
        <v>162</v>
      </c>
      <c r="U388" s="145">
        <v>0.33</v>
      </c>
      <c r="V388" s="10" t="str">
        <f>VLOOKUP(D388,A!B$1:T$1125,16,FALSE)</f>
        <v/>
      </c>
      <c r="W388" s="10">
        <f t="shared" si="60"/>
        <v>0</v>
      </c>
      <c r="X388" s="29"/>
      <c r="Y388" s="29"/>
      <c r="Z388" s="29"/>
      <c r="AA388" s="29"/>
    </row>
    <row r="389" spans="1:27" s="3" customFormat="1" ht="13.5" hidden="1" customHeight="1" x14ac:dyDescent="0.25">
      <c r="A389" t="str">
        <f>IF(R389=0,"",COUNTIF(A$13:A388,"&gt;0")+1)</f>
        <v/>
      </c>
      <c r="B389" s="4"/>
      <c r="C389" s="5" t="s">
        <v>22</v>
      </c>
      <c r="D389" s="7" t="s">
        <v>1081</v>
      </c>
      <c r="E389" s="31"/>
      <c r="F389" s="31"/>
      <c r="G389" s="6" t="s">
        <v>289</v>
      </c>
      <c r="H389" s="7">
        <f>VLOOKUP(D389,A!B$1:L$1126,3,FALSE)</f>
        <v>0</v>
      </c>
      <c r="I389" s="31">
        <f>VLOOKUP(D389,A!B$1:L$1126,3,FALSE)</f>
        <v>0</v>
      </c>
      <c r="J389" s="92"/>
      <c r="K389" s="91" t="str">
        <f>VLOOKUP(D389,A!B$1:L$1126,6,FALSE)</f>
        <v/>
      </c>
      <c r="L389" s="162"/>
      <c r="M389" s="43" t="s">
        <v>1082</v>
      </c>
      <c r="N389" s="94">
        <f>VLOOKUP(D389,A!B$1:L$1125,2,FALSE)</f>
        <v>0</v>
      </c>
      <c r="O389" s="94">
        <f>VLOOKUP(D389,A!B$1:L$1126,4,FALSE)</f>
        <v>0</v>
      </c>
      <c r="P389" s="10">
        <v>10</v>
      </c>
      <c r="Q389" s="10">
        <v>3.25</v>
      </c>
      <c r="R389" s="10">
        <f t="shared" si="61"/>
        <v>0</v>
      </c>
      <c r="S389" s="10">
        <f t="shared" si="59"/>
        <v>0</v>
      </c>
      <c r="T389" s="10" t="s">
        <v>162</v>
      </c>
      <c r="U389" s="145">
        <v>0.33</v>
      </c>
      <c r="V389" s="10" t="str">
        <f>VLOOKUP(D389,A!B$1:T$1125,16,FALSE)</f>
        <v/>
      </c>
      <c r="W389" s="10">
        <f t="shared" si="60"/>
        <v>0</v>
      </c>
      <c r="X389" s="29"/>
      <c r="Y389" s="29"/>
      <c r="Z389" s="29"/>
      <c r="AA389" s="29"/>
    </row>
    <row r="390" spans="1:27" s="3" customFormat="1" ht="13.5" hidden="1" customHeight="1" x14ac:dyDescent="0.25">
      <c r="A390" t="str">
        <f>IF(R390=0,"",COUNTIF(A$13:A389,"&gt;0")+1)</f>
        <v/>
      </c>
      <c r="B390" s="4"/>
      <c r="C390" s="5" t="s">
        <v>22</v>
      </c>
      <c r="D390" s="7" t="s">
        <v>1083</v>
      </c>
      <c r="E390" s="31"/>
      <c r="F390" s="31"/>
      <c r="G390" s="6" t="s">
        <v>289</v>
      </c>
      <c r="H390" s="7">
        <f>VLOOKUP(D390,A!B$1:L$1126,3,FALSE)</f>
        <v>0</v>
      </c>
      <c r="I390" s="31">
        <f>VLOOKUP(D390,A!B$1:L$1126,3,FALSE)</f>
        <v>0</v>
      </c>
      <c r="J390" s="92"/>
      <c r="K390" s="91" t="str">
        <f>VLOOKUP(D390,A!B$1:L$1126,6,FALSE)</f>
        <v/>
      </c>
      <c r="L390" s="162"/>
      <c r="M390" s="43" t="s">
        <v>1084</v>
      </c>
      <c r="N390" s="94">
        <f>VLOOKUP(D390,A!B$1:L$1125,2,FALSE)</f>
        <v>0</v>
      </c>
      <c r="O390" s="94">
        <f>VLOOKUP(D390,A!B$1:L$1126,4,FALSE)</f>
        <v>0</v>
      </c>
      <c r="P390" s="10">
        <v>10</v>
      </c>
      <c r="Q390" s="10">
        <v>3.25</v>
      </c>
      <c r="R390" s="10">
        <f t="shared" si="61"/>
        <v>0</v>
      </c>
      <c r="S390" s="10">
        <f t="shared" si="59"/>
        <v>0</v>
      </c>
      <c r="T390" s="10" t="s">
        <v>162</v>
      </c>
      <c r="U390" s="145">
        <v>0.33</v>
      </c>
      <c r="V390" s="10" t="str">
        <f>VLOOKUP(D390,A!B$1:T$1125,16,FALSE)</f>
        <v/>
      </c>
      <c r="W390" s="10">
        <f t="shared" si="60"/>
        <v>0</v>
      </c>
      <c r="X390" s="29"/>
      <c r="Y390" s="29"/>
      <c r="Z390" s="29"/>
      <c r="AA390" s="29"/>
    </row>
    <row r="391" spans="1:27" s="3" customFormat="1" ht="13.5" hidden="1" customHeight="1" x14ac:dyDescent="0.25">
      <c r="A391" t="str">
        <f>IF(R391=0,"",COUNTIF(A$13:A390,"&gt;0")+1)</f>
        <v/>
      </c>
      <c r="B391" s="4"/>
      <c r="C391" s="5" t="s">
        <v>22</v>
      </c>
      <c r="D391" s="7" t="s">
        <v>1085</v>
      </c>
      <c r="E391" s="31"/>
      <c r="F391" s="31"/>
      <c r="G391" s="6" t="s">
        <v>289</v>
      </c>
      <c r="H391" s="7">
        <f>VLOOKUP(D391,A!B$1:L$1126,3,FALSE)</f>
        <v>0</v>
      </c>
      <c r="I391" s="31">
        <f>VLOOKUP(D391,A!B$1:L$1126,3,FALSE)</f>
        <v>0</v>
      </c>
      <c r="J391" s="92"/>
      <c r="K391" s="91" t="str">
        <f>VLOOKUP(D391,A!B$1:L$1126,6,FALSE)</f>
        <v/>
      </c>
      <c r="L391" s="162"/>
      <c r="M391" s="43" t="s">
        <v>1086</v>
      </c>
      <c r="N391" s="94">
        <f>VLOOKUP(D391,A!B$1:L$1125,2,FALSE)</f>
        <v>0</v>
      </c>
      <c r="O391" s="94">
        <f>VLOOKUP(D391,A!B$1:L$1126,4,FALSE)</f>
        <v>0</v>
      </c>
      <c r="P391" s="10">
        <v>10</v>
      </c>
      <c r="Q391" s="10">
        <v>3.25</v>
      </c>
      <c r="R391" s="10">
        <f t="shared" si="61"/>
        <v>0</v>
      </c>
      <c r="S391" s="10">
        <f t="shared" si="59"/>
        <v>0</v>
      </c>
      <c r="T391" s="10" t="s">
        <v>162</v>
      </c>
      <c r="U391" s="145">
        <v>0.33</v>
      </c>
      <c r="V391" s="10" t="str">
        <f>VLOOKUP(D391,A!B$1:T$1125,16,FALSE)</f>
        <v/>
      </c>
      <c r="W391" s="10">
        <f t="shared" si="60"/>
        <v>0</v>
      </c>
      <c r="X391" s="29"/>
      <c r="Y391" s="29"/>
      <c r="Z391" s="29"/>
      <c r="AA391" s="29"/>
    </row>
    <row r="392" spans="1:27" s="3" customFormat="1" ht="13.5" hidden="1" customHeight="1" x14ac:dyDescent="0.25">
      <c r="A392" t="str">
        <f>IF(R392=0,"",COUNTIF(A$13:A391,"&gt;0")+1)</f>
        <v/>
      </c>
      <c r="B392" s="4"/>
      <c r="C392" s="5" t="s">
        <v>22</v>
      </c>
      <c r="D392" s="7" t="s">
        <v>1087</v>
      </c>
      <c r="E392" s="31"/>
      <c r="F392" s="31"/>
      <c r="G392" s="6" t="s">
        <v>289</v>
      </c>
      <c r="H392" s="7">
        <f>VLOOKUP(D392,A!B$1:L$1126,3,FALSE)</f>
        <v>0</v>
      </c>
      <c r="I392" s="31">
        <f>VLOOKUP(D392,A!B$1:L$1126,3,FALSE)</f>
        <v>0</v>
      </c>
      <c r="J392" s="92"/>
      <c r="K392" s="91" t="str">
        <f>VLOOKUP(D392,A!B$1:L$1126,6,FALSE)</f>
        <v/>
      </c>
      <c r="L392" s="162"/>
      <c r="M392" s="43" t="s">
        <v>1088</v>
      </c>
      <c r="N392" s="94">
        <f>VLOOKUP(D392,A!B$1:L$1125,2,FALSE)</f>
        <v>0</v>
      </c>
      <c r="O392" s="94">
        <f>VLOOKUP(D392,A!B$1:L$1126,4,FALSE)</f>
        <v>0</v>
      </c>
      <c r="P392" s="10">
        <v>10</v>
      </c>
      <c r="Q392" s="10">
        <v>3.25</v>
      </c>
      <c r="R392" s="10">
        <f t="shared" si="61"/>
        <v>0</v>
      </c>
      <c r="S392" s="10">
        <f t="shared" si="59"/>
        <v>0</v>
      </c>
      <c r="T392" s="10" t="s">
        <v>162</v>
      </c>
      <c r="U392" s="145">
        <v>0.33</v>
      </c>
      <c r="V392" s="10" t="str">
        <f>VLOOKUP(D392,A!B$1:T$1125,16,FALSE)</f>
        <v/>
      </c>
      <c r="W392" s="10">
        <f t="shared" si="60"/>
        <v>0</v>
      </c>
      <c r="X392" s="29"/>
      <c r="Y392" s="29"/>
      <c r="Z392" s="29"/>
      <c r="AA392" s="29"/>
    </row>
    <row r="393" spans="1:27" s="3" customFormat="1" ht="13.5" customHeight="1" x14ac:dyDescent="0.25">
      <c r="A393" t="str">
        <f>IF(R393=0,"",COUNTIF(A$13:A392,"&gt;0")+1)</f>
        <v/>
      </c>
      <c r="B393" s="4"/>
      <c r="C393" s="5" t="s">
        <v>22</v>
      </c>
      <c r="D393" s="7" t="s">
        <v>1089</v>
      </c>
      <c r="E393" s="31"/>
      <c r="F393" s="31"/>
      <c r="G393" s="6" t="s">
        <v>289</v>
      </c>
      <c r="H393" s="7">
        <f>VLOOKUP(D393,A!B$1:L$1126,3,FALSE)</f>
        <v>2</v>
      </c>
      <c r="I393" s="31">
        <f>VLOOKUP(D393,A!B$1:L$1126,3,FALSE)</f>
        <v>2</v>
      </c>
      <c r="J393" s="92"/>
      <c r="K393" s="91" t="str">
        <f>VLOOKUP(D393,A!B$1:L$1126,6,FALSE)</f>
        <v/>
      </c>
      <c r="L393" s="162"/>
      <c r="M393" s="43" t="s">
        <v>1090</v>
      </c>
      <c r="N393" s="94" t="str">
        <f>VLOOKUP(D393,A!B$1:L$1125,2,FALSE)</f>
        <v>y</v>
      </c>
      <c r="O393" s="94">
        <f>VLOOKUP(D393,A!B$1:L$1126,4,FALSE)</f>
        <v>0</v>
      </c>
      <c r="P393" s="10">
        <v>10</v>
      </c>
      <c r="Q393" s="10">
        <v>3.25</v>
      </c>
      <c r="R393" s="10">
        <f t="shared" si="61"/>
        <v>0</v>
      </c>
      <c r="S393" s="10">
        <f t="shared" si="59"/>
        <v>0</v>
      </c>
      <c r="T393" s="10" t="s">
        <v>162</v>
      </c>
      <c r="U393" s="145">
        <v>0.33</v>
      </c>
      <c r="V393" s="10" t="str">
        <f>VLOOKUP(D393,A!B$1:T$1125,16,FALSE)</f>
        <v/>
      </c>
      <c r="W393" s="10">
        <f t="shared" si="60"/>
        <v>0</v>
      </c>
      <c r="X393" s="29"/>
      <c r="Y393" s="29"/>
      <c r="Z393" s="29"/>
      <c r="AA393" s="29"/>
    </row>
    <row r="394" spans="1:27" s="3" customFormat="1" ht="13.5" hidden="1" customHeight="1" x14ac:dyDescent="0.25">
      <c r="A394" t="str">
        <f>IF(R394=0,"",COUNTIF(A$13:A393,"&gt;0")+1)</f>
        <v/>
      </c>
      <c r="B394" s="4"/>
      <c r="C394" s="5" t="s">
        <v>22</v>
      </c>
      <c r="D394" s="7" t="s">
        <v>1091</v>
      </c>
      <c r="E394" s="31"/>
      <c r="F394" s="31"/>
      <c r="G394" s="6" t="s">
        <v>289</v>
      </c>
      <c r="H394" s="7">
        <f>VLOOKUP(D394,A!B$1:L$1126,3,FALSE)</f>
        <v>0</v>
      </c>
      <c r="I394" s="31">
        <f>VLOOKUP(D394,A!B$1:L$1126,3,FALSE)</f>
        <v>0</v>
      </c>
      <c r="J394" s="92"/>
      <c r="K394" s="91" t="str">
        <f>VLOOKUP(D394,A!B$1:L$1126,6,FALSE)</f>
        <v/>
      </c>
      <c r="L394" s="162"/>
      <c r="M394" s="43" t="s">
        <v>1092</v>
      </c>
      <c r="N394" s="94">
        <f>VLOOKUP(D394,A!B$1:L$1125,2,FALSE)</f>
        <v>0</v>
      </c>
      <c r="O394" s="94">
        <f>VLOOKUP(D394,A!B$1:L$1126,4,FALSE)</f>
        <v>0</v>
      </c>
      <c r="P394" s="10">
        <v>10</v>
      </c>
      <c r="Q394" s="10">
        <v>3.25</v>
      </c>
      <c r="R394" s="10">
        <f t="shared" si="61"/>
        <v>0</v>
      </c>
      <c r="S394" s="10">
        <f t="shared" si="59"/>
        <v>0</v>
      </c>
      <c r="T394" s="10" t="s">
        <v>162</v>
      </c>
      <c r="U394" s="145">
        <v>0.33</v>
      </c>
      <c r="V394" s="10" t="str">
        <f>VLOOKUP(D394,A!B$1:T$1125,16,FALSE)</f>
        <v/>
      </c>
      <c r="W394" s="10">
        <f t="shared" si="60"/>
        <v>0</v>
      </c>
      <c r="X394" s="29"/>
      <c r="Y394" s="29"/>
      <c r="Z394" s="29"/>
      <c r="AA394" s="29"/>
    </row>
    <row r="395" spans="1:27" s="3" customFormat="1" ht="13.5" hidden="1" customHeight="1" x14ac:dyDescent="0.25">
      <c r="A395" t="str">
        <f>IF(R395=0,"",COUNTIF(A$13:A394,"&gt;0")+1)</f>
        <v/>
      </c>
      <c r="B395" s="4"/>
      <c r="C395" s="5" t="s">
        <v>22</v>
      </c>
      <c r="D395" s="7" t="s">
        <v>1093</v>
      </c>
      <c r="E395" s="31"/>
      <c r="F395" s="31"/>
      <c r="G395" s="6" t="s">
        <v>289</v>
      </c>
      <c r="H395" s="7">
        <f>VLOOKUP(D395,A!B$1:L$1126,3,FALSE)</f>
        <v>0</v>
      </c>
      <c r="I395" s="31">
        <f>VLOOKUP(D395,A!B$1:L$1126,3,FALSE)</f>
        <v>0</v>
      </c>
      <c r="J395" s="92"/>
      <c r="K395" s="91" t="str">
        <f>VLOOKUP(D395,A!B$1:L$1126,6,FALSE)</f>
        <v/>
      </c>
      <c r="L395" s="162"/>
      <c r="M395" s="43" t="s">
        <v>1094</v>
      </c>
      <c r="N395" s="94">
        <f>VLOOKUP(D395,A!B$1:L$1125,2,FALSE)</f>
        <v>0</v>
      </c>
      <c r="O395" s="94">
        <f>VLOOKUP(D395,A!B$1:L$1126,4,FALSE)</f>
        <v>0</v>
      </c>
      <c r="P395" s="10">
        <v>10</v>
      </c>
      <c r="Q395" s="10">
        <v>3.25</v>
      </c>
      <c r="R395" s="10">
        <f t="shared" si="61"/>
        <v>0</v>
      </c>
      <c r="S395" s="10">
        <f t="shared" si="59"/>
        <v>0</v>
      </c>
      <c r="T395" s="10" t="s">
        <v>162</v>
      </c>
      <c r="U395" s="145">
        <v>0.33</v>
      </c>
      <c r="V395" s="10" t="str">
        <f>VLOOKUP(D395,A!B$1:T$1125,16,FALSE)</f>
        <v/>
      </c>
      <c r="W395" s="10">
        <f t="shared" si="60"/>
        <v>0</v>
      </c>
      <c r="X395" s="29"/>
      <c r="Y395" s="29"/>
      <c r="Z395" s="29"/>
      <c r="AA395" s="29"/>
    </row>
    <row r="396" spans="1:27" s="3" customFormat="1" ht="13.5" hidden="1" customHeight="1" x14ac:dyDescent="0.25">
      <c r="A396" t="str">
        <f>IF(R396=0,"",COUNTIF(A$13:A395,"&gt;0")+1)</f>
        <v/>
      </c>
      <c r="B396" s="4"/>
      <c r="C396" s="5" t="s">
        <v>22</v>
      </c>
      <c r="D396" s="7" t="s">
        <v>1095</v>
      </c>
      <c r="E396" s="31"/>
      <c r="F396" s="31"/>
      <c r="G396" s="6" t="s">
        <v>289</v>
      </c>
      <c r="H396" s="7">
        <f>VLOOKUP(D396,A!B$1:L$1126,3,FALSE)</f>
        <v>0</v>
      </c>
      <c r="I396" s="31">
        <f>VLOOKUP(D396,A!B$1:L$1126,3,FALSE)</f>
        <v>0</v>
      </c>
      <c r="J396" s="92"/>
      <c r="K396" s="91" t="str">
        <f>VLOOKUP(D396,A!B$1:L$1126,6,FALSE)</f>
        <v/>
      </c>
      <c r="L396" s="162"/>
      <c r="M396" s="43" t="s">
        <v>1096</v>
      </c>
      <c r="N396" s="94">
        <f>VLOOKUP(D396,A!B$1:L$1125,2,FALSE)</f>
        <v>0</v>
      </c>
      <c r="O396" s="94">
        <f>VLOOKUP(D396,A!B$1:L$1126,4,FALSE)</f>
        <v>0</v>
      </c>
      <c r="P396" s="10">
        <v>10</v>
      </c>
      <c r="Q396" s="10">
        <v>3.25</v>
      </c>
      <c r="R396" s="10">
        <f t="shared" si="61"/>
        <v>0</v>
      </c>
      <c r="S396" s="10">
        <f t="shared" si="59"/>
        <v>0</v>
      </c>
      <c r="T396" s="10" t="s">
        <v>162</v>
      </c>
      <c r="U396" s="145">
        <v>0.33</v>
      </c>
      <c r="V396" s="10" t="str">
        <f>VLOOKUP(D396,A!B$1:T$1125,16,FALSE)</f>
        <v/>
      </c>
      <c r="W396" s="10">
        <f t="shared" si="60"/>
        <v>0</v>
      </c>
      <c r="X396" s="29"/>
      <c r="Y396" s="29"/>
      <c r="Z396" s="29"/>
      <c r="AA396" s="29"/>
    </row>
    <row r="397" spans="1:27" s="3" customFormat="1" ht="13.5" hidden="1" customHeight="1" x14ac:dyDescent="0.25">
      <c r="A397" t="str">
        <f>IF(R397=0,"",COUNTIF(A$13:A396,"&gt;0")+1)</f>
        <v/>
      </c>
      <c r="B397" s="4"/>
      <c r="C397" s="5" t="s">
        <v>22</v>
      </c>
      <c r="D397" s="7" t="s">
        <v>1097</v>
      </c>
      <c r="E397" s="31"/>
      <c r="F397" s="31"/>
      <c r="G397" s="6" t="s">
        <v>289</v>
      </c>
      <c r="H397" s="7">
        <f>VLOOKUP(D397,A!B$1:L$1126,3,FALSE)</f>
        <v>0</v>
      </c>
      <c r="I397" s="31">
        <f>VLOOKUP(D397,A!B$1:L$1126,3,FALSE)</f>
        <v>0</v>
      </c>
      <c r="J397" s="92"/>
      <c r="K397" s="91" t="str">
        <f>VLOOKUP(D397,A!B$1:L$1126,6,FALSE)</f>
        <v/>
      </c>
      <c r="L397" s="162"/>
      <c r="M397" s="43" t="s">
        <v>1098</v>
      </c>
      <c r="N397" s="94">
        <f>VLOOKUP(D397,A!B$1:L$1125,2,FALSE)</f>
        <v>0</v>
      </c>
      <c r="O397" s="94">
        <f>VLOOKUP(D397,A!B$1:L$1126,4,FALSE)</f>
        <v>0</v>
      </c>
      <c r="P397" s="10">
        <v>10</v>
      </c>
      <c r="Q397" s="10">
        <v>3.25</v>
      </c>
      <c r="R397" s="10">
        <f t="shared" si="61"/>
        <v>0</v>
      </c>
      <c r="S397" s="10">
        <f t="shared" si="59"/>
        <v>0</v>
      </c>
      <c r="T397" s="10" t="s">
        <v>162</v>
      </c>
      <c r="U397" s="145">
        <v>0.33</v>
      </c>
      <c r="V397" s="10" t="str">
        <f>VLOOKUP(D397,A!B$1:T$1125,16,FALSE)</f>
        <v/>
      </c>
      <c r="W397" s="10">
        <f t="shared" si="60"/>
        <v>0</v>
      </c>
      <c r="X397" s="29"/>
      <c r="Y397" s="29"/>
      <c r="Z397" s="29"/>
      <c r="AA397" s="29"/>
    </row>
    <row r="398" spans="1:27" s="3" customFormat="1" ht="13.5" hidden="1" customHeight="1" x14ac:dyDescent="0.25">
      <c r="A398" t="str">
        <f>IF(R398=0,"",COUNTIF(A$13:A397,"&gt;0")+1)</f>
        <v/>
      </c>
      <c r="B398" s="4"/>
      <c r="C398" s="5" t="s">
        <v>22</v>
      </c>
      <c r="D398" s="7" t="s">
        <v>1099</v>
      </c>
      <c r="E398" s="31"/>
      <c r="F398" s="31"/>
      <c r="G398" s="6" t="s">
        <v>289</v>
      </c>
      <c r="H398" s="7">
        <f>VLOOKUP(D398,A!B$1:L$1126,3,FALSE)</f>
        <v>0</v>
      </c>
      <c r="I398" s="31">
        <f>VLOOKUP(D398,A!B$1:L$1126,3,FALSE)</f>
        <v>0</v>
      </c>
      <c r="J398" s="92"/>
      <c r="K398" s="91" t="str">
        <f>VLOOKUP(D398,A!B$1:L$1126,6,FALSE)</f>
        <v/>
      </c>
      <c r="L398" s="162"/>
      <c r="M398" s="43" t="s">
        <v>1100</v>
      </c>
      <c r="N398" s="94">
        <f>VLOOKUP(D398,A!B$1:L$1125,2,FALSE)</f>
        <v>0</v>
      </c>
      <c r="O398" s="94">
        <f>VLOOKUP(D398,A!B$1:L$1126,4,FALSE)</f>
        <v>0</v>
      </c>
      <c r="P398" s="10">
        <v>10</v>
      </c>
      <c r="Q398" s="10">
        <v>3.25</v>
      </c>
      <c r="R398" s="10">
        <f t="shared" si="61"/>
        <v>0</v>
      </c>
      <c r="S398" s="10">
        <f t="shared" si="59"/>
        <v>0</v>
      </c>
      <c r="T398" s="10" t="s">
        <v>162</v>
      </c>
      <c r="U398" s="145">
        <v>0.33</v>
      </c>
      <c r="V398" s="10" t="str">
        <f>VLOOKUP(D398,A!B$1:T$1125,16,FALSE)</f>
        <v/>
      </c>
      <c r="W398" s="10">
        <f t="shared" si="60"/>
        <v>0</v>
      </c>
      <c r="X398" s="29"/>
      <c r="Y398" s="29"/>
      <c r="Z398" s="29"/>
      <c r="AA398" s="29"/>
    </row>
    <row r="399" spans="1:27" s="3" customFormat="1" ht="13.5" hidden="1" customHeight="1" x14ac:dyDescent="0.25">
      <c r="A399" t="str">
        <f>IF(R399=0,"",COUNTIF(A$13:A398,"&gt;0")+1)</f>
        <v/>
      </c>
      <c r="B399" s="4"/>
      <c r="C399" s="5" t="s">
        <v>22</v>
      </c>
      <c r="D399" s="7" t="s">
        <v>1101</v>
      </c>
      <c r="E399" s="31"/>
      <c r="F399" s="31"/>
      <c r="G399" s="6" t="s">
        <v>289</v>
      </c>
      <c r="H399" s="7">
        <f>VLOOKUP(D399,A!B$1:L$1126,3,FALSE)</f>
        <v>0</v>
      </c>
      <c r="I399" s="31">
        <f>VLOOKUP(D399,A!B$1:L$1126,3,FALSE)</f>
        <v>0</v>
      </c>
      <c r="J399" s="92"/>
      <c r="K399" s="91" t="str">
        <f>VLOOKUP(D399,A!B$1:L$1126,6,FALSE)</f>
        <v/>
      </c>
      <c r="L399" s="162"/>
      <c r="M399" s="43" t="s">
        <v>1102</v>
      </c>
      <c r="N399" s="94">
        <f>VLOOKUP(D399,A!B$1:L$1125,2,FALSE)</f>
        <v>0</v>
      </c>
      <c r="O399" s="94">
        <f>VLOOKUP(D399,A!B$1:L$1126,4,FALSE)</f>
        <v>0</v>
      </c>
      <c r="P399" s="10">
        <v>10</v>
      </c>
      <c r="Q399" s="10">
        <v>3.25</v>
      </c>
      <c r="R399" s="10">
        <f t="shared" si="61"/>
        <v>0</v>
      </c>
      <c r="S399" s="10">
        <f t="shared" si="59"/>
        <v>0</v>
      </c>
      <c r="T399" s="10" t="s">
        <v>162</v>
      </c>
      <c r="U399" s="145">
        <v>0.33</v>
      </c>
      <c r="V399" s="10" t="str">
        <f>VLOOKUP(D399,A!B$1:T$1125,16,FALSE)</f>
        <v/>
      </c>
      <c r="W399" s="10">
        <f t="shared" si="60"/>
        <v>0</v>
      </c>
      <c r="X399" s="29"/>
      <c r="Y399" s="29"/>
      <c r="Z399" s="29"/>
      <c r="AA399" s="29"/>
    </row>
    <row r="400" spans="1:27" s="3" customFormat="1" ht="13.5" hidden="1" customHeight="1" x14ac:dyDescent="0.25">
      <c r="A400" t="str">
        <f>IF(R400=0,"",COUNTIF(A$13:A399,"&gt;0")+1)</f>
        <v/>
      </c>
      <c r="B400" s="4"/>
      <c r="C400" s="5" t="s">
        <v>22</v>
      </c>
      <c r="D400" s="7" t="s">
        <v>1103</v>
      </c>
      <c r="E400" s="31"/>
      <c r="F400" s="31"/>
      <c r="G400" s="6" t="s">
        <v>289</v>
      </c>
      <c r="H400" s="7">
        <f>VLOOKUP(D400,A!B$1:L$1126,3,FALSE)</f>
        <v>0</v>
      </c>
      <c r="I400" s="31">
        <f>VLOOKUP(D400,A!B$1:L$1126,3,FALSE)</f>
        <v>0</v>
      </c>
      <c r="J400" s="92"/>
      <c r="K400" s="91" t="str">
        <f>VLOOKUP(D400,A!B$1:L$1126,6,FALSE)</f>
        <v/>
      </c>
      <c r="L400" s="162"/>
      <c r="M400" s="43" t="s">
        <v>1104</v>
      </c>
      <c r="N400" s="94">
        <f>VLOOKUP(D400,A!B$1:L$1125,2,FALSE)</f>
        <v>0</v>
      </c>
      <c r="O400" s="94">
        <f>VLOOKUP(D400,A!B$1:L$1126,4,FALSE)</f>
        <v>0</v>
      </c>
      <c r="P400" s="10">
        <v>10</v>
      </c>
      <c r="Q400" s="10">
        <v>3.25</v>
      </c>
      <c r="R400" s="10">
        <f t="shared" si="61"/>
        <v>0</v>
      </c>
      <c r="S400" s="10">
        <f t="shared" si="59"/>
        <v>0</v>
      </c>
      <c r="T400" s="10" t="s">
        <v>162</v>
      </c>
      <c r="U400" s="145">
        <v>0.33</v>
      </c>
      <c r="V400" s="10" t="str">
        <f>VLOOKUP(D400,A!B$1:T$1125,16,FALSE)</f>
        <v/>
      </c>
      <c r="W400" s="10">
        <f t="shared" si="60"/>
        <v>0</v>
      </c>
      <c r="X400" s="29"/>
      <c r="Y400" s="29"/>
      <c r="Z400" s="29"/>
      <c r="AA400" s="29"/>
    </row>
    <row r="401" spans="1:27" s="3" customFormat="1" ht="13.5" hidden="1" customHeight="1" x14ac:dyDescent="0.25">
      <c r="A401" t="str">
        <f>IF(R401=0,"",COUNTIF(A$13:A400,"&gt;0")+1)</f>
        <v/>
      </c>
      <c r="B401" s="4"/>
      <c r="C401" s="5" t="s">
        <v>22</v>
      </c>
      <c r="D401" s="7" t="s">
        <v>1105</v>
      </c>
      <c r="E401" s="31"/>
      <c r="F401" s="31"/>
      <c r="G401" s="6" t="s">
        <v>289</v>
      </c>
      <c r="H401" s="7">
        <f>VLOOKUP(D401,A!B$1:L$1126,3,FALSE)</f>
        <v>0</v>
      </c>
      <c r="I401" s="31">
        <f>VLOOKUP(D401,A!B$1:L$1126,3,FALSE)</f>
        <v>0</v>
      </c>
      <c r="J401" s="92"/>
      <c r="K401" s="91" t="str">
        <f>VLOOKUP(D401,A!B$1:L$1126,6,FALSE)</f>
        <v/>
      </c>
      <c r="L401" s="162"/>
      <c r="M401" s="43" t="s">
        <v>1106</v>
      </c>
      <c r="N401" s="94">
        <f>VLOOKUP(D401,A!B$1:L$1125,2,FALSE)</f>
        <v>0</v>
      </c>
      <c r="O401" s="94">
        <f>VLOOKUP(D401,A!B$1:L$1126,4,FALSE)</f>
        <v>0</v>
      </c>
      <c r="P401" s="10">
        <v>10</v>
      </c>
      <c r="Q401" s="10">
        <v>3.25</v>
      </c>
      <c r="R401" s="10">
        <f t="shared" si="61"/>
        <v>0</v>
      </c>
      <c r="S401" s="10">
        <f t="shared" si="59"/>
        <v>0</v>
      </c>
      <c r="T401" s="10" t="s">
        <v>162</v>
      </c>
      <c r="U401" s="145">
        <v>0.33</v>
      </c>
      <c r="V401" s="10" t="str">
        <f>VLOOKUP(D401,A!B$1:T$1125,16,FALSE)</f>
        <v/>
      </c>
      <c r="W401" s="10">
        <f t="shared" si="60"/>
        <v>0</v>
      </c>
      <c r="X401" s="29"/>
      <c r="Y401" s="29"/>
      <c r="Z401" s="29"/>
      <c r="AA401" s="29"/>
    </row>
    <row r="402" spans="1:27" s="3" customFormat="1" ht="13.5" hidden="1" customHeight="1" x14ac:dyDescent="0.25">
      <c r="A402" t="str">
        <f>IF(R402=0,"",COUNTIF(A$13:A401,"&gt;0")+1)</f>
        <v/>
      </c>
      <c r="B402" s="4"/>
      <c r="C402" s="5" t="s">
        <v>22</v>
      </c>
      <c r="D402" s="7" t="s">
        <v>1107</v>
      </c>
      <c r="E402" s="31"/>
      <c r="F402" s="31"/>
      <c r="G402" s="6" t="s">
        <v>289</v>
      </c>
      <c r="H402" s="7">
        <f>VLOOKUP(D402,A!B$1:L$1126,3,FALSE)</f>
        <v>0</v>
      </c>
      <c r="I402" s="31">
        <f>VLOOKUP(D402,A!B$1:L$1126,3,FALSE)</f>
        <v>0</v>
      </c>
      <c r="J402" s="92"/>
      <c r="K402" s="91" t="str">
        <f>VLOOKUP(D402,A!B$1:L$1126,6,FALSE)</f>
        <v/>
      </c>
      <c r="L402" s="162"/>
      <c r="M402" s="43" t="s">
        <v>1108</v>
      </c>
      <c r="N402" s="94">
        <f>VLOOKUP(D402,A!B$1:L$1125,2,FALSE)</f>
        <v>0</v>
      </c>
      <c r="O402" s="94">
        <f>VLOOKUP(D402,A!B$1:L$1126,4,FALSE)</f>
        <v>0</v>
      </c>
      <c r="P402" s="10">
        <v>10</v>
      </c>
      <c r="Q402" s="10">
        <v>3.25</v>
      </c>
      <c r="R402" s="10">
        <f t="shared" si="61"/>
        <v>0</v>
      </c>
      <c r="S402" s="10">
        <f t="shared" si="59"/>
        <v>0</v>
      </c>
      <c r="T402" s="10" t="s">
        <v>162</v>
      </c>
      <c r="U402" s="145">
        <v>0.33</v>
      </c>
      <c r="V402" s="10" t="str">
        <f>VLOOKUP(D402,A!B$1:T$1125,16,FALSE)</f>
        <v/>
      </c>
      <c r="W402" s="10">
        <f t="shared" si="60"/>
        <v>0</v>
      </c>
      <c r="X402" s="29"/>
      <c r="Y402" s="29"/>
      <c r="Z402" s="29"/>
      <c r="AA402" s="29"/>
    </row>
    <row r="403" spans="1:27" s="3" customFormat="1" ht="13.5" hidden="1" customHeight="1" x14ac:dyDescent="0.25">
      <c r="A403" t="str">
        <f>IF(R403=0,"",COUNTIF(A$13:A402,"&gt;0")+1)</f>
        <v/>
      </c>
      <c r="B403" s="4"/>
      <c r="C403" s="5" t="s">
        <v>22</v>
      </c>
      <c r="D403" s="7" t="s">
        <v>1109</v>
      </c>
      <c r="E403" s="31"/>
      <c r="F403" s="31"/>
      <c r="G403" s="6" t="s">
        <v>289</v>
      </c>
      <c r="H403" s="7">
        <f>VLOOKUP(D403,A!B$1:L$1126,3,FALSE)</f>
        <v>0</v>
      </c>
      <c r="I403" s="31">
        <f>VLOOKUP(D403,A!B$1:L$1126,3,FALSE)</f>
        <v>0</v>
      </c>
      <c r="J403" s="92"/>
      <c r="K403" s="91" t="str">
        <f>VLOOKUP(D403,A!B$1:L$1126,6,FALSE)</f>
        <v/>
      </c>
      <c r="L403" s="162"/>
      <c r="M403" s="43" t="s">
        <v>290</v>
      </c>
      <c r="N403" s="94">
        <f>VLOOKUP(D403,A!B$1:L$1125,2,FALSE)</f>
        <v>0</v>
      </c>
      <c r="O403" s="94">
        <f>VLOOKUP(D403,A!B$1:L$1126,4,FALSE)</f>
        <v>0</v>
      </c>
      <c r="P403" s="10">
        <v>10</v>
      </c>
      <c r="Q403" s="10">
        <v>3.25</v>
      </c>
      <c r="R403" s="10">
        <f t="shared" si="61"/>
        <v>0</v>
      </c>
      <c r="S403" s="10">
        <f t="shared" si="59"/>
        <v>0</v>
      </c>
      <c r="T403" s="10" t="s">
        <v>162</v>
      </c>
      <c r="U403" s="145">
        <v>0.33</v>
      </c>
      <c r="V403" s="10" t="str">
        <f>VLOOKUP(D403,A!B$1:T$1125,16,FALSE)</f>
        <v/>
      </c>
      <c r="W403" s="10">
        <f t="shared" si="60"/>
        <v>0</v>
      </c>
      <c r="X403" s="29"/>
      <c r="Y403" s="29"/>
      <c r="Z403" s="29"/>
      <c r="AA403" s="29"/>
    </row>
    <row r="404" spans="1:27" s="3" customFormat="1" ht="13.5" hidden="1" customHeight="1" x14ac:dyDescent="0.25">
      <c r="A404" t="str">
        <f>IF(R404=0,"",COUNTIF(A$13:A403,"&gt;0")+1)</f>
        <v/>
      </c>
      <c r="B404" s="4"/>
      <c r="C404" s="5" t="s">
        <v>22</v>
      </c>
      <c r="D404" s="7" t="s">
        <v>1110</v>
      </c>
      <c r="E404" s="31"/>
      <c r="F404" s="31"/>
      <c r="G404" s="6" t="s">
        <v>289</v>
      </c>
      <c r="H404" s="7">
        <f>VLOOKUP(D404,A!B$1:L$1126,3,FALSE)</f>
        <v>0</v>
      </c>
      <c r="I404" s="31">
        <f>VLOOKUP(D404,A!B$1:L$1126,3,FALSE)</f>
        <v>0</v>
      </c>
      <c r="J404" s="92"/>
      <c r="K404" s="91" t="str">
        <f>VLOOKUP(D404,A!B$1:L$1126,6,FALSE)</f>
        <v/>
      </c>
      <c r="L404" s="162"/>
      <c r="M404" s="43" t="s">
        <v>1111</v>
      </c>
      <c r="N404" s="94">
        <f>VLOOKUP(D404,A!B$1:L$1125,2,FALSE)</f>
        <v>0</v>
      </c>
      <c r="O404" s="94">
        <f>VLOOKUP(D404,A!B$1:L$1126,4,FALSE)</f>
        <v>0</v>
      </c>
      <c r="P404" s="10">
        <v>10</v>
      </c>
      <c r="Q404" s="10">
        <v>3.25</v>
      </c>
      <c r="R404" s="10">
        <f t="shared" si="61"/>
        <v>0</v>
      </c>
      <c r="S404" s="10">
        <f t="shared" si="59"/>
        <v>0</v>
      </c>
      <c r="T404" s="10" t="s">
        <v>162</v>
      </c>
      <c r="U404" s="145">
        <v>0.33</v>
      </c>
      <c r="V404" s="10" t="str">
        <f>VLOOKUP(D404,A!B$1:T$1125,16,FALSE)</f>
        <v/>
      </c>
      <c r="W404" s="10">
        <f t="shared" si="60"/>
        <v>0</v>
      </c>
      <c r="X404" s="29"/>
      <c r="Y404" s="29"/>
      <c r="Z404" s="29"/>
      <c r="AA404" s="29"/>
    </row>
    <row r="405" spans="1:27" s="3" customFormat="1" ht="13.5" hidden="1" customHeight="1" x14ac:dyDescent="0.25">
      <c r="A405" t="str">
        <f>IF(R405=0,"",COUNTIF(A$13:A404,"&gt;0")+1)</f>
        <v/>
      </c>
      <c r="B405" s="4"/>
      <c r="C405" s="5" t="s">
        <v>22</v>
      </c>
      <c r="D405" s="7" t="s">
        <v>1112</v>
      </c>
      <c r="E405" s="31"/>
      <c r="F405" s="31"/>
      <c r="G405" s="6" t="s">
        <v>289</v>
      </c>
      <c r="H405" s="7">
        <f>VLOOKUP(D405,A!B$1:L$1126,3,FALSE)</f>
        <v>0</v>
      </c>
      <c r="I405" s="31">
        <f>VLOOKUP(D405,A!B$1:L$1126,3,FALSE)</f>
        <v>0</v>
      </c>
      <c r="J405" s="92"/>
      <c r="K405" s="91" t="str">
        <f>VLOOKUP(D405,A!B$1:L$1126,6,FALSE)</f>
        <v/>
      </c>
      <c r="L405" s="162"/>
      <c r="M405" s="43" t="s">
        <v>1113</v>
      </c>
      <c r="N405" s="94">
        <f>VLOOKUP(D405,A!B$1:L$1125,2,FALSE)</f>
        <v>0</v>
      </c>
      <c r="O405" s="94">
        <f>VLOOKUP(D405,A!B$1:L$1126,4,FALSE)</f>
        <v>0</v>
      </c>
      <c r="P405" s="10">
        <v>10</v>
      </c>
      <c r="Q405" s="10">
        <v>3.25</v>
      </c>
      <c r="R405" s="10">
        <f t="shared" si="61"/>
        <v>0</v>
      </c>
      <c r="S405" s="10">
        <f t="shared" si="59"/>
        <v>0</v>
      </c>
      <c r="T405" s="10" t="s">
        <v>162</v>
      </c>
      <c r="U405" s="145">
        <v>0.33</v>
      </c>
      <c r="V405" s="10" t="str">
        <f>VLOOKUP(D405,A!B$1:T$1125,16,FALSE)</f>
        <v/>
      </c>
      <c r="W405" s="10">
        <f t="shared" si="60"/>
        <v>0</v>
      </c>
      <c r="X405" s="29"/>
      <c r="Y405" s="29"/>
      <c r="Z405" s="29"/>
      <c r="AA405" s="29"/>
    </row>
    <row r="406" spans="1:27" s="3" customFormat="1" ht="13.5" customHeight="1" x14ac:dyDescent="0.25">
      <c r="A406" t="str">
        <f>IF(R406=0,"",COUNTIF(A$13:A405,"&gt;0")+1)</f>
        <v/>
      </c>
      <c r="B406" s="4"/>
      <c r="C406" s="5" t="s">
        <v>22</v>
      </c>
      <c r="D406" s="7" t="s">
        <v>1820</v>
      </c>
      <c r="E406" s="31"/>
      <c r="F406" s="31"/>
      <c r="G406" s="6" t="s">
        <v>289</v>
      </c>
      <c r="H406" s="7">
        <f>VLOOKUP(D406,A!B$1:L$1126,3,FALSE)</f>
        <v>1</v>
      </c>
      <c r="I406" s="31">
        <f>VLOOKUP(D406,A!B$1:L$1126,3,FALSE)</f>
        <v>1</v>
      </c>
      <c r="J406" s="92"/>
      <c r="K406" s="91"/>
      <c r="L406" s="162"/>
      <c r="M406" s="43" t="s">
        <v>1830</v>
      </c>
      <c r="N406" s="94" t="str">
        <f>VLOOKUP(D406,A!B$1:L$1125,2,FALSE)</f>
        <v>y</v>
      </c>
      <c r="O406" s="94">
        <f>VLOOKUP(D406,A!B$1:L$1126,4,FALSE)</f>
        <v>0</v>
      </c>
      <c r="P406" s="10">
        <v>10</v>
      </c>
      <c r="Q406" s="10">
        <v>3.25</v>
      </c>
      <c r="R406" s="10">
        <f t="shared" ref="R406" si="62">B406*P406</f>
        <v>0</v>
      </c>
      <c r="S406" s="10">
        <f t="shared" ref="S406" si="63">R406*Q406</f>
        <v>0</v>
      </c>
      <c r="T406" s="10" t="s">
        <v>162</v>
      </c>
      <c r="U406" s="145">
        <v>0.33</v>
      </c>
      <c r="V406" s="10">
        <f>VLOOKUP(D406,A!B$1:T$1125,16,FALSE)</f>
        <v>0</v>
      </c>
      <c r="W406" s="10">
        <f t="shared" ref="W406" si="64">U406*B406</f>
        <v>0</v>
      </c>
      <c r="X406" s="29"/>
      <c r="Y406" s="29"/>
      <c r="Z406" s="29"/>
      <c r="AA406" s="29"/>
    </row>
    <row r="407" spans="1:27" s="3" customFormat="1" ht="13.5" hidden="1" customHeight="1" x14ac:dyDescent="0.25">
      <c r="A407" t="str">
        <f>IF(R407=0,"",COUNTIF(A$13:A406,"&gt;0")+1)</f>
        <v/>
      </c>
      <c r="B407" s="4"/>
      <c r="C407" s="5" t="s">
        <v>22</v>
      </c>
      <c r="D407" s="7" t="s">
        <v>1114</v>
      </c>
      <c r="E407" s="31"/>
      <c r="F407" s="31"/>
      <c r="G407" s="6" t="s">
        <v>289</v>
      </c>
      <c r="H407" s="7">
        <f>VLOOKUP(D407,A!B$1:L$1126,3,FALSE)</f>
        <v>0</v>
      </c>
      <c r="I407" s="31">
        <f>VLOOKUP(D407,A!B$1:L$1126,3,FALSE)</f>
        <v>0</v>
      </c>
      <c r="J407" s="92"/>
      <c r="K407" s="91" t="str">
        <f>VLOOKUP(D407,A!B$1:L$1126,6,FALSE)</f>
        <v/>
      </c>
      <c r="L407" s="162"/>
      <c r="M407" s="43" t="s">
        <v>1115</v>
      </c>
      <c r="N407" s="94">
        <f>VLOOKUP(D407,A!B$1:L$1125,2,FALSE)</f>
        <v>0</v>
      </c>
      <c r="O407" s="94">
        <f>VLOOKUP(D407,A!B$1:L$1126,4,FALSE)</f>
        <v>0</v>
      </c>
      <c r="P407" s="10">
        <v>10</v>
      </c>
      <c r="Q407" s="10">
        <v>3.25</v>
      </c>
      <c r="R407" s="10">
        <f t="shared" si="61"/>
        <v>0</v>
      </c>
      <c r="S407" s="10">
        <f t="shared" si="59"/>
        <v>0</v>
      </c>
      <c r="T407" s="10" t="s">
        <v>162</v>
      </c>
      <c r="U407" s="145">
        <v>0.33</v>
      </c>
      <c r="V407" s="10" t="str">
        <f>VLOOKUP(D407,A!B$1:T$1125,16,FALSE)</f>
        <v/>
      </c>
      <c r="W407" s="10">
        <f t="shared" si="60"/>
        <v>0</v>
      </c>
      <c r="X407" s="29"/>
      <c r="Y407" s="29"/>
      <c r="Z407" s="29"/>
      <c r="AA407" s="29"/>
    </row>
    <row r="408" spans="1:27" s="3" customFormat="1" ht="13.5" hidden="1" customHeight="1" x14ac:dyDescent="0.25">
      <c r="A408" t="str">
        <f>IF(R408=0,"",COUNTIF(A$13:A407,"&gt;0")+1)</f>
        <v/>
      </c>
      <c r="B408" s="4"/>
      <c r="C408" s="5" t="s">
        <v>22</v>
      </c>
      <c r="D408" s="7" t="s">
        <v>1116</v>
      </c>
      <c r="E408" s="31"/>
      <c r="F408" s="31"/>
      <c r="G408" s="6" t="s">
        <v>289</v>
      </c>
      <c r="H408" s="7">
        <f>VLOOKUP(D408,A!B$1:L$1126,3,FALSE)</f>
        <v>0</v>
      </c>
      <c r="I408" s="31">
        <f>VLOOKUP(D408,A!B$1:L$1126,3,FALSE)</f>
        <v>0</v>
      </c>
      <c r="J408" s="92"/>
      <c r="K408" s="91" t="str">
        <f>VLOOKUP(D408,A!B$1:L$1126,6,FALSE)</f>
        <v/>
      </c>
      <c r="L408" s="162"/>
      <c r="M408" s="43" t="s">
        <v>1117</v>
      </c>
      <c r="N408" s="94">
        <f>VLOOKUP(D408,A!B$1:L$1125,2,FALSE)</f>
        <v>0</v>
      </c>
      <c r="O408" s="94">
        <f>VLOOKUP(D408,A!B$1:L$1126,4,FALSE)</f>
        <v>0</v>
      </c>
      <c r="P408" s="10">
        <v>10</v>
      </c>
      <c r="Q408" s="10">
        <v>3.25</v>
      </c>
      <c r="R408" s="10">
        <f t="shared" si="61"/>
        <v>0</v>
      </c>
      <c r="S408" s="10">
        <f t="shared" si="59"/>
        <v>0</v>
      </c>
      <c r="T408" s="10" t="s">
        <v>162</v>
      </c>
      <c r="U408" s="145">
        <v>0.33</v>
      </c>
      <c r="V408" s="10" t="str">
        <f>VLOOKUP(D408,A!B$1:T$1125,16,FALSE)</f>
        <v/>
      </c>
      <c r="W408" s="10">
        <f t="shared" si="60"/>
        <v>0</v>
      </c>
      <c r="X408" s="29"/>
      <c r="Y408" s="29"/>
      <c r="Z408" s="29"/>
      <c r="AA408" s="29"/>
    </row>
    <row r="409" spans="1:27" s="3" customFormat="1" ht="13.5" hidden="1" customHeight="1" x14ac:dyDescent="0.25">
      <c r="A409" t="str">
        <f>IF(R409=0,"",COUNTIF(A$13:A408,"&gt;0")+1)</f>
        <v/>
      </c>
      <c r="B409" s="4"/>
      <c r="C409" s="5" t="s">
        <v>22</v>
      </c>
      <c r="D409" s="7" t="s">
        <v>1118</v>
      </c>
      <c r="E409" s="31"/>
      <c r="F409" s="31"/>
      <c r="G409" s="6" t="s">
        <v>289</v>
      </c>
      <c r="H409" s="7">
        <f>VLOOKUP(D409,A!B$1:L$1126,3,FALSE)</f>
        <v>0</v>
      </c>
      <c r="I409" s="31">
        <f>VLOOKUP(D409,A!B$1:L$1126,3,FALSE)</f>
        <v>0</v>
      </c>
      <c r="J409" s="92"/>
      <c r="K409" s="91" t="str">
        <f>VLOOKUP(D409,A!B$1:L$1126,6,FALSE)</f>
        <v/>
      </c>
      <c r="L409" s="162"/>
      <c r="M409" s="43" t="s">
        <v>1119</v>
      </c>
      <c r="N409" s="94">
        <f>VLOOKUP(D409,A!B$1:L$1125,2,FALSE)</f>
        <v>0</v>
      </c>
      <c r="O409" s="94">
        <f>VLOOKUP(D409,A!B$1:L$1126,4,FALSE)</f>
        <v>0</v>
      </c>
      <c r="P409" s="10">
        <v>10</v>
      </c>
      <c r="Q409" s="10">
        <v>3.25</v>
      </c>
      <c r="R409" s="10">
        <f t="shared" si="61"/>
        <v>0</v>
      </c>
      <c r="S409" s="10">
        <f t="shared" si="59"/>
        <v>0</v>
      </c>
      <c r="T409" s="10" t="s">
        <v>162</v>
      </c>
      <c r="U409" s="145">
        <v>0.33</v>
      </c>
      <c r="V409" s="10" t="str">
        <f>VLOOKUP(D409,A!B$1:T$1125,16,FALSE)</f>
        <v/>
      </c>
      <c r="W409" s="10">
        <f t="shared" si="60"/>
        <v>0</v>
      </c>
      <c r="X409" s="29"/>
      <c r="Y409" s="29"/>
      <c r="Z409" s="29"/>
      <c r="AA409" s="29"/>
    </row>
    <row r="410" spans="1:27" s="3" customFormat="1" ht="13.5" hidden="1" customHeight="1" x14ac:dyDescent="0.25">
      <c r="A410" t="str">
        <f>IF(R410=0,"",COUNTIF(A$13:A409,"&gt;0")+1)</f>
        <v/>
      </c>
      <c r="B410" s="4"/>
      <c r="C410" s="5" t="s">
        <v>22</v>
      </c>
      <c r="D410" s="7" t="s">
        <v>1120</v>
      </c>
      <c r="E410" s="31"/>
      <c r="F410" s="31"/>
      <c r="G410" s="6" t="s">
        <v>289</v>
      </c>
      <c r="H410" s="7">
        <f>VLOOKUP(D410,A!B$1:L$1126,3,FALSE)</f>
        <v>0</v>
      </c>
      <c r="I410" s="31">
        <f>VLOOKUP(D410,A!B$1:L$1126,3,FALSE)</f>
        <v>0</v>
      </c>
      <c r="J410" s="92"/>
      <c r="K410" s="91" t="str">
        <f>VLOOKUP(D410,A!B$1:L$1126,6,FALSE)</f>
        <v/>
      </c>
      <c r="L410" s="162"/>
      <c r="M410" s="43" t="s">
        <v>1121</v>
      </c>
      <c r="N410" s="94">
        <f>VLOOKUP(D410,A!B$1:L$1125,2,FALSE)</f>
        <v>0</v>
      </c>
      <c r="O410" s="94">
        <f>VLOOKUP(D410,A!B$1:L$1126,4,FALSE)</f>
        <v>0</v>
      </c>
      <c r="P410" s="10">
        <v>10</v>
      </c>
      <c r="Q410" s="10">
        <v>3.25</v>
      </c>
      <c r="R410" s="10">
        <f t="shared" si="61"/>
        <v>0</v>
      </c>
      <c r="S410" s="10">
        <f t="shared" si="59"/>
        <v>0</v>
      </c>
      <c r="T410" s="10" t="s">
        <v>162</v>
      </c>
      <c r="U410" s="145">
        <v>0.33</v>
      </c>
      <c r="V410" s="10" t="str">
        <f>VLOOKUP(D410,A!B$1:T$1125,16,FALSE)</f>
        <v/>
      </c>
      <c r="W410" s="10">
        <f t="shared" si="60"/>
        <v>0</v>
      </c>
      <c r="X410" s="29"/>
      <c r="Y410" s="29"/>
      <c r="Z410" s="29"/>
      <c r="AA410" s="29"/>
    </row>
    <row r="411" spans="1:27" s="3" customFormat="1" ht="13.5" hidden="1" customHeight="1" x14ac:dyDescent="0.25">
      <c r="A411" t="str">
        <f>IF(R411=0,"",COUNTIF(A$13:A410,"&gt;0")+1)</f>
        <v/>
      </c>
      <c r="B411" s="4"/>
      <c r="C411" s="5" t="s">
        <v>22</v>
      </c>
      <c r="D411" s="7" t="s">
        <v>1122</v>
      </c>
      <c r="E411" s="31"/>
      <c r="F411" s="31"/>
      <c r="G411" s="6" t="s">
        <v>289</v>
      </c>
      <c r="H411" s="7">
        <f>VLOOKUP(D411,A!B$1:L$1126,3,FALSE)</f>
        <v>0</v>
      </c>
      <c r="I411" s="31">
        <f>VLOOKUP(D411,A!B$1:L$1126,3,FALSE)</f>
        <v>0</v>
      </c>
      <c r="J411" s="92"/>
      <c r="K411" s="91" t="str">
        <f>VLOOKUP(D411,A!B$1:L$1126,6,FALSE)</f>
        <v/>
      </c>
      <c r="L411" s="162"/>
      <c r="M411" s="43" t="s">
        <v>1123</v>
      </c>
      <c r="N411" s="94">
        <f>VLOOKUP(D411,A!B$1:L$1125,2,FALSE)</f>
        <v>0</v>
      </c>
      <c r="O411" s="94">
        <f>VLOOKUP(D411,A!B$1:L$1126,4,FALSE)</f>
        <v>0</v>
      </c>
      <c r="P411" s="10">
        <v>10</v>
      </c>
      <c r="Q411" s="10">
        <v>3.25</v>
      </c>
      <c r="R411" s="10">
        <f t="shared" si="61"/>
        <v>0</v>
      </c>
      <c r="S411" s="10">
        <f t="shared" si="59"/>
        <v>0</v>
      </c>
      <c r="T411" s="10" t="s">
        <v>162</v>
      </c>
      <c r="U411" s="145">
        <v>0.33</v>
      </c>
      <c r="V411" s="10" t="str">
        <f>VLOOKUP(D411,A!B$1:T$1125,16,FALSE)</f>
        <v/>
      </c>
      <c r="W411" s="10">
        <f t="shared" si="60"/>
        <v>0</v>
      </c>
      <c r="X411" s="29"/>
      <c r="Y411" s="29"/>
      <c r="Z411" s="29"/>
      <c r="AA411" s="29"/>
    </row>
    <row r="412" spans="1:27" s="3" customFormat="1" ht="13.5" hidden="1" customHeight="1" x14ac:dyDescent="0.25">
      <c r="A412" t="str">
        <f>IF(R412=0,"",COUNTIF(A$13:A411,"&gt;0")+1)</f>
        <v/>
      </c>
      <c r="B412" s="4"/>
      <c r="C412" s="5" t="s">
        <v>22</v>
      </c>
      <c r="D412" s="7" t="s">
        <v>1124</v>
      </c>
      <c r="E412" s="31"/>
      <c r="F412" s="31"/>
      <c r="G412" s="6" t="s">
        <v>289</v>
      </c>
      <c r="H412" s="7">
        <f>VLOOKUP(D412,A!B$1:L$1126,3,FALSE)</f>
        <v>0</v>
      </c>
      <c r="I412" s="31">
        <f>VLOOKUP(D412,A!B$1:L$1126,3,FALSE)</f>
        <v>0</v>
      </c>
      <c r="J412" s="92"/>
      <c r="K412" s="91" t="str">
        <f>VLOOKUP(D412,A!B$1:L$1126,6,FALSE)</f>
        <v/>
      </c>
      <c r="L412" s="162"/>
      <c r="M412" s="43" t="s">
        <v>1125</v>
      </c>
      <c r="N412" s="94">
        <f>VLOOKUP(D412,A!B$1:L$1125,2,FALSE)</f>
        <v>0</v>
      </c>
      <c r="O412" s="94">
        <f>VLOOKUP(D412,A!B$1:L$1126,4,FALSE)</f>
        <v>0</v>
      </c>
      <c r="P412" s="10">
        <v>10</v>
      </c>
      <c r="Q412" s="10">
        <v>3.25</v>
      </c>
      <c r="R412" s="10">
        <f t="shared" si="61"/>
        <v>0</v>
      </c>
      <c r="S412" s="10">
        <f t="shared" si="59"/>
        <v>0</v>
      </c>
      <c r="T412" s="10" t="s">
        <v>162</v>
      </c>
      <c r="U412" s="145">
        <v>0.33</v>
      </c>
      <c r="V412" s="10" t="str">
        <f>VLOOKUP(D412,A!B$1:T$1125,16,FALSE)</f>
        <v/>
      </c>
      <c r="W412" s="10">
        <f t="shared" si="60"/>
        <v>0</v>
      </c>
      <c r="X412" s="29"/>
      <c r="Y412" s="29"/>
      <c r="Z412" s="29"/>
      <c r="AA412" s="29"/>
    </row>
    <row r="413" spans="1:27" s="3" customFormat="1" ht="13.5" hidden="1" customHeight="1" x14ac:dyDescent="0.25">
      <c r="A413" t="str">
        <f>IF(R413=0,"",COUNTIF(A$13:A412,"&gt;0")+1)</f>
        <v/>
      </c>
      <c r="B413" s="4"/>
      <c r="C413" s="5" t="s">
        <v>22</v>
      </c>
      <c r="D413" s="7" t="s">
        <v>1126</v>
      </c>
      <c r="E413" s="31"/>
      <c r="F413" s="31"/>
      <c r="G413" s="6" t="s">
        <v>289</v>
      </c>
      <c r="H413" s="7">
        <f>VLOOKUP(D413,A!B$1:L$1126,3,FALSE)</f>
        <v>0</v>
      </c>
      <c r="I413" s="31">
        <f>VLOOKUP(D413,A!B$1:L$1126,3,FALSE)</f>
        <v>0</v>
      </c>
      <c r="J413" s="92"/>
      <c r="K413" s="91" t="str">
        <f>VLOOKUP(D413,A!B$1:L$1126,6,FALSE)</f>
        <v/>
      </c>
      <c r="L413" s="162"/>
      <c r="M413" s="43" t="s">
        <v>1127</v>
      </c>
      <c r="N413" s="94">
        <f>VLOOKUP(D413,A!B$1:L$1125,2,FALSE)</f>
        <v>0</v>
      </c>
      <c r="O413" s="94">
        <f>VLOOKUP(D413,A!B$1:L$1126,4,FALSE)</f>
        <v>0</v>
      </c>
      <c r="P413" s="10">
        <v>10</v>
      </c>
      <c r="Q413" s="10">
        <v>3.25</v>
      </c>
      <c r="R413" s="10">
        <f t="shared" si="61"/>
        <v>0</v>
      </c>
      <c r="S413" s="10">
        <f t="shared" si="59"/>
        <v>0</v>
      </c>
      <c r="T413" s="10" t="s">
        <v>162</v>
      </c>
      <c r="U413" s="145">
        <v>0.33</v>
      </c>
      <c r="V413" s="10" t="str">
        <f>VLOOKUP(D413,A!B$1:T$1125,16,FALSE)</f>
        <v/>
      </c>
      <c r="W413" s="10">
        <f t="shared" si="60"/>
        <v>0</v>
      </c>
      <c r="X413" s="29"/>
      <c r="Y413" s="29"/>
      <c r="Z413" s="29"/>
      <c r="AA413" s="29"/>
    </row>
    <row r="414" spans="1:27" s="3" customFormat="1" ht="13.5" hidden="1" customHeight="1" x14ac:dyDescent="0.25">
      <c r="A414" t="str">
        <f>IF(R414=0,"",COUNTIF(A$13:A413,"&gt;0")+1)</f>
        <v/>
      </c>
      <c r="B414" s="4"/>
      <c r="C414" s="5" t="s">
        <v>22</v>
      </c>
      <c r="D414" s="7" t="s">
        <v>1128</v>
      </c>
      <c r="E414" s="31"/>
      <c r="F414" s="31"/>
      <c r="G414" s="6" t="s">
        <v>289</v>
      </c>
      <c r="H414" s="7">
        <f>VLOOKUP(D414,A!B$1:L$1126,3,FALSE)</f>
        <v>0</v>
      </c>
      <c r="I414" s="31">
        <f>VLOOKUP(D414,A!B$1:L$1126,3,FALSE)</f>
        <v>0</v>
      </c>
      <c r="J414" s="92"/>
      <c r="K414" s="91" t="str">
        <f>VLOOKUP(D414,A!B$1:L$1126,6,FALSE)</f>
        <v/>
      </c>
      <c r="L414" s="162"/>
      <c r="M414" s="43" t="s">
        <v>1129</v>
      </c>
      <c r="N414" s="94">
        <f>VLOOKUP(D414,A!B$1:L$1125,2,FALSE)</f>
        <v>0</v>
      </c>
      <c r="O414" s="94">
        <f>VLOOKUP(D414,A!B$1:L$1126,4,FALSE)</f>
        <v>0</v>
      </c>
      <c r="P414" s="10">
        <v>10</v>
      </c>
      <c r="Q414" s="10">
        <v>3.25</v>
      </c>
      <c r="R414" s="10">
        <f t="shared" si="61"/>
        <v>0</v>
      </c>
      <c r="S414" s="10">
        <f t="shared" si="59"/>
        <v>0</v>
      </c>
      <c r="T414" s="10" t="s">
        <v>162</v>
      </c>
      <c r="U414" s="145">
        <v>0.33</v>
      </c>
      <c r="V414" s="10" t="str">
        <f>VLOOKUP(D414,A!B$1:T$1125,16,FALSE)</f>
        <v/>
      </c>
      <c r="W414" s="10">
        <f t="shared" si="60"/>
        <v>0</v>
      </c>
      <c r="X414" s="29"/>
      <c r="Y414" s="29"/>
      <c r="Z414" s="29"/>
      <c r="AA414" s="29"/>
    </row>
    <row r="415" spans="1:27" s="3" customFormat="1" ht="13.5" hidden="1" customHeight="1" x14ac:dyDescent="0.25">
      <c r="A415" t="str">
        <f>IF(R415=0,"",COUNTIF(A$13:A414,"&gt;0")+1)</f>
        <v/>
      </c>
      <c r="B415" s="4"/>
      <c r="C415" s="5" t="s">
        <v>22</v>
      </c>
      <c r="D415" s="7" t="s">
        <v>1130</v>
      </c>
      <c r="E415" s="31"/>
      <c r="F415" s="31"/>
      <c r="G415" s="6" t="s">
        <v>289</v>
      </c>
      <c r="H415" s="7">
        <f>VLOOKUP(D415,A!B$1:L$1126,3,FALSE)</f>
        <v>0</v>
      </c>
      <c r="I415" s="31">
        <f>VLOOKUP(D415,A!B$1:L$1126,3,FALSE)</f>
        <v>0</v>
      </c>
      <c r="J415" s="92"/>
      <c r="K415" s="91" t="str">
        <f>VLOOKUP(D415,A!B$1:L$1126,6,FALSE)</f>
        <v/>
      </c>
      <c r="L415" s="162"/>
      <c r="M415" s="42" t="s">
        <v>1131</v>
      </c>
      <c r="N415" s="94">
        <f>VLOOKUP(D415,A!B$1:L$1125,2,FALSE)</f>
        <v>0</v>
      </c>
      <c r="O415" s="94">
        <f>VLOOKUP(D415,A!B$1:L$1126,4,FALSE)</f>
        <v>0</v>
      </c>
      <c r="P415" s="10">
        <v>10</v>
      </c>
      <c r="Q415" s="10">
        <v>3.25</v>
      </c>
      <c r="R415" s="10">
        <f t="shared" si="61"/>
        <v>0</v>
      </c>
      <c r="S415" s="10">
        <f t="shared" si="59"/>
        <v>0</v>
      </c>
      <c r="T415" s="10" t="s">
        <v>162</v>
      </c>
      <c r="U415" s="145">
        <v>0.33</v>
      </c>
      <c r="V415" s="10" t="str">
        <f>VLOOKUP(D415,A!B$1:T$1125,16,FALSE)</f>
        <v/>
      </c>
      <c r="W415" s="10">
        <f t="shared" si="60"/>
        <v>0</v>
      </c>
      <c r="X415" s="29"/>
      <c r="Y415" s="29"/>
      <c r="Z415" s="29"/>
      <c r="AA415" s="29"/>
    </row>
    <row r="416" spans="1:27" s="3" customFormat="1" ht="13.5" hidden="1" customHeight="1" x14ac:dyDescent="0.25">
      <c r="A416" t="str">
        <f>IF(R416=0,"",COUNTIF(A$13:A415,"&gt;0")+1)</f>
        <v/>
      </c>
      <c r="B416" s="4"/>
      <c r="C416" s="5" t="s">
        <v>22</v>
      </c>
      <c r="D416" s="7" t="s">
        <v>1132</v>
      </c>
      <c r="E416" s="31"/>
      <c r="F416" s="31"/>
      <c r="G416" s="6" t="s">
        <v>289</v>
      </c>
      <c r="H416" s="7">
        <f>VLOOKUP(D416,A!B$1:L$1126,3,FALSE)</f>
        <v>0</v>
      </c>
      <c r="I416" s="31">
        <f>VLOOKUP(D416,A!B$1:L$1126,3,FALSE)</f>
        <v>0</v>
      </c>
      <c r="J416" s="92"/>
      <c r="K416" s="91" t="str">
        <f>VLOOKUP(D416,A!B$1:L$1126,6,FALSE)</f>
        <v/>
      </c>
      <c r="L416" s="162"/>
      <c r="M416" s="42" t="s">
        <v>1133</v>
      </c>
      <c r="N416" s="94">
        <f>VLOOKUP(D416,A!B$1:L$1125,2,FALSE)</f>
        <v>0</v>
      </c>
      <c r="O416" s="94">
        <f>VLOOKUP(D416,A!B$1:L$1126,4,FALSE)</f>
        <v>0</v>
      </c>
      <c r="P416" s="10">
        <v>10</v>
      </c>
      <c r="Q416" s="10">
        <v>3.25</v>
      </c>
      <c r="R416" s="10">
        <f t="shared" si="61"/>
        <v>0</v>
      </c>
      <c r="S416" s="10">
        <f t="shared" si="59"/>
        <v>0</v>
      </c>
      <c r="T416" s="10" t="s">
        <v>162</v>
      </c>
      <c r="U416" s="145">
        <v>0.33</v>
      </c>
      <c r="V416" s="10" t="str">
        <f>VLOOKUP(D416,A!B$1:T$1125,16,FALSE)</f>
        <v/>
      </c>
      <c r="W416" s="10">
        <f t="shared" si="60"/>
        <v>0</v>
      </c>
      <c r="X416" s="29"/>
      <c r="Y416" s="29"/>
      <c r="Z416" s="29"/>
      <c r="AA416" s="29"/>
    </row>
    <row r="417" spans="1:86" s="3" customFormat="1" ht="13.5" hidden="1" customHeight="1" x14ac:dyDescent="0.25">
      <c r="A417" t="str">
        <f>IF(R417=0,"",COUNTIF(A$13:A416,"&gt;0")+1)</f>
        <v/>
      </c>
      <c r="B417" s="4"/>
      <c r="C417" s="5" t="s">
        <v>22</v>
      </c>
      <c r="D417" s="7" t="s">
        <v>1134</v>
      </c>
      <c r="E417" s="31"/>
      <c r="F417" s="31"/>
      <c r="G417" s="6" t="s">
        <v>289</v>
      </c>
      <c r="H417" s="7">
        <f>VLOOKUP(D417,A!B$1:L$1126,3,FALSE)</f>
        <v>0</v>
      </c>
      <c r="I417" s="31">
        <f>VLOOKUP(D417,A!B$1:L$1126,3,FALSE)</f>
        <v>0</v>
      </c>
      <c r="J417" s="92"/>
      <c r="K417" s="91" t="str">
        <f>VLOOKUP(D417,A!B$1:L$1126,6,FALSE)</f>
        <v/>
      </c>
      <c r="L417" s="162"/>
      <c r="M417" s="42" t="s">
        <v>1135</v>
      </c>
      <c r="N417" s="94">
        <f>VLOOKUP(D417,A!B$1:L$1125,2,FALSE)</f>
        <v>0</v>
      </c>
      <c r="O417" s="94">
        <f>VLOOKUP(D417,A!B$1:L$1126,4,FALSE)</f>
        <v>0</v>
      </c>
      <c r="P417" s="10">
        <v>10</v>
      </c>
      <c r="Q417" s="10">
        <v>3.25</v>
      </c>
      <c r="R417" s="10">
        <f t="shared" si="61"/>
        <v>0</v>
      </c>
      <c r="S417" s="10">
        <f t="shared" si="59"/>
        <v>0</v>
      </c>
      <c r="T417" s="10" t="s">
        <v>162</v>
      </c>
      <c r="U417" s="145">
        <v>0.33</v>
      </c>
      <c r="V417" s="10" t="str">
        <f>VLOOKUP(D417,A!B$1:T$1125,16,FALSE)</f>
        <v/>
      </c>
      <c r="W417" s="10">
        <f t="shared" si="60"/>
        <v>0</v>
      </c>
      <c r="X417" s="29"/>
      <c r="Y417" s="29"/>
      <c r="Z417" s="29"/>
      <c r="AA417" s="29"/>
    </row>
    <row r="418" spans="1:86" s="3" customFormat="1" ht="13.5" hidden="1" customHeight="1" x14ac:dyDescent="0.25">
      <c r="A418" t="str">
        <f>IF(R418=0,"",COUNTIF(A$13:A417,"&gt;0")+1)</f>
        <v/>
      </c>
      <c r="B418" s="4"/>
      <c r="C418" s="5" t="s">
        <v>22</v>
      </c>
      <c r="D418" s="7" t="s">
        <v>1136</v>
      </c>
      <c r="E418" s="31"/>
      <c r="F418" s="31"/>
      <c r="G418" s="6" t="s">
        <v>289</v>
      </c>
      <c r="H418" s="7">
        <f>VLOOKUP(D418,A!B$1:L$1126,3,FALSE)</f>
        <v>0</v>
      </c>
      <c r="I418" s="31">
        <f>VLOOKUP(D418,A!B$1:L$1126,3,FALSE)</f>
        <v>0</v>
      </c>
      <c r="J418" s="92"/>
      <c r="K418" s="91" t="str">
        <f>VLOOKUP(D418,A!B$1:L$1126,6,FALSE)</f>
        <v/>
      </c>
      <c r="L418" s="162"/>
      <c r="M418" s="43" t="s">
        <v>1137</v>
      </c>
      <c r="N418" s="94">
        <f>VLOOKUP(D418,A!B$1:L$1125,2,FALSE)</f>
        <v>0</v>
      </c>
      <c r="O418" s="94">
        <f>VLOOKUP(D418,A!B$1:L$1126,4,FALSE)</f>
        <v>0</v>
      </c>
      <c r="P418" s="10">
        <v>10</v>
      </c>
      <c r="Q418" s="10">
        <v>3.25</v>
      </c>
      <c r="R418" s="10">
        <f t="shared" si="61"/>
        <v>0</v>
      </c>
      <c r="S418" s="10">
        <f t="shared" si="59"/>
        <v>0</v>
      </c>
      <c r="T418" s="10" t="s">
        <v>162</v>
      </c>
      <c r="U418" s="145">
        <v>0.33</v>
      </c>
      <c r="V418" s="10" t="str">
        <f>VLOOKUP(D418,A!B$1:T$1125,16,FALSE)</f>
        <v/>
      </c>
      <c r="W418" s="10">
        <f t="shared" si="60"/>
        <v>0</v>
      </c>
      <c r="X418" s="29"/>
      <c r="Y418" s="29"/>
      <c r="Z418" s="29"/>
      <c r="AA418" s="29"/>
    </row>
    <row r="419" spans="1:86" s="3" customFormat="1" ht="13.5" hidden="1" customHeight="1" x14ac:dyDescent="0.25">
      <c r="A419" t="str">
        <f>IF(R419=0,"",COUNTIF(A$13:A418,"&gt;0")+1)</f>
        <v/>
      </c>
      <c r="B419" s="4"/>
      <c r="C419" s="5" t="s">
        <v>22</v>
      </c>
      <c r="D419" s="7" t="s">
        <v>1136</v>
      </c>
      <c r="E419" s="31"/>
      <c r="F419" s="31"/>
      <c r="G419" s="6" t="s">
        <v>289</v>
      </c>
      <c r="H419" s="7">
        <f>VLOOKUP(D419,A!B$1:L$1126,3,FALSE)</f>
        <v>0</v>
      </c>
      <c r="I419" s="31">
        <f>VLOOKUP(D419,A!B$1:L$1126,3,FALSE)</f>
        <v>0</v>
      </c>
      <c r="J419" s="92"/>
      <c r="K419" s="91" t="str">
        <f>VLOOKUP(D419,A!B$1:L$1126,6,FALSE)</f>
        <v/>
      </c>
      <c r="L419" s="162"/>
      <c r="M419" s="43" t="s">
        <v>1137</v>
      </c>
      <c r="N419" s="94">
        <f>VLOOKUP(D419,A!B$1:L$1125,2,FALSE)</f>
        <v>0</v>
      </c>
      <c r="O419" s="94">
        <f>VLOOKUP(D419,A!B$1:L$1126,4,FALSE)</f>
        <v>0</v>
      </c>
      <c r="P419" s="10">
        <v>10</v>
      </c>
      <c r="Q419" s="10">
        <v>3.25</v>
      </c>
      <c r="R419" s="10">
        <f t="shared" si="61"/>
        <v>0</v>
      </c>
      <c r="S419" s="10">
        <f t="shared" si="59"/>
        <v>0</v>
      </c>
      <c r="T419" s="10" t="s">
        <v>162</v>
      </c>
      <c r="U419" s="145">
        <v>0.33</v>
      </c>
      <c r="V419" s="10" t="str">
        <f>VLOOKUP(D419,A!B$1:T$1125,16,FALSE)</f>
        <v/>
      </c>
      <c r="W419" s="10">
        <f t="shared" si="60"/>
        <v>0</v>
      </c>
      <c r="X419" s="29"/>
      <c r="Y419" s="29"/>
      <c r="Z419" s="29"/>
      <c r="AA419" s="29"/>
    </row>
    <row r="420" spans="1:86" s="3" customFormat="1" ht="13.5" hidden="1" customHeight="1" x14ac:dyDescent="0.25">
      <c r="A420" t="str">
        <f>IF(R420=0,"",COUNTIF(A$13:A419,"&gt;0")+1)</f>
        <v/>
      </c>
      <c r="B420" s="4"/>
      <c r="C420" s="5" t="s">
        <v>22</v>
      </c>
      <c r="D420" s="7" t="s">
        <v>1138</v>
      </c>
      <c r="E420" s="31"/>
      <c r="F420" s="31"/>
      <c r="G420" s="6" t="s">
        <v>289</v>
      </c>
      <c r="H420" s="7">
        <f>VLOOKUP(D420,A!B$1:L$1126,3,FALSE)</f>
        <v>0</v>
      </c>
      <c r="I420" s="31">
        <f>VLOOKUP(D420,A!B$1:L$1126,3,FALSE)</f>
        <v>0</v>
      </c>
      <c r="J420" s="92"/>
      <c r="K420" s="91" t="str">
        <f>VLOOKUP(D420,A!B$1:L$1126,6,FALSE)</f>
        <v/>
      </c>
      <c r="L420" s="162"/>
      <c r="M420" s="43" t="s">
        <v>1139</v>
      </c>
      <c r="N420" s="94">
        <f>VLOOKUP(D420,A!B$1:L$1125,2,FALSE)</f>
        <v>0</v>
      </c>
      <c r="O420" s="94">
        <f>VLOOKUP(D420,A!B$1:L$1126,4,FALSE)</f>
        <v>0</v>
      </c>
      <c r="P420" s="10">
        <v>10</v>
      </c>
      <c r="Q420" s="10">
        <v>3.25</v>
      </c>
      <c r="R420" s="10">
        <f t="shared" si="61"/>
        <v>0</v>
      </c>
      <c r="S420" s="10">
        <f t="shared" si="59"/>
        <v>0</v>
      </c>
      <c r="T420" s="10" t="s">
        <v>162</v>
      </c>
      <c r="U420" s="145">
        <v>0.33</v>
      </c>
      <c r="V420" s="10" t="str">
        <f>VLOOKUP(D420,A!B$1:T$1125,16,FALSE)</f>
        <v/>
      </c>
      <c r="W420" s="10">
        <f t="shared" si="60"/>
        <v>0</v>
      </c>
      <c r="X420" s="29"/>
      <c r="Y420" s="29"/>
      <c r="Z420" s="29"/>
      <c r="AA420" s="29"/>
    </row>
    <row r="421" spans="1:86" s="1" customFormat="1" ht="13.5" hidden="1" customHeight="1" x14ac:dyDescent="0.25">
      <c r="A421" t="str">
        <f>IF(R421=0,"",COUNTIF(A$13:A420,"&gt;0")+1)</f>
        <v/>
      </c>
      <c r="B421" s="4"/>
      <c r="C421" s="5" t="s">
        <v>22</v>
      </c>
      <c r="D421" s="7" t="s">
        <v>1140</v>
      </c>
      <c r="E421" s="31"/>
      <c r="F421" s="31"/>
      <c r="G421" s="6" t="s">
        <v>289</v>
      </c>
      <c r="H421" s="7">
        <f>VLOOKUP(D421,A!B$1:L$1126,3,FALSE)</f>
        <v>0</v>
      </c>
      <c r="I421" s="31">
        <f>VLOOKUP(D421,A!B$1:L$1126,3,FALSE)</f>
        <v>0</v>
      </c>
      <c r="J421" s="92"/>
      <c r="K421" s="91" t="str">
        <f>VLOOKUP(D421,A!B$1:L$1126,6,FALSE)</f>
        <v/>
      </c>
      <c r="L421" s="162"/>
      <c r="M421" s="43" t="s">
        <v>1141</v>
      </c>
      <c r="N421" s="94">
        <f>VLOOKUP(D421,A!B$1:L$1125,2,FALSE)</f>
        <v>0</v>
      </c>
      <c r="O421" s="94">
        <f>VLOOKUP(D421,A!B$1:L$1126,4,FALSE)</f>
        <v>0</v>
      </c>
      <c r="P421" s="10">
        <v>10</v>
      </c>
      <c r="Q421" s="10">
        <v>3.25</v>
      </c>
      <c r="R421" s="10">
        <f t="shared" si="61"/>
        <v>0</v>
      </c>
      <c r="S421" s="10">
        <f t="shared" si="59"/>
        <v>0</v>
      </c>
      <c r="T421" s="10" t="s">
        <v>162</v>
      </c>
      <c r="U421" s="145">
        <v>0.33</v>
      </c>
      <c r="V421" s="10" t="str">
        <f>VLOOKUP(D421,A!B$1:T$1125,16,FALSE)</f>
        <v/>
      </c>
      <c r="W421" s="10">
        <f t="shared" si="60"/>
        <v>0</v>
      </c>
      <c r="X421" s="29"/>
      <c r="Y421" s="29"/>
      <c r="Z421" s="29"/>
      <c r="AA421" s="29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</row>
    <row r="422" spans="1:86" s="3" customFormat="1" ht="13.5" hidden="1" customHeight="1" x14ac:dyDescent="0.25">
      <c r="A422" t="str">
        <f>IF(R422=0,"",COUNTIF(A$13:A421,"&gt;0")+1)</f>
        <v/>
      </c>
      <c r="B422" s="4"/>
      <c r="C422" s="5" t="s">
        <v>22</v>
      </c>
      <c r="D422" s="7" t="s">
        <v>1142</v>
      </c>
      <c r="E422" s="31"/>
      <c r="F422" s="31"/>
      <c r="G422" s="6" t="s">
        <v>289</v>
      </c>
      <c r="H422" s="7">
        <f>VLOOKUP(D422,A!B$1:L$1126,3,FALSE)</f>
        <v>0</v>
      </c>
      <c r="I422" s="31">
        <f>VLOOKUP(D422,A!B$1:L$1126,3,FALSE)</f>
        <v>0</v>
      </c>
      <c r="J422" s="92"/>
      <c r="K422" s="91" t="str">
        <f>VLOOKUP(D422,A!B$1:L$1126,6,FALSE)</f>
        <v/>
      </c>
      <c r="L422" s="162"/>
      <c r="M422" s="43" t="s">
        <v>1143</v>
      </c>
      <c r="N422" s="94">
        <f>VLOOKUP(D422,A!B$1:L$1125,2,FALSE)</f>
        <v>0</v>
      </c>
      <c r="O422" s="94">
        <f>VLOOKUP(D422,A!B$1:L$1126,4,FALSE)</f>
        <v>0</v>
      </c>
      <c r="P422" s="10">
        <v>10</v>
      </c>
      <c r="Q422" s="10">
        <v>3.25</v>
      </c>
      <c r="R422" s="10">
        <f t="shared" si="61"/>
        <v>0</v>
      </c>
      <c r="S422" s="10">
        <f t="shared" si="59"/>
        <v>0</v>
      </c>
      <c r="T422" s="10" t="s">
        <v>162</v>
      </c>
      <c r="U422" s="145">
        <v>0.33</v>
      </c>
      <c r="V422" s="10" t="str">
        <f>VLOOKUP(D422,A!B$1:T$1125,16,FALSE)</f>
        <v/>
      </c>
      <c r="W422" s="10">
        <f t="shared" si="60"/>
        <v>0</v>
      </c>
      <c r="X422" s="29"/>
      <c r="Y422" s="29"/>
      <c r="Z422" s="29"/>
      <c r="AA422" s="29"/>
    </row>
    <row r="423" spans="1:86" s="3" customFormat="1" ht="13.5" customHeight="1" x14ac:dyDescent="0.25">
      <c r="A423" t="str">
        <f>IF(R423=0,"",COUNTIF(A$13:A422,"&gt;0")+1)</f>
        <v/>
      </c>
      <c r="B423" s="4"/>
      <c r="C423" s="5" t="s">
        <v>22</v>
      </c>
      <c r="D423" s="7" t="s">
        <v>1144</v>
      </c>
      <c r="E423" s="31"/>
      <c r="F423" s="31"/>
      <c r="G423" s="6" t="s">
        <v>289</v>
      </c>
      <c r="H423" s="7">
        <f>VLOOKUP(D423,A!B$1:L$1126,3,FALSE)</f>
        <v>1</v>
      </c>
      <c r="I423" s="31">
        <f>VLOOKUP(D423,A!B$1:L$1126,3,FALSE)</f>
        <v>1</v>
      </c>
      <c r="J423" s="92"/>
      <c r="K423" s="91" t="str">
        <f>VLOOKUP(D423,A!B$1:L$1126,6,FALSE)</f>
        <v/>
      </c>
      <c r="L423" s="162"/>
      <c r="M423" s="43" t="s">
        <v>1145</v>
      </c>
      <c r="N423" s="94" t="str">
        <f>VLOOKUP(D423,A!B$1:L$1125,2,FALSE)</f>
        <v>y</v>
      </c>
      <c r="O423" s="94">
        <f>VLOOKUP(D423,A!B$1:L$1126,4,FALSE)</f>
        <v>0</v>
      </c>
      <c r="P423" s="10">
        <v>10</v>
      </c>
      <c r="Q423" s="10">
        <v>3.25</v>
      </c>
      <c r="R423" s="10">
        <f t="shared" si="61"/>
        <v>0</v>
      </c>
      <c r="S423" s="10">
        <f t="shared" si="59"/>
        <v>0</v>
      </c>
      <c r="T423" s="10" t="s">
        <v>162</v>
      </c>
      <c r="U423" s="145">
        <v>0.33</v>
      </c>
      <c r="V423" s="10" t="str">
        <f>VLOOKUP(D423,A!B$1:T$1125,16,FALSE)</f>
        <v/>
      </c>
      <c r="W423" s="10">
        <f t="shared" si="60"/>
        <v>0</v>
      </c>
      <c r="X423" s="29"/>
      <c r="Y423" s="29"/>
      <c r="Z423" s="29"/>
      <c r="AA423" s="29"/>
    </row>
    <row r="424" spans="1:86" s="3" customFormat="1" ht="13.5" hidden="1" customHeight="1" x14ac:dyDescent="0.25">
      <c r="A424" t="str">
        <f>IF(R424=0,"",COUNTIF(A$13:A423,"&gt;0")+1)</f>
        <v/>
      </c>
      <c r="B424" s="4"/>
      <c r="C424" s="5" t="s">
        <v>22</v>
      </c>
      <c r="D424" s="7" t="s">
        <v>1146</v>
      </c>
      <c r="E424" s="31"/>
      <c r="F424" s="31"/>
      <c r="G424" s="6" t="s">
        <v>289</v>
      </c>
      <c r="H424" s="7">
        <f>VLOOKUP(D424,A!B$1:L$1126,3,FALSE)</f>
        <v>0</v>
      </c>
      <c r="I424" s="31">
        <f>VLOOKUP(D424,A!B$1:L$1126,3,FALSE)</f>
        <v>0</v>
      </c>
      <c r="J424" s="92"/>
      <c r="K424" s="91" t="str">
        <f>VLOOKUP(D424,A!B$1:L$1126,6,FALSE)</f>
        <v/>
      </c>
      <c r="L424" s="162"/>
      <c r="M424" s="43" t="s">
        <v>1147</v>
      </c>
      <c r="N424" s="94">
        <f>VLOOKUP(D424,A!B$1:L$1125,2,FALSE)</f>
        <v>0</v>
      </c>
      <c r="O424" s="94">
        <f>VLOOKUP(D424,A!B$1:L$1126,4,FALSE)</f>
        <v>0</v>
      </c>
      <c r="P424" s="10">
        <v>10</v>
      </c>
      <c r="Q424" s="10">
        <v>3.25</v>
      </c>
      <c r="R424" s="10">
        <f t="shared" si="61"/>
        <v>0</v>
      </c>
      <c r="S424" s="10">
        <f t="shared" si="59"/>
        <v>0</v>
      </c>
      <c r="T424" s="10" t="s">
        <v>162</v>
      </c>
      <c r="U424" s="145">
        <v>0.33</v>
      </c>
      <c r="V424" s="10" t="str">
        <f>VLOOKUP(D424,A!B$1:T$1125,16,FALSE)</f>
        <v/>
      </c>
      <c r="W424" s="10">
        <f t="shared" si="60"/>
        <v>0</v>
      </c>
      <c r="X424" s="29"/>
      <c r="Y424" s="29"/>
      <c r="Z424" s="29"/>
      <c r="AA424" s="29"/>
    </row>
    <row r="425" spans="1:86" s="3" customFormat="1" ht="13.5" hidden="1" customHeight="1" x14ac:dyDescent="0.25">
      <c r="A425" t="str">
        <f>IF(R425=0,"",COUNTIF(A$13:A424,"&gt;0")+1)</f>
        <v/>
      </c>
      <c r="B425" s="4"/>
      <c r="C425" s="5" t="s">
        <v>22</v>
      </c>
      <c r="D425" s="7" t="s">
        <v>1148</v>
      </c>
      <c r="E425" s="31"/>
      <c r="F425" s="31"/>
      <c r="G425" s="6" t="s">
        <v>289</v>
      </c>
      <c r="H425" s="7">
        <f>VLOOKUP(D425,A!B$1:L$1126,3,FALSE)</f>
        <v>0</v>
      </c>
      <c r="I425" s="31">
        <f>VLOOKUP(D425,A!B$1:L$1126,3,FALSE)</f>
        <v>0</v>
      </c>
      <c r="J425" s="92"/>
      <c r="K425" s="91" t="str">
        <f>VLOOKUP(D425,A!B$1:L$1126,6,FALSE)</f>
        <v/>
      </c>
      <c r="L425" s="162"/>
      <c r="M425" s="43" t="s">
        <v>1072</v>
      </c>
      <c r="N425" s="94">
        <f>VLOOKUP(D425,A!B$1:L$1125,2,FALSE)</f>
        <v>0</v>
      </c>
      <c r="O425" s="94">
        <f>VLOOKUP(D425,A!B$1:L$1126,4,FALSE)</f>
        <v>0</v>
      </c>
      <c r="P425" s="10">
        <v>10</v>
      </c>
      <c r="Q425" s="10">
        <v>3.25</v>
      </c>
      <c r="R425" s="10">
        <f t="shared" si="61"/>
        <v>0</v>
      </c>
      <c r="S425" s="10">
        <f t="shared" si="59"/>
        <v>0</v>
      </c>
      <c r="T425" s="10" t="s">
        <v>162</v>
      </c>
      <c r="U425" s="145">
        <v>0.33</v>
      </c>
      <c r="V425" s="10" t="str">
        <f>VLOOKUP(D425,A!B$1:T$1125,16,FALSE)</f>
        <v/>
      </c>
      <c r="W425" s="10">
        <f t="shared" si="60"/>
        <v>0</v>
      </c>
      <c r="X425" s="29"/>
      <c r="Y425" s="29"/>
      <c r="Z425" s="29"/>
      <c r="AA425" s="29"/>
    </row>
    <row r="426" spans="1:86" s="3" customFormat="1" ht="13.5" hidden="1" customHeight="1" x14ac:dyDescent="0.25">
      <c r="A426" t="str">
        <f>IF(R426=0,"",COUNTIF(A$13:A425,"&gt;0")+1)</f>
        <v/>
      </c>
      <c r="B426" s="4"/>
      <c r="C426" s="5" t="s">
        <v>22</v>
      </c>
      <c r="D426" s="7" t="s">
        <v>1149</v>
      </c>
      <c r="E426" s="31"/>
      <c r="F426" s="31"/>
      <c r="G426" s="6" t="s">
        <v>289</v>
      </c>
      <c r="H426" s="7">
        <f>VLOOKUP(D426,A!B$1:L$1126,3,FALSE)</f>
        <v>0</v>
      </c>
      <c r="I426" s="31">
        <f>VLOOKUP(D426,A!B$1:L$1126,3,FALSE)</f>
        <v>0</v>
      </c>
      <c r="J426" s="92"/>
      <c r="K426" s="91" t="str">
        <f>VLOOKUP(D426,A!B$1:L$1126,6,FALSE)</f>
        <v/>
      </c>
      <c r="L426" s="162"/>
      <c r="M426" s="43" t="s">
        <v>1150</v>
      </c>
      <c r="N426" s="94">
        <f>VLOOKUP(D426,A!B$1:L$1125,2,FALSE)</f>
        <v>0</v>
      </c>
      <c r="O426" s="94">
        <f>VLOOKUP(D426,A!B$1:L$1126,4,FALSE)</f>
        <v>0</v>
      </c>
      <c r="P426" s="10">
        <v>10</v>
      </c>
      <c r="Q426" s="10">
        <v>3.25</v>
      </c>
      <c r="R426" s="10">
        <f t="shared" si="61"/>
        <v>0</v>
      </c>
      <c r="S426" s="10">
        <f t="shared" si="59"/>
        <v>0</v>
      </c>
      <c r="T426" s="10" t="s">
        <v>162</v>
      </c>
      <c r="U426" s="145">
        <v>0.33</v>
      </c>
      <c r="V426" s="10" t="str">
        <f>VLOOKUP(D426,A!B$1:T$1125,16,FALSE)</f>
        <v/>
      </c>
      <c r="W426" s="10">
        <f t="shared" si="60"/>
        <v>0</v>
      </c>
      <c r="X426" s="29"/>
      <c r="Y426" s="29"/>
      <c r="Z426" s="29"/>
      <c r="AA426" s="29"/>
    </row>
    <row r="427" spans="1:86" s="3" customFormat="1" ht="13.5" hidden="1" customHeight="1" x14ac:dyDescent="0.25">
      <c r="A427" t="str">
        <f>IF(R427=0,"",COUNTIF(A$13:A426,"&gt;0")+1)</f>
        <v/>
      </c>
      <c r="B427" s="4"/>
      <c r="C427" s="5" t="s">
        <v>22</v>
      </c>
      <c r="D427" s="7" t="s">
        <v>1151</v>
      </c>
      <c r="E427" s="31"/>
      <c r="F427" s="31"/>
      <c r="G427" s="6" t="s">
        <v>289</v>
      </c>
      <c r="H427" s="7">
        <f>VLOOKUP(D427,A!B$1:L$1126,3,FALSE)</f>
        <v>0</v>
      </c>
      <c r="I427" s="31">
        <f>VLOOKUP(D427,A!B$1:L$1126,3,FALSE)</f>
        <v>0</v>
      </c>
      <c r="J427" s="92"/>
      <c r="K427" s="91" t="str">
        <f>VLOOKUP(D427,A!B$1:L$1126,6,FALSE)</f>
        <v/>
      </c>
      <c r="L427" s="162"/>
      <c r="M427" s="43" t="s">
        <v>1152</v>
      </c>
      <c r="N427" s="94">
        <f>VLOOKUP(D427,A!B$1:L$1125,2,FALSE)</f>
        <v>0</v>
      </c>
      <c r="O427" s="94">
        <f>VLOOKUP(D427,A!B$1:L$1126,4,FALSE)</f>
        <v>0</v>
      </c>
      <c r="P427" s="10">
        <v>10</v>
      </c>
      <c r="Q427" s="10">
        <v>3.25</v>
      </c>
      <c r="R427" s="10">
        <f t="shared" si="61"/>
        <v>0</v>
      </c>
      <c r="S427" s="10">
        <f t="shared" si="59"/>
        <v>0</v>
      </c>
      <c r="T427" s="10" t="s">
        <v>162</v>
      </c>
      <c r="U427" s="145">
        <v>0.33</v>
      </c>
      <c r="V427" s="10" t="str">
        <f>VLOOKUP(D427,A!B$1:T$1125,16,FALSE)</f>
        <v/>
      </c>
      <c r="W427" s="10">
        <f t="shared" si="60"/>
        <v>0</v>
      </c>
      <c r="X427" s="29"/>
      <c r="Y427" s="29"/>
      <c r="Z427" s="29"/>
      <c r="AA427" s="29"/>
    </row>
    <row r="428" spans="1:86" s="3" customFormat="1" ht="13.5" hidden="1" customHeight="1" x14ac:dyDescent="0.25">
      <c r="A428" t="str">
        <f>IF(R428=0,"",COUNTIF(A$13:A427,"&gt;0")+1)</f>
        <v/>
      </c>
      <c r="B428" s="4"/>
      <c r="C428" s="5" t="s">
        <v>22</v>
      </c>
      <c r="D428" s="7" t="s">
        <v>1153</v>
      </c>
      <c r="E428" s="31"/>
      <c r="F428" s="31"/>
      <c r="G428" s="6" t="s">
        <v>289</v>
      </c>
      <c r="H428" s="7">
        <f>VLOOKUP(D428,A!B$1:L$1126,3,FALSE)</f>
        <v>0</v>
      </c>
      <c r="I428" s="31">
        <f>VLOOKUP(D428,A!B$1:L$1126,3,FALSE)</f>
        <v>0</v>
      </c>
      <c r="J428" s="92"/>
      <c r="K428" s="91" t="str">
        <f>VLOOKUP(D428,A!B$1:L$1126,6,FALSE)</f>
        <v/>
      </c>
      <c r="L428" s="162"/>
      <c r="M428" s="42" t="s">
        <v>1154</v>
      </c>
      <c r="N428" s="94">
        <f>VLOOKUP(D428,A!B$1:L$1125,2,FALSE)</f>
        <v>0</v>
      </c>
      <c r="O428" s="94">
        <f>VLOOKUP(D428,A!B$1:L$1126,4,FALSE)</f>
        <v>0</v>
      </c>
      <c r="P428" s="10">
        <v>10</v>
      </c>
      <c r="Q428" s="10">
        <v>3.25</v>
      </c>
      <c r="R428" s="10">
        <f t="shared" si="61"/>
        <v>0</v>
      </c>
      <c r="S428" s="10">
        <f t="shared" si="59"/>
        <v>0</v>
      </c>
      <c r="T428" s="10" t="s">
        <v>162</v>
      </c>
      <c r="U428" s="145">
        <v>0.33</v>
      </c>
      <c r="V428" s="10" t="str">
        <f>VLOOKUP(D428,A!B$1:T$1125,16,FALSE)</f>
        <v/>
      </c>
      <c r="W428" s="10">
        <f t="shared" si="60"/>
        <v>0</v>
      </c>
      <c r="X428" s="29"/>
      <c r="Y428" s="29"/>
      <c r="Z428" s="29"/>
      <c r="AA428" s="29"/>
    </row>
    <row r="429" spans="1:86" s="3" customFormat="1" ht="13.5" customHeight="1" x14ac:dyDescent="0.25">
      <c r="A429" t="str">
        <f>IF(R429=0,"",COUNTIF(A$13:A428,"&gt;0")+1)</f>
        <v/>
      </c>
      <c r="B429" s="4"/>
      <c r="C429" s="5" t="s">
        <v>22</v>
      </c>
      <c r="D429" s="7" t="s">
        <v>1785</v>
      </c>
      <c r="E429" s="31"/>
      <c r="F429" s="31"/>
      <c r="G429" s="6" t="s">
        <v>289</v>
      </c>
      <c r="H429" s="7">
        <f>VLOOKUP(D429,A!B$1:L$1126,3,FALSE)</f>
        <v>1</v>
      </c>
      <c r="I429" s="31">
        <f>VLOOKUP(D429,A!B$1:L$1126,3,FALSE)</f>
        <v>1</v>
      </c>
      <c r="J429" s="92"/>
      <c r="K429" s="91" t="str">
        <f>VLOOKUP(D429,A!B$1:L$1126,6,FALSE)</f>
        <v/>
      </c>
      <c r="L429" s="162"/>
      <c r="M429" s="42" t="s">
        <v>1791</v>
      </c>
      <c r="N429" s="94" t="str">
        <f>VLOOKUP(D429,A!B$1:L$1125,2,FALSE)</f>
        <v>y</v>
      </c>
      <c r="O429" s="94">
        <f>VLOOKUP(D429,A!B$1:L$1126,4,FALSE)</f>
        <v>0</v>
      </c>
      <c r="P429" s="10">
        <v>10</v>
      </c>
      <c r="Q429" s="10">
        <v>3.25</v>
      </c>
      <c r="R429" s="10">
        <f t="shared" ref="R429" si="65">B429*P429</f>
        <v>0</v>
      </c>
      <c r="S429" s="10">
        <f t="shared" ref="S429" si="66">R429*Q429</f>
        <v>0</v>
      </c>
      <c r="T429" s="10" t="s">
        <v>162</v>
      </c>
      <c r="U429" s="145">
        <v>0.33</v>
      </c>
      <c r="V429" s="10">
        <f>VLOOKUP(D429,A!B$1:T$1125,16,FALSE)</f>
        <v>0</v>
      </c>
      <c r="W429" s="10">
        <f t="shared" ref="W429" si="67">U429*B429</f>
        <v>0</v>
      </c>
      <c r="X429" s="29"/>
      <c r="Y429" s="29"/>
      <c r="Z429" s="29"/>
      <c r="AA429" s="29"/>
    </row>
    <row r="430" spans="1:86" s="3" customFormat="1" ht="13.5" hidden="1" customHeight="1" x14ac:dyDescent="0.25">
      <c r="A430" t="str">
        <f>IF(R430=0,"",COUNTIF(A$13:A429,"&gt;0")+1)</f>
        <v/>
      </c>
      <c r="B430" s="4"/>
      <c r="C430" s="5" t="s">
        <v>22</v>
      </c>
      <c r="D430" s="7" t="s">
        <v>1155</v>
      </c>
      <c r="E430" s="31"/>
      <c r="F430" s="31"/>
      <c r="G430" s="6" t="s">
        <v>1156</v>
      </c>
      <c r="H430" s="7">
        <f>VLOOKUP(D430,A!B$1:L$1126,3,FALSE)</f>
        <v>0</v>
      </c>
      <c r="I430" s="31">
        <f>VLOOKUP(D430,A!B$1:L$1126,3,FALSE)</f>
        <v>0</v>
      </c>
      <c r="J430" s="92"/>
      <c r="K430" s="91" t="str">
        <f>VLOOKUP(D430,A!B$1:L$1126,6,FALSE)</f>
        <v/>
      </c>
      <c r="L430" s="162"/>
      <c r="M430" s="43" t="s">
        <v>1157</v>
      </c>
      <c r="N430" s="94">
        <f>VLOOKUP(D430,A!B$1:L$1125,2,FALSE)</f>
        <v>0</v>
      </c>
      <c r="O430" s="94">
        <f>VLOOKUP(D430,A!B$1:L$1126,4,FALSE)</f>
        <v>0</v>
      </c>
      <c r="P430" s="10">
        <v>10</v>
      </c>
      <c r="Q430" s="10">
        <v>3.25</v>
      </c>
      <c r="R430" s="10">
        <f t="shared" si="61"/>
        <v>0</v>
      </c>
      <c r="S430" s="10">
        <f t="shared" si="59"/>
        <v>0</v>
      </c>
      <c r="T430" s="10" t="s">
        <v>162</v>
      </c>
      <c r="U430" s="145">
        <v>0.33</v>
      </c>
      <c r="V430" s="10" t="str">
        <f>VLOOKUP(D430,A!B$1:T$1125,16,FALSE)</f>
        <v/>
      </c>
      <c r="W430" s="10">
        <f t="shared" si="60"/>
        <v>0</v>
      </c>
      <c r="X430" s="29"/>
      <c r="Y430" s="29"/>
      <c r="Z430" s="29"/>
      <c r="AA430" s="29"/>
    </row>
    <row r="431" spans="1:86" s="3" customFormat="1" ht="13.5" hidden="1" customHeight="1" x14ac:dyDescent="0.25">
      <c r="A431" t="str">
        <f>IF(R431=0,"",COUNTIF(A$13:A430,"&gt;0")+1)</f>
        <v/>
      </c>
      <c r="B431" s="4"/>
      <c r="C431" s="5" t="s">
        <v>22</v>
      </c>
      <c r="D431" s="7" t="s">
        <v>1158</v>
      </c>
      <c r="E431" s="31"/>
      <c r="F431" s="31"/>
      <c r="G431" s="6" t="s">
        <v>1156</v>
      </c>
      <c r="H431" s="7">
        <f>VLOOKUP(D431,A!B$1:L$1126,3,FALSE)</f>
        <v>0</v>
      </c>
      <c r="I431" s="31">
        <f>VLOOKUP(D431,A!B$1:L$1126,3,FALSE)</f>
        <v>0</v>
      </c>
      <c r="J431" s="92"/>
      <c r="K431" s="91" t="str">
        <f>VLOOKUP(D431,A!B$1:L$1126,6,FALSE)</f>
        <v/>
      </c>
      <c r="L431" s="162"/>
      <c r="M431" s="43" t="s">
        <v>1159</v>
      </c>
      <c r="N431" s="94">
        <f>VLOOKUP(D431,A!B$1:L$1125,2,FALSE)</f>
        <v>0</v>
      </c>
      <c r="O431" s="94">
        <f>VLOOKUP(D431,A!B$1:L$1126,4,FALSE)</f>
        <v>0</v>
      </c>
      <c r="P431" s="10">
        <v>10</v>
      </c>
      <c r="Q431" s="10">
        <v>3.25</v>
      </c>
      <c r="R431" s="10">
        <f t="shared" si="61"/>
        <v>0</v>
      </c>
      <c r="S431" s="10">
        <f t="shared" si="59"/>
        <v>0</v>
      </c>
      <c r="T431" s="10" t="s">
        <v>162</v>
      </c>
      <c r="U431" s="145">
        <v>0.33</v>
      </c>
      <c r="V431" s="10" t="str">
        <f>VLOOKUP(D431,A!B$1:T$1125,16,FALSE)</f>
        <v/>
      </c>
      <c r="W431" s="10">
        <f t="shared" si="60"/>
        <v>0</v>
      </c>
      <c r="X431" s="29"/>
      <c r="Y431" s="29"/>
      <c r="Z431" s="29"/>
      <c r="AA431" s="29"/>
    </row>
    <row r="432" spans="1:86" s="3" customFormat="1" ht="13.5" hidden="1" customHeight="1" x14ac:dyDescent="0.25">
      <c r="A432" t="str">
        <f>IF(R432=0,"",COUNTIF(A$13:A431,"&gt;0")+1)</f>
        <v/>
      </c>
      <c r="B432" s="4"/>
      <c r="C432" s="5" t="s">
        <v>22</v>
      </c>
      <c r="D432" s="7" t="s">
        <v>1160</v>
      </c>
      <c r="E432" s="31"/>
      <c r="F432" s="31"/>
      <c r="G432" s="6" t="s">
        <v>1156</v>
      </c>
      <c r="H432" s="7">
        <f>VLOOKUP(D432,A!B$1:L$1126,3,FALSE)</f>
        <v>0</v>
      </c>
      <c r="I432" s="31">
        <f>VLOOKUP(D432,A!B$1:L$1126,3,FALSE)</f>
        <v>0</v>
      </c>
      <c r="J432" s="92"/>
      <c r="K432" s="91" t="str">
        <f>VLOOKUP(D432,A!B$1:L$1126,6,FALSE)</f>
        <v/>
      </c>
      <c r="L432" s="162"/>
      <c r="M432" s="43" t="s">
        <v>1161</v>
      </c>
      <c r="N432" s="94">
        <f>VLOOKUP(D432,A!B$1:L$1125,2,FALSE)</f>
        <v>0</v>
      </c>
      <c r="O432" s="94">
        <f>VLOOKUP(D432,A!B$1:L$1126,4,FALSE)</f>
        <v>0</v>
      </c>
      <c r="P432" s="10">
        <v>10</v>
      </c>
      <c r="Q432" s="10">
        <v>3.25</v>
      </c>
      <c r="R432" s="10">
        <f t="shared" si="61"/>
        <v>0</v>
      </c>
      <c r="S432" s="10">
        <f t="shared" si="59"/>
        <v>0</v>
      </c>
      <c r="T432" s="10" t="s">
        <v>162</v>
      </c>
      <c r="U432" s="145">
        <v>0.33</v>
      </c>
      <c r="V432" s="10" t="str">
        <f>VLOOKUP(D432,A!B$1:T$1125,16,FALSE)</f>
        <v/>
      </c>
      <c r="W432" s="10">
        <f t="shared" si="60"/>
        <v>0</v>
      </c>
      <c r="X432" s="29"/>
      <c r="Y432" s="29"/>
      <c r="Z432" s="29"/>
      <c r="AA432" s="29"/>
    </row>
    <row r="433" spans="1:86" s="3" customFormat="1" ht="13.5" hidden="1" customHeight="1" x14ac:dyDescent="0.25">
      <c r="A433" t="str">
        <f>IF(R433=0,"",COUNTIF(A$13:A432,"&gt;0")+1)</f>
        <v/>
      </c>
      <c r="B433" s="4"/>
      <c r="C433" s="5" t="s">
        <v>22</v>
      </c>
      <c r="D433" s="7" t="s">
        <v>1162</v>
      </c>
      <c r="E433" s="31"/>
      <c r="F433" s="31"/>
      <c r="G433" s="6" t="s">
        <v>1156</v>
      </c>
      <c r="H433" s="7">
        <f>VLOOKUP(D433,A!B$1:L$1126,3,FALSE)</f>
        <v>0</v>
      </c>
      <c r="I433" s="31">
        <f>VLOOKUP(D433,A!B$1:L$1126,3,FALSE)</f>
        <v>0</v>
      </c>
      <c r="J433" s="92"/>
      <c r="K433" s="91" t="str">
        <f>VLOOKUP(D433,A!B$1:L$1126,6,FALSE)</f>
        <v/>
      </c>
      <c r="L433" s="162"/>
      <c r="M433" s="43" t="s">
        <v>1163</v>
      </c>
      <c r="N433" s="94">
        <f>VLOOKUP(D433,A!B$1:L$1125,2,FALSE)</f>
        <v>0</v>
      </c>
      <c r="O433" s="94">
        <f>VLOOKUP(D433,A!B$1:L$1126,4,FALSE)</f>
        <v>0</v>
      </c>
      <c r="P433" s="10">
        <v>10</v>
      </c>
      <c r="Q433" s="10">
        <v>3.25</v>
      </c>
      <c r="R433" s="10">
        <f t="shared" si="61"/>
        <v>0</v>
      </c>
      <c r="S433" s="10">
        <f t="shared" si="59"/>
        <v>0</v>
      </c>
      <c r="T433" s="10" t="s">
        <v>162</v>
      </c>
      <c r="U433" s="145">
        <v>0.33</v>
      </c>
      <c r="V433" s="10" t="str">
        <f>VLOOKUP(D433,A!B$1:T$1125,16,FALSE)</f>
        <v/>
      </c>
      <c r="W433" s="10">
        <f t="shared" si="60"/>
        <v>0</v>
      </c>
      <c r="X433" s="29"/>
      <c r="Y433" s="29"/>
      <c r="Z433" s="29"/>
      <c r="AA433" s="29"/>
    </row>
    <row r="434" spans="1:86" s="3" customFormat="1" ht="13.5" hidden="1" customHeight="1" x14ac:dyDescent="0.25">
      <c r="A434" t="str">
        <f>IF(R434=0,"",COUNTIF(A$13:A433,"&gt;0")+1)</f>
        <v/>
      </c>
      <c r="B434" s="4"/>
      <c r="C434" s="5" t="s">
        <v>22</v>
      </c>
      <c r="D434" s="7" t="s">
        <v>1164</v>
      </c>
      <c r="E434" s="31"/>
      <c r="F434" s="31"/>
      <c r="G434" s="6" t="s">
        <v>1156</v>
      </c>
      <c r="H434" s="7">
        <f>VLOOKUP(D434,A!B$1:L$1126,3,FALSE)</f>
        <v>0</v>
      </c>
      <c r="I434" s="31">
        <f>VLOOKUP(D434,A!B$1:L$1126,3,FALSE)</f>
        <v>0</v>
      </c>
      <c r="J434" s="92"/>
      <c r="K434" s="91" t="str">
        <f>VLOOKUP(D434,A!B$1:L$1126,6,FALSE)</f>
        <v/>
      </c>
      <c r="L434" s="162"/>
      <c r="M434" s="43" t="s">
        <v>1165</v>
      </c>
      <c r="N434" s="94">
        <f>VLOOKUP(D434,A!B$1:L$1125,2,FALSE)</f>
        <v>0</v>
      </c>
      <c r="O434" s="94">
        <f>VLOOKUP(D434,A!B$1:L$1126,4,FALSE)</f>
        <v>0</v>
      </c>
      <c r="P434" s="10">
        <v>10</v>
      </c>
      <c r="Q434" s="10">
        <v>3.25</v>
      </c>
      <c r="R434" s="10">
        <f t="shared" si="61"/>
        <v>0</v>
      </c>
      <c r="S434" s="10">
        <f t="shared" si="59"/>
        <v>0</v>
      </c>
      <c r="T434" s="10" t="s">
        <v>162</v>
      </c>
      <c r="U434" s="145">
        <v>0.33</v>
      </c>
      <c r="V434" s="10" t="str">
        <f>VLOOKUP(D434,A!B$1:T$1125,16,FALSE)</f>
        <v/>
      </c>
      <c r="W434" s="10">
        <f t="shared" si="60"/>
        <v>0</v>
      </c>
      <c r="X434" s="29"/>
      <c r="Y434" s="29"/>
      <c r="Z434" s="29"/>
      <c r="AA434" s="29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</row>
    <row r="435" spans="1:86" s="3" customFormat="1" ht="13.5" hidden="1" customHeight="1" x14ac:dyDescent="0.25">
      <c r="A435" t="str">
        <f>IF(R435=0,"",COUNTIF(A$13:A434,"&gt;0")+1)</f>
        <v/>
      </c>
      <c r="B435" s="4"/>
      <c r="C435" s="5" t="s">
        <v>22</v>
      </c>
      <c r="D435" s="7" t="s">
        <v>1166</v>
      </c>
      <c r="E435" s="31"/>
      <c r="F435" s="31"/>
      <c r="G435" s="6" t="s">
        <v>1156</v>
      </c>
      <c r="H435" s="7">
        <f>VLOOKUP(D435,A!B$1:L$1126,3,FALSE)</f>
        <v>0</v>
      </c>
      <c r="I435" s="31">
        <f>VLOOKUP(D435,A!B$1:L$1126,3,FALSE)</f>
        <v>0</v>
      </c>
      <c r="J435" s="92"/>
      <c r="K435" s="91" t="str">
        <f>VLOOKUP(D435,A!B$1:L$1126,6,FALSE)</f>
        <v/>
      </c>
      <c r="L435" s="162"/>
      <c r="M435" s="43" t="s">
        <v>1167</v>
      </c>
      <c r="N435" s="94">
        <f>VLOOKUP(D435,A!B$1:L$1125,2,FALSE)</f>
        <v>0</v>
      </c>
      <c r="O435" s="94">
        <f>VLOOKUP(D435,A!B$1:L$1126,4,FALSE)</f>
        <v>0</v>
      </c>
      <c r="P435" s="10">
        <v>10</v>
      </c>
      <c r="Q435" s="10">
        <v>3.25</v>
      </c>
      <c r="R435" s="10">
        <f t="shared" si="61"/>
        <v>0</v>
      </c>
      <c r="S435" s="10">
        <f t="shared" si="59"/>
        <v>0</v>
      </c>
      <c r="T435" s="10" t="s">
        <v>162</v>
      </c>
      <c r="U435" s="145">
        <v>0.33</v>
      </c>
      <c r="V435" s="10" t="str">
        <f>VLOOKUP(D435,A!B$1:T$1125,16,FALSE)</f>
        <v/>
      </c>
      <c r="W435" s="10">
        <f t="shared" si="60"/>
        <v>0</v>
      </c>
      <c r="X435" s="29"/>
      <c r="Y435" s="29"/>
      <c r="Z435" s="29"/>
      <c r="AA435" s="29"/>
    </row>
    <row r="436" spans="1:86" s="3" customFormat="1" ht="13.5" hidden="1" customHeight="1" x14ac:dyDescent="0.25">
      <c r="A436" t="str">
        <f>IF(R436=0,"",COUNTIF(A$13:A435,"&gt;0")+1)</f>
        <v/>
      </c>
      <c r="B436" s="4"/>
      <c r="C436" s="5" t="s">
        <v>22</v>
      </c>
      <c r="D436" s="7" t="s">
        <v>1168</v>
      </c>
      <c r="E436" s="31"/>
      <c r="F436" s="31"/>
      <c r="G436" s="6" t="s">
        <v>1156</v>
      </c>
      <c r="H436" s="7">
        <f>VLOOKUP(D436,A!B$1:L$1126,3,FALSE)</f>
        <v>0</v>
      </c>
      <c r="I436" s="31">
        <f>VLOOKUP(D436,A!B$1:L$1126,3,FALSE)</f>
        <v>0</v>
      </c>
      <c r="J436" s="92"/>
      <c r="K436" s="91" t="str">
        <f>VLOOKUP(D436,A!B$1:L$1126,6,FALSE)</f>
        <v/>
      </c>
      <c r="L436" s="162"/>
      <c r="M436" s="43" t="s">
        <v>1169</v>
      </c>
      <c r="N436" s="94">
        <f>VLOOKUP(D436,A!B$1:L$1125,2,FALSE)</f>
        <v>0</v>
      </c>
      <c r="O436" s="94">
        <f>VLOOKUP(D436,A!B$1:L$1126,4,FALSE)</f>
        <v>0</v>
      </c>
      <c r="P436" s="10">
        <v>10</v>
      </c>
      <c r="Q436" s="10">
        <v>3.25</v>
      </c>
      <c r="R436" s="10">
        <f t="shared" si="61"/>
        <v>0</v>
      </c>
      <c r="S436" s="10">
        <f t="shared" si="59"/>
        <v>0</v>
      </c>
      <c r="T436" s="10" t="s">
        <v>162</v>
      </c>
      <c r="U436" s="145">
        <v>0.33</v>
      </c>
      <c r="V436" s="10" t="str">
        <f>VLOOKUP(D436,A!B$1:T$1125,16,FALSE)</f>
        <v/>
      </c>
      <c r="W436" s="10">
        <f t="shared" si="60"/>
        <v>0</v>
      </c>
      <c r="X436" s="29"/>
      <c r="Y436" s="29"/>
      <c r="Z436" s="29"/>
      <c r="AA436" s="29"/>
    </row>
    <row r="437" spans="1:86" s="3" customFormat="1" ht="13.5" hidden="1" customHeight="1" x14ac:dyDescent="0.25">
      <c r="A437" t="str">
        <f>IF(R437=0,"",COUNTIF(A$13:A436,"&gt;0")+1)</f>
        <v/>
      </c>
      <c r="B437" s="4"/>
      <c r="C437" s="5" t="s">
        <v>22</v>
      </c>
      <c r="D437" s="7" t="s">
        <v>1170</v>
      </c>
      <c r="E437" s="31"/>
      <c r="F437" s="31"/>
      <c r="G437" s="6" t="s">
        <v>1156</v>
      </c>
      <c r="H437" s="7">
        <f>VLOOKUP(D437,A!B$1:L$1126,3,FALSE)</f>
        <v>0</v>
      </c>
      <c r="I437" s="31">
        <f>VLOOKUP(D437,A!B$1:L$1126,3,FALSE)</f>
        <v>0</v>
      </c>
      <c r="J437" s="92"/>
      <c r="K437" s="91" t="str">
        <f>VLOOKUP(D437,A!B$1:L$1126,6,FALSE)</f>
        <v/>
      </c>
      <c r="L437" s="162"/>
      <c r="M437" s="43" t="s">
        <v>1171</v>
      </c>
      <c r="N437" s="94">
        <f>VLOOKUP(D437,A!B$1:L$1125,2,FALSE)</f>
        <v>0</v>
      </c>
      <c r="O437" s="94">
        <f>VLOOKUP(D437,A!B$1:L$1126,4,FALSE)</f>
        <v>0</v>
      </c>
      <c r="P437" s="10">
        <v>10</v>
      </c>
      <c r="Q437" s="10">
        <v>3.25</v>
      </c>
      <c r="R437" s="10">
        <f t="shared" si="61"/>
        <v>0</v>
      </c>
      <c r="S437" s="10">
        <f t="shared" si="59"/>
        <v>0</v>
      </c>
      <c r="T437" s="10" t="s">
        <v>162</v>
      </c>
      <c r="U437" s="145">
        <v>0.33</v>
      </c>
      <c r="V437" s="10" t="str">
        <f>VLOOKUP(D437,A!B$1:T$1125,16,FALSE)</f>
        <v/>
      </c>
      <c r="W437" s="10">
        <f t="shared" si="60"/>
        <v>0</v>
      </c>
      <c r="X437" s="29"/>
      <c r="Y437" s="29"/>
      <c r="Z437" s="29"/>
      <c r="AA437" s="29"/>
    </row>
    <row r="438" spans="1:86" s="3" customFormat="1" ht="13.5" customHeight="1" x14ac:dyDescent="0.25">
      <c r="A438" t="str">
        <f>IF(R438=0,"",COUNTIF(A$13:A437,"&gt;0")+1)</f>
        <v/>
      </c>
      <c r="B438" s="4"/>
      <c r="C438" s="5" t="s">
        <v>22</v>
      </c>
      <c r="D438" s="7" t="s">
        <v>1172</v>
      </c>
      <c r="E438" s="31"/>
      <c r="F438" s="31"/>
      <c r="G438" s="6" t="s">
        <v>1173</v>
      </c>
      <c r="H438" s="7">
        <f>VLOOKUP(D438,A!B$1:L$1126,3,FALSE)</f>
        <v>1</v>
      </c>
      <c r="I438" s="31">
        <f>VLOOKUP(D438,A!B$1:L$1126,3,FALSE)</f>
        <v>1</v>
      </c>
      <c r="J438" s="92"/>
      <c r="K438" s="91" t="str">
        <f>VLOOKUP(D438,A!B$1:L$1126,6,FALSE)</f>
        <v/>
      </c>
      <c r="L438" s="162"/>
      <c r="M438" s="43" t="s">
        <v>1174</v>
      </c>
      <c r="N438" s="94" t="str">
        <f>VLOOKUP(D438,A!B$1:L$1125,2,FALSE)</f>
        <v>y</v>
      </c>
      <c r="O438" s="94">
        <f>VLOOKUP(D438,A!B$1:L$1126,4,FALSE)</f>
        <v>0</v>
      </c>
      <c r="P438" s="10">
        <v>10</v>
      </c>
      <c r="Q438" s="10">
        <v>3.25</v>
      </c>
      <c r="R438" s="10">
        <f t="shared" si="61"/>
        <v>0</v>
      </c>
      <c r="S438" s="10">
        <f t="shared" si="59"/>
        <v>0</v>
      </c>
      <c r="T438" s="10" t="s">
        <v>162</v>
      </c>
      <c r="U438" s="145">
        <v>0.33</v>
      </c>
      <c r="V438" s="10" t="str">
        <f>VLOOKUP(D438,A!B$1:T$1125,16,FALSE)</f>
        <v/>
      </c>
      <c r="W438" s="10">
        <f t="shared" si="60"/>
        <v>0</v>
      </c>
      <c r="X438" s="29"/>
      <c r="Y438" s="29"/>
      <c r="Z438" s="29"/>
      <c r="AA438" s="29"/>
    </row>
    <row r="439" spans="1:86" s="3" customFormat="1" ht="13.5" hidden="1" customHeight="1" x14ac:dyDescent="0.25">
      <c r="A439" t="str">
        <f>IF(R439=0,"",COUNTIF(A$13:A438,"&gt;0")+1)</f>
        <v/>
      </c>
      <c r="B439" s="4"/>
      <c r="C439" s="5" t="s">
        <v>22</v>
      </c>
      <c r="D439" s="7" t="s">
        <v>1175</v>
      </c>
      <c r="E439" s="31"/>
      <c r="F439" s="31"/>
      <c r="G439" s="6" t="s">
        <v>1176</v>
      </c>
      <c r="H439" s="7">
        <f>VLOOKUP(D439,A!B$1:L$1126,3,FALSE)</f>
        <v>0</v>
      </c>
      <c r="I439" s="31">
        <f>VLOOKUP(D439,A!B$1:L$1126,3,FALSE)</f>
        <v>0</v>
      </c>
      <c r="J439" s="92"/>
      <c r="K439" s="91" t="str">
        <f>VLOOKUP(D439,A!B$1:L$1126,6,FALSE)</f>
        <v/>
      </c>
      <c r="L439" s="162"/>
      <c r="M439" s="43" t="s">
        <v>1177</v>
      </c>
      <c r="N439" s="94">
        <f>VLOOKUP(D439,A!B$1:L$1125,2,FALSE)</f>
        <v>0</v>
      </c>
      <c r="O439" s="94">
        <f>VLOOKUP(D439,A!B$1:L$1126,4,FALSE)</f>
        <v>0</v>
      </c>
      <c r="P439" s="10">
        <v>10</v>
      </c>
      <c r="Q439" s="10">
        <v>3.25</v>
      </c>
      <c r="R439" s="10">
        <f t="shared" si="61"/>
        <v>0</v>
      </c>
      <c r="S439" s="10">
        <f t="shared" si="59"/>
        <v>0</v>
      </c>
      <c r="T439" s="10" t="s">
        <v>162</v>
      </c>
      <c r="U439" s="145">
        <v>0.33</v>
      </c>
      <c r="V439" s="10" t="str">
        <f>VLOOKUP(D439,A!B$1:T$1125,16,FALSE)</f>
        <v/>
      </c>
      <c r="W439" s="10">
        <f t="shared" si="60"/>
        <v>0</v>
      </c>
      <c r="X439" s="29"/>
      <c r="Y439" s="29"/>
      <c r="Z439" s="29"/>
      <c r="AA439" s="29"/>
    </row>
    <row r="440" spans="1:86" s="3" customFormat="1" ht="13.5" hidden="1" customHeight="1" x14ac:dyDescent="0.25">
      <c r="A440" t="str">
        <f>IF(R440=0,"",COUNTIF(A$13:A439,"&gt;0")+1)</f>
        <v/>
      </c>
      <c r="B440" s="4"/>
      <c r="C440" s="5" t="s">
        <v>22</v>
      </c>
      <c r="D440" s="7" t="s">
        <v>1178</v>
      </c>
      <c r="E440" s="31"/>
      <c r="F440" s="31"/>
      <c r="G440" s="6" t="s">
        <v>1179</v>
      </c>
      <c r="H440" s="7">
        <f>VLOOKUP(D440,A!B$1:L$1126,3,FALSE)</f>
        <v>0</v>
      </c>
      <c r="I440" s="31">
        <f>VLOOKUP(D440,A!B$1:L$1126,3,FALSE)</f>
        <v>0</v>
      </c>
      <c r="J440" s="92"/>
      <c r="K440" s="91" t="str">
        <f>VLOOKUP(D440,A!B$1:L$1126,6,FALSE)</f>
        <v/>
      </c>
      <c r="L440" s="162"/>
      <c r="M440" s="43" t="s">
        <v>1180</v>
      </c>
      <c r="N440" s="94">
        <f>VLOOKUP(D440,A!B$1:L$1125,2,FALSE)</f>
        <v>0</v>
      </c>
      <c r="O440" s="94">
        <f>VLOOKUP(D440,A!B$1:L$1126,4,FALSE)</f>
        <v>0</v>
      </c>
      <c r="P440" s="10">
        <v>10</v>
      </c>
      <c r="Q440" s="10">
        <v>3.25</v>
      </c>
      <c r="R440" s="10">
        <f t="shared" si="61"/>
        <v>0</v>
      </c>
      <c r="S440" s="10">
        <f t="shared" ref="S440:S444" si="68">R440*Q440</f>
        <v>0</v>
      </c>
      <c r="T440" s="10" t="s">
        <v>162</v>
      </c>
      <c r="U440" s="145">
        <v>0.33</v>
      </c>
      <c r="V440" s="10" t="str">
        <f>VLOOKUP(D440,A!B$1:T$1125,16,FALSE)</f>
        <v/>
      </c>
      <c r="W440" s="10">
        <f t="shared" ref="W440:W444" si="69">U440*B440</f>
        <v>0</v>
      </c>
      <c r="X440" s="29"/>
      <c r="Y440" s="29"/>
      <c r="Z440" s="29"/>
      <c r="AA440" s="29"/>
    </row>
    <row r="441" spans="1:86" s="3" customFormat="1" ht="13.5" hidden="1" customHeight="1" x14ac:dyDescent="0.25">
      <c r="A441" t="str">
        <f>IF(R441=0,"",COUNTIF(A$13:A440,"&gt;0")+1)</f>
        <v/>
      </c>
      <c r="B441" s="4"/>
      <c r="C441" s="5" t="s">
        <v>22</v>
      </c>
      <c r="D441" s="7" t="s">
        <v>1181</v>
      </c>
      <c r="E441" s="31"/>
      <c r="F441" s="31"/>
      <c r="G441" s="6" t="s">
        <v>1182</v>
      </c>
      <c r="H441" s="7">
        <f>VLOOKUP(D441,A!B$1:L$1126,3,FALSE)</f>
        <v>0</v>
      </c>
      <c r="I441" s="31">
        <f>VLOOKUP(D441,A!B$1:L$1126,3,FALSE)</f>
        <v>0</v>
      </c>
      <c r="J441" s="92"/>
      <c r="K441" s="91" t="str">
        <f>VLOOKUP(D441,A!B$1:L$1126,6,FALSE)</f>
        <v/>
      </c>
      <c r="L441" s="162"/>
      <c r="M441" s="43" t="s">
        <v>1183</v>
      </c>
      <c r="N441" s="94">
        <f>VLOOKUP(D441,A!B$1:L$1125,2,FALSE)</f>
        <v>0</v>
      </c>
      <c r="O441" s="94">
        <f>VLOOKUP(D441,A!B$1:L$1126,4,FALSE)</f>
        <v>0</v>
      </c>
      <c r="P441" s="10">
        <v>10</v>
      </c>
      <c r="Q441" s="10">
        <v>3.25</v>
      </c>
      <c r="R441" s="10">
        <f t="shared" ref="R441:R444" si="70">B441*P441</f>
        <v>0</v>
      </c>
      <c r="S441" s="10">
        <f t="shared" si="68"/>
        <v>0</v>
      </c>
      <c r="T441" s="10" t="s">
        <v>162</v>
      </c>
      <c r="U441" s="145">
        <v>0.33</v>
      </c>
      <c r="V441" s="10" t="str">
        <f>VLOOKUP(D441,A!B$1:T$1125,16,FALSE)</f>
        <v/>
      </c>
      <c r="W441" s="10">
        <f t="shared" si="69"/>
        <v>0</v>
      </c>
      <c r="X441" s="29"/>
      <c r="Y441" s="29"/>
      <c r="Z441" s="29"/>
      <c r="AA441" s="29"/>
    </row>
    <row r="442" spans="1:86" s="3" customFormat="1" ht="13.5" hidden="1" customHeight="1" x14ac:dyDescent="0.25">
      <c r="A442" t="str">
        <f>IF(R442=0,"",COUNTIF(A$13:A441,"&gt;0")+1)</f>
        <v/>
      </c>
      <c r="B442" s="4"/>
      <c r="C442" s="5" t="s">
        <v>22</v>
      </c>
      <c r="D442" s="7" t="s">
        <v>1184</v>
      </c>
      <c r="E442" s="31"/>
      <c r="F442" s="31"/>
      <c r="G442" s="6" t="s">
        <v>1185</v>
      </c>
      <c r="H442" s="7">
        <f>VLOOKUP(D442,A!B$1:L$1126,3,FALSE)</f>
        <v>0</v>
      </c>
      <c r="I442" s="31">
        <f>VLOOKUP(D442,A!B$1:L$1126,3,FALSE)</f>
        <v>0</v>
      </c>
      <c r="J442" s="92"/>
      <c r="K442" s="91" t="str">
        <f>VLOOKUP(D442,A!B$1:L$1126,6,FALSE)</f>
        <v/>
      </c>
      <c r="L442" s="162"/>
      <c r="M442" s="43" t="s">
        <v>1186</v>
      </c>
      <c r="N442" s="94">
        <f>VLOOKUP(D442,A!B$1:L$1125,2,FALSE)</f>
        <v>0</v>
      </c>
      <c r="O442" s="94">
        <f>VLOOKUP(D442,A!B$1:L$1126,4,FALSE)</f>
        <v>0</v>
      </c>
      <c r="P442" s="10">
        <v>10</v>
      </c>
      <c r="Q442" s="10">
        <v>3.25</v>
      </c>
      <c r="R442" s="10">
        <f t="shared" si="70"/>
        <v>0</v>
      </c>
      <c r="S442" s="10">
        <f t="shared" si="68"/>
        <v>0</v>
      </c>
      <c r="T442" s="10" t="s">
        <v>162</v>
      </c>
      <c r="U442" s="145">
        <v>0.33</v>
      </c>
      <c r="V442" s="10" t="str">
        <f>VLOOKUP(D442,A!B$1:T$1125,16,FALSE)</f>
        <v/>
      </c>
      <c r="W442" s="10">
        <f t="shared" si="69"/>
        <v>0</v>
      </c>
      <c r="X442" s="29"/>
      <c r="Y442" s="29"/>
      <c r="Z442" s="29"/>
      <c r="AA442" s="29"/>
    </row>
    <row r="443" spans="1:86" s="3" customFormat="1" ht="13.5" hidden="1" customHeight="1" x14ac:dyDescent="0.25">
      <c r="A443" t="str">
        <f>IF(R443=0,"",COUNTIF(A$13:A442,"&gt;0")+1)</f>
        <v/>
      </c>
      <c r="B443" s="4"/>
      <c r="C443" s="5" t="s">
        <v>22</v>
      </c>
      <c r="D443" s="7" t="s">
        <v>1187</v>
      </c>
      <c r="E443" s="31"/>
      <c r="F443" s="31"/>
      <c r="G443" s="6" t="s">
        <v>1185</v>
      </c>
      <c r="H443" s="7">
        <f>VLOOKUP(D443,A!B$1:L$1126,3,FALSE)</f>
        <v>0</v>
      </c>
      <c r="I443" s="31">
        <f>VLOOKUP(D443,A!B$1:L$1126,3,FALSE)</f>
        <v>0</v>
      </c>
      <c r="J443" s="92"/>
      <c r="K443" s="91" t="str">
        <f>VLOOKUP(D443,A!B$1:L$1126,6,FALSE)</f>
        <v/>
      </c>
      <c r="L443" s="162"/>
      <c r="M443" s="43" t="s">
        <v>1188</v>
      </c>
      <c r="N443" s="94">
        <f>VLOOKUP(D443,A!B$1:L$1125,2,FALSE)</f>
        <v>0</v>
      </c>
      <c r="O443" s="94">
        <f>VLOOKUP(D443,A!B$1:L$1126,4,FALSE)</f>
        <v>0</v>
      </c>
      <c r="P443" s="10">
        <v>10</v>
      </c>
      <c r="Q443" s="10">
        <v>3.25</v>
      </c>
      <c r="R443" s="10">
        <f t="shared" si="70"/>
        <v>0</v>
      </c>
      <c r="S443" s="10">
        <f t="shared" si="68"/>
        <v>0</v>
      </c>
      <c r="T443" s="10" t="s">
        <v>162</v>
      </c>
      <c r="U443" s="145">
        <v>0.33</v>
      </c>
      <c r="V443" s="10" t="str">
        <f>VLOOKUP(D443,A!B$1:T$1125,16,FALSE)</f>
        <v/>
      </c>
      <c r="W443" s="10">
        <f t="shared" si="69"/>
        <v>0</v>
      </c>
      <c r="X443" s="29"/>
      <c r="Y443" s="29"/>
      <c r="Z443" s="29"/>
      <c r="AA443" s="29"/>
    </row>
    <row r="444" spans="1:86" s="3" customFormat="1" ht="13.5" hidden="1" customHeight="1" x14ac:dyDescent="0.25">
      <c r="A444" t="str">
        <f>IF(R444=0,"",COUNTIF(A$13:A443,"&gt;0")+1)</f>
        <v/>
      </c>
      <c r="B444" s="4"/>
      <c r="C444" s="5" t="s">
        <v>22</v>
      </c>
      <c r="D444" s="7" t="s">
        <v>1189</v>
      </c>
      <c r="E444" s="31"/>
      <c r="F444" s="31"/>
      <c r="G444" s="6" t="s">
        <v>1185</v>
      </c>
      <c r="H444" s="7">
        <f>VLOOKUP(D444,A!B$1:L$1126,3,FALSE)</f>
        <v>0</v>
      </c>
      <c r="I444" s="31">
        <f>VLOOKUP(D444,A!B$1:L$1126,3,FALSE)</f>
        <v>0</v>
      </c>
      <c r="J444" s="92"/>
      <c r="K444" s="91" t="str">
        <f>VLOOKUP(D444,A!B$1:L$1126,6,FALSE)</f>
        <v/>
      </c>
      <c r="L444" s="162"/>
      <c r="M444" s="43" t="s">
        <v>1190</v>
      </c>
      <c r="N444" s="94">
        <f>VLOOKUP(D444,A!B$1:L$1125,2,FALSE)</f>
        <v>0</v>
      </c>
      <c r="O444" s="94">
        <f>VLOOKUP(D444,A!B$1:L$1126,4,FALSE)</f>
        <v>0</v>
      </c>
      <c r="P444" s="10">
        <v>10</v>
      </c>
      <c r="Q444" s="10">
        <v>3.25</v>
      </c>
      <c r="R444" s="10">
        <f t="shared" si="70"/>
        <v>0</v>
      </c>
      <c r="S444" s="10">
        <f t="shared" si="68"/>
        <v>0</v>
      </c>
      <c r="T444" s="10" t="s">
        <v>162</v>
      </c>
      <c r="U444" s="145">
        <v>0.33</v>
      </c>
      <c r="V444" s="10" t="str">
        <f>VLOOKUP(D444,A!B$1:T$1125,16,FALSE)</f>
        <v/>
      </c>
      <c r="W444" s="10">
        <f t="shared" si="69"/>
        <v>0</v>
      </c>
      <c r="X444" s="29"/>
      <c r="Y444" s="29"/>
      <c r="Z444" s="29"/>
      <c r="AA444" s="29"/>
    </row>
    <row r="445" spans="1:86" s="3" customFormat="1" ht="13.5" hidden="1" customHeight="1" x14ac:dyDescent="0.25">
      <c r="A445" t="str">
        <f>IF(R445=0,"",COUNTIF(A$13:A444,"&gt;0")+1)</f>
        <v/>
      </c>
      <c r="B445" s="4"/>
      <c r="C445" s="5" t="s">
        <v>22</v>
      </c>
      <c r="D445" s="7" t="s">
        <v>1191</v>
      </c>
      <c r="E445" s="31"/>
      <c r="F445" s="31"/>
      <c r="G445" s="6" t="s">
        <v>1185</v>
      </c>
      <c r="H445" s="7">
        <f>VLOOKUP(D445,A!B$1:L$1126,3,FALSE)</f>
        <v>0</v>
      </c>
      <c r="I445" s="31">
        <f>VLOOKUP(D445,A!B$1:L$1126,3,FALSE)</f>
        <v>0</v>
      </c>
      <c r="J445" s="92"/>
      <c r="K445" s="91" t="str">
        <f>VLOOKUP(D445,A!B$1:L$1126,6,FALSE)</f>
        <v/>
      </c>
      <c r="L445" s="162"/>
      <c r="M445" s="43" t="s">
        <v>1192</v>
      </c>
      <c r="N445" s="94">
        <f>VLOOKUP(D445,A!B$1:L$1125,2,FALSE)</f>
        <v>0</v>
      </c>
      <c r="O445" s="94">
        <f>VLOOKUP(D445,A!B$1:L$1126,4,FALSE)</f>
        <v>0</v>
      </c>
      <c r="P445" s="10">
        <v>10</v>
      </c>
      <c r="Q445" s="10">
        <v>3.25</v>
      </c>
      <c r="R445" s="10">
        <f t="shared" ref="R445:R457" si="71">B445*P445</f>
        <v>0</v>
      </c>
      <c r="S445" s="10">
        <f t="shared" ref="S445:S457" si="72">R445*Q445</f>
        <v>0</v>
      </c>
      <c r="T445" s="10" t="s">
        <v>162</v>
      </c>
      <c r="U445" s="145">
        <v>0.33</v>
      </c>
      <c r="V445" s="10" t="str">
        <f>VLOOKUP(D445,A!B$1:T$1125,16,FALSE)</f>
        <v/>
      </c>
      <c r="W445" s="10">
        <f t="shared" ref="W445:W457" si="73">U445*B445</f>
        <v>0</v>
      </c>
      <c r="X445" s="29"/>
      <c r="Y445" s="29"/>
      <c r="Z445" s="29"/>
      <c r="AA445" s="29"/>
    </row>
    <row r="446" spans="1:86" s="3" customFormat="1" ht="13.5" hidden="1" customHeight="1" x14ac:dyDescent="0.25">
      <c r="A446" t="str">
        <f>IF(R446=0,"",COUNTIF(A$13:A445,"&gt;0")+1)</f>
        <v/>
      </c>
      <c r="B446" s="4"/>
      <c r="C446" s="5" t="s">
        <v>22</v>
      </c>
      <c r="D446" s="7" t="s">
        <v>1193</v>
      </c>
      <c r="E446" s="31"/>
      <c r="F446" s="31"/>
      <c r="G446" s="6" t="s">
        <v>1194</v>
      </c>
      <c r="H446" s="7">
        <f>VLOOKUP(D446,A!B$1:L$1126,3,FALSE)</f>
        <v>0</v>
      </c>
      <c r="I446" s="31">
        <f>VLOOKUP(D446,A!B$1:L$1126,3,FALSE)</f>
        <v>0</v>
      </c>
      <c r="J446" s="92"/>
      <c r="K446" s="91" t="str">
        <f>VLOOKUP(D446,A!B$1:L$1126,6,FALSE)</f>
        <v/>
      </c>
      <c r="L446" s="162"/>
      <c r="M446" s="41" t="s">
        <v>1195</v>
      </c>
      <c r="N446" s="94">
        <f>VLOOKUP(D446,A!B$1:L$1125,2,FALSE)</f>
        <v>0</v>
      </c>
      <c r="O446" s="94">
        <f>VLOOKUP(D446,A!B$1:L$1126,4,FALSE)</f>
        <v>0</v>
      </c>
      <c r="P446" s="10">
        <v>10</v>
      </c>
      <c r="Q446" s="10">
        <v>3.25</v>
      </c>
      <c r="R446" s="10">
        <f t="shared" si="71"/>
        <v>0</v>
      </c>
      <c r="S446" s="10">
        <f t="shared" si="72"/>
        <v>0</v>
      </c>
      <c r="T446" s="10" t="s">
        <v>162</v>
      </c>
      <c r="U446" s="145">
        <v>0.33</v>
      </c>
      <c r="V446" s="10" t="str">
        <f>VLOOKUP(D446,A!B$1:T$1125,16,FALSE)</f>
        <v/>
      </c>
      <c r="W446" s="10">
        <f t="shared" si="73"/>
        <v>0</v>
      </c>
      <c r="X446" s="29"/>
      <c r="Y446" s="29"/>
      <c r="Z446" s="29"/>
      <c r="AA446" s="29"/>
    </row>
    <row r="447" spans="1:86" s="3" customFormat="1" ht="13.5" hidden="1" customHeight="1" x14ac:dyDescent="0.25">
      <c r="A447" t="str">
        <f>IF(R447=0,"",COUNTIF(A$13:A446,"&gt;0")+1)</f>
        <v/>
      </c>
      <c r="B447" s="4"/>
      <c r="C447" s="5" t="s">
        <v>22</v>
      </c>
      <c r="D447" s="7" t="s">
        <v>1196</v>
      </c>
      <c r="E447" s="31"/>
      <c r="F447" s="31"/>
      <c r="G447" s="6" t="s">
        <v>1194</v>
      </c>
      <c r="H447" s="7">
        <f>VLOOKUP(D447,A!B$1:L$1126,3,FALSE)</f>
        <v>0</v>
      </c>
      <c r="I447" s="31">
        <f>VLOOKUP(D447,A!B$1:L$1126,3,FALSE)</f>
        <v>0</v>
      </c>
      <c r="J447" s="92"/>
      <c r="K447" s="91" t="str">
        <f>VLOOKUP(D447,A!B$1:L$1126,6,FALSE)</f>
        <v/>
      </c>
      <c r="L447" s="162"/>
      <c r="M447" s="43" t="s">
        <v>1197</v>
      </c>
      <c r="N447" s="94">
        <f>VLOOKUP(D447,A!B$1:L$1125,2,FALSE)</f>
        <v>0</v>
      </c>
      <c r="O447" s="94">
        <f>VLOOKUP(D447,A!B$1:L$1126,4,FALSE)</f>
        <v>0</v>
      </c>
      <c r="P447" s="10">
        <v>10</v>
      </c>
      <c r="Q447" s="10">
        <v>3.25</v>
      </c>
      <c r="R447" s="10">
        <f t="shared" si="71"/>
        <v>0</v>
      </c>
      <c r="S447" s="10">
        <f t="shared" si="72"/>
        <v>0</v>
      </c>
      <c r="T447" s="10" t="s">
        <v>162</v>
      </c>
      <c r="U447" s="145">
        <v>0.33</v>
      </c>
      <c r="V447" s="10" t="str">
        <f>VLOOKUP(D447,A!B$1:T$1125,16,FALSE)</f>
        <v/>
      </c>
      <c r="W447" s="10">
        <f t="shared" si="73"/>
        <v>0</v>
      </c>
      <c r="X447" s="29"/>
      <c r="Y447" s="29"/>
      <c r="Z447" s="29"/>
      <c r="AA447" s="29"/>
    </row>
    <row r="448" spans="1:86" s="3" customFormat="1" ht="13.5" hidden="1" customHeight="1" x14ac:dyDescent="0.25">
      <c r="A448" t="str">
        <f>IF(R448=0,"",COUNTIF(A$13:A447,"&gt;0")+1)</f>
        <v/>
      </c>
      <c r="B448" s="4"/>
      <c r="C448" s="5" t="s">
        <v>22</v>
      </c>
      <c r="D448" s="7" t="s">
        <v>1198</v>
      </c>
      <c r="E448" s="31"/>
      <c r="F448" s="31"/>
      <c r="G448" s="6" t="s">
        <v>1199</v>
      </c>
      <c r="H448" s="7">
        <f>VLOOKUP(D448,A!B$1:L$1126,3,FALSE)</f>
        <v>0</v>
      </c>
      <c r="I448" s="31">
        <f>VLOOKUP(D448,A!B$1:L$1126,3,FALSE)</f>
        <v>0</v>
      </c>
      <c r="J448" s="92"/>
      <c r="K448" s="91" t="str">
        <f>VLOOKUP(D448,A!B$1:L$1126,6,FALSE)</f>
        <v/>
      </c>
      <c r="L448" s="162"/>
      <c r="M448" s="41" t="s">
        <v>1200</v>
      </c>
      <c r="N448" s="94">
        <f>VLOOKUP(D448,A!B$1:L$1125,2,FALSE)</f>
        <v>0</v>
      </c>
      <c r="O448" s="94">
        <f>VLOOKUP(D448,A!B$1:L$1126,4,FALSE)</f>
        <v>0</v>
      </c>
      <c r="P448" s="10">
        <v>10</v>
      </c>
      <c r="Q448" s="10">
        <v>3.25</v>
      </c>
      <c r="R448" s="10">
        <f t="shared" si="71"/>
        <v>0</v>
      </c>
      <c r="S448" s="10">
        <f t="shared" si="72"/>
        <v>0</v>
      </c>
      <c r="T448" s="10" t="s">
        <v>162</v>
      </c>
      <c r="U448" s="145">
        <v>0.33</v>
      </c>
      <c r="V448" s="10" t="str">
        <f>VLOOKUP(D448,A!B$1:T$1125,16,FALSE)</f>
        <v/>
      </c>
      <c r="W448" s="10">
        <f t="shared" si="73"/>
        <v>0</v>
      </c>
      <c r="X448" s="29"/>
      <c r="Y448" s="29"/>
      <c r="Z448" s="29"/>
      <c r="AA448" s="29"/>
    </row>
    <row r="449" spans="1:86" s="3" customFormat="1" ht="13.5" hidden="1" customHeight="1" x14ac:dyDescent="0.25">
      <c r="A449" t="str">
        <f>IF(R449=0,"",COUNTIF(A$13:A448,"&gt;0")+1)</f>
        <v/>
      </c>
      <c r="B449" s="4"/>
      <c r="C449" s="5" t="s">
        <v>22</v>
      </c>
      <c r="D449" s="7" t="s">
        <v>1201</v>
      </c>
      <c r="E449" s="31"/>
      <c r="F449" s="31"/>
      <c r="G449" s="6" t="s">
        <v>1202</v>
      </c>
      <c r="H449" s="7">
        <f>VLOOKUP(D449,A!B$1:L$1126,3,FALSE)</f>
        <v>0</v>
      </c>
      <c r="I449" s="31">
        <f>VLOOKUP(D449,A!B$1:L$1126,3,FALSE)</f>
        <v>0</v>
      </c>
      <c r="J449" s="92"/>
      <c r="K449" s="91" t="str">
        <f>VLOOKUP(D449,A!B$1:L$1126,6,FALSE)</f>
        <v/>
      </c>
      <c r="L449" s="162"/>
      <c r="M449" s="41" t="s">
        <v>1203</v>
      </c>
      <c r="N449" s="94">
        <f>VLOOKUP(D449,A!B$1:L$1125,2,FALSE)</f>
        <v>0</v>
      </c>
      <c r="O449" s="94">
        <f>VLOOKUP(D449,A!B$1:L$1126,4,FALSE)</f>
        <v>0</v>
      </c>
      <c r="P449" s="10">
        <v>10</v>
      </c>
      <c r="Q449" s="10">
        <v>3.25</v>
      </c>
      <c r="R449" s="10">
        <f t="shared" si="71"/>
        <v>0</v>
      </c>
      <c r="S449" s="10">
        <f t="shared" si="72"/>
        <v>0</v>
      </c>
      <c r="T449" s="10" t="s">
        <v>162</v>
      </c>
      <c r="U449" s="145">
        <v>0.33</v>
      </c>
      <c r="V449" s="10" t="str">
        <f>VLOOKUP(D449,A!B$1:T$1125,16,FALSE)</f>
        <v/>
      </c>
      <c r="W449" s="10">
        <f t="shared" si="73"/>
        <v>0</v>
      </c>
      <c r="X449" s="29"/>
      <c r="Y449" s="29"/>
      <c r="Z449" s="29"/>
      <c r="AA449" s="29"/>
    </row>
    <row r="450" spans="1:86" s="3" customFormat="1" ht="13.5" hidden="1" customHeight="1" x14ac:dyDescent="0.25">
      <c r="A450" t="str">
        <f>IF(R450=0,"",COUNTIF(A$13:A449,"&gt;0")+1)</f>
        <v/>
      </c>
      <c r="B450" s="4"/>
      <c r="C450" s="5" t="s">
        <v>22</v>
      </c>
      <c r="D450" s="7" t="s">
        <v>1204</v>
      </c>
      <c r="E450" s="31"/>
      <c r="F450" s="31"/>
      <c r="G450" s="6" t="s">
        <v>1202</v>
      </c>
      <c r="H450" s="7">
        <f>VLOOKUP(D450,A!B$1:L$1126,3,FALSE)</f>
        <v>0</v>
      </c>
      <c r="I450" s="31">
        <f>VLOOKUP(D450,A!B$1:L$1126,3,FALSE)</f>
        <v>0</v>
      </c>
      <c r="J450" s="92"/>
      <c r="K450" s="91" t="str">
        <f>VLOOKUP(D450,A!B$1:L$1126,6,FALSE)</f>
        <v/>
      </c>
      <c r="L450" s="162"/>
      <c r="M450" s="41" t="s">
        <v>1205</v>
      </c>
      <c r="N450" s="94">
        <f>VLOOKUP(D450,A!B$1:L$1125,2,FALSE)</f>
        <v>0</v>
      </c>
      <c r="O450" s="94">
        <f>VLOOKUP(D450,A!B$1:L$1126,4,FALSE)</f>
        <v>0</v>
      </c>
      <c r="P450" s="10">
        <v>10</v>
      </c>
      <c r="Q450" s="10">
        <v>3.25</v>
      </c>
      <c r="R450" s="10">
        <f t="shared" si="71"/>
        <v>0</v>
      </c>
      <c r="S450" s="10">
        <f t="shared" si="72"/>
        <v>0</v>
      </c>
      <c r="T450" s="10" t="s">
        <v>162</v>
      </c>
      <c r="U450" s="145">
        <v>0.33</v>
      </c>
      <c r="V450" s="10" t="str">
        <f>VLOOKUP(D450,A!B$1:T$1125,16,FALSE)</f>
        <v/>
      </c>
      <c r="W450" s="10">
        <f t="shared" si="73"/>
        <v>0</v>
      </c>
      <c r="X450" s="29"/>
      <c r="Y450" s="29"/>
      <c r="Z450" s="29"/>
      <c r="AA450" s="29"/>
    </row>
    <row r="451" spans="1:86" s="3" customFormat="1" ht="13.5" hidden="1" customHeight="1" x14ac:dyDescent="0.25">
      <c r="A451" t="str">
        <f>IF(R451=0,"",COUNTIF(A$13:A450,"&gt;0")+1)</f>
        <v/>
      </c>
      <c r="B451" s="4"/>
      <c r="C451" s="5" t="s">
        <v>22</v>
      </c>
      <c r="D451" s="7" t="s">
        <v>1206</v>
      </c>
      <c r="E451" s="31"/>
      <c r="F451" s="31"/>
      <c r="G451" s="6" t="s">
        <v>1202</v>
      </c>
      <c r="H451" s="7">
        <f>VLOOKUP(D451,A!B$1:L$1126,3,FALSE)</f>
        <v>0</v>
      </c>
      <c r="I451" s="31">
        <f>VLOOKUP(D451,A!B$1:L$1126,3,FALSE)</f>
        <v>0</v>
      </c>
      <c r="J451" s="92"/>
      <c r="K451" s="91" t="str">
        <f>VLOOKUP(D451,A!B$1:L$1126,6,FALSE)</f>
        <v/>
      </c>
      <c r="L451" s="162"/>
      <c r="M451" s="41" t="s">
        <v>1207</v>
      </c>
      <c r="N451" s="94">
        <f>VLOOKUP(D451,A!B$1:L$1125,2,FALSE)</f>
        <v>0</v>
      </c>
      <c r="O451" s="94">
        <f>VLOOKUP(D451,A!B$1:L$1126,4,FALSE)</f>
        <v>0</v>
      </c>
      <c r="P451" s="10">
        <v>10</v>
      </c>
      <c r="Q451" s="10">
        <v>3.25</v>
      </c>
      <c r="R451" s="10">
        <f t="shared" si="71"/>
        <v>0</v>
      </c>
      <c r="S451" s="10">
        <f t="shared" si="72"/>
        <v>0</v>
      </c>
      <c r="T451" s="10" t="s">
        <v>162</v>
      </c>
      <c r="U451" s="145">
        <v>0.33</v>
      </c>
      <c r="V451" s="10" t="str">
        <f>VLOOKUP(D451,A!B$1:T$1125,16,FALSE)</f>
        <v/>
      </c>
      <c r="W451" s="10">
        <f t="shared" si="73"/>
        <v>0</v>
      </c>
      <c r="X451" s="29"/>
      <c r="Y451" s="29"/>
      <c r="Z451" s="29"/>
      <c r="AA451" s="29"/>
    </row>
    <row r="452" spans="1:86" s="3" customFormat="1" ht="13.5" hidden="1" customHeight="1" x14ac:dyDescent="0.25">
      <c r="A452" t="str">
        <f>IF(R452=0,"",COUNTIF(A$13:A451,"&gt;0")+1)</f>
        <v/>
      </c>
      <c r="B452" s="4"/>
      <c r="C452" s="5" t="s">
        <v>22</v>
      </c>
      <c r="D452" s="7" t="s">
        <v>1208</v>
      </c>
      <c r="E452" s="31"/>
      <c r="F452" s="31"/>
      <c r="G452" s="6" t="s">
        <v>1202</v>
      </c>
      <c r="H452" s="7">
        <f>VLOOKUP(D452,A!B$1:L$1126,3,FALSE)</f>
        <v>0</v>
      </c>
      <c r="I452" s="31">
        <f>VLOOKUP(D452,A!B$1:L$1126,3,FALSE)</f>
        <v>0</v>
      </c>
      <c r="J452" s="92"/>
      <c r="K452" s="91" t="str">
        <f>VLOOKUP(D452,A!B$1:L$1126,6,FALSE)</f>
        <v/>
      </c>
      <c r="L452" s="162"/>
      <c r="M452" s="41" t="s">
        <v>1209</v>
      </c>
      <c r="N452" s="94">
        <f>VLOOKUP(D452,A!B$1:L$1125,2,FALSE)</f>
        <v>0</v>
      </c>
      <c r="O452" s="94">
        <f>VLOOKUP(D452,A!B$1:L$1126,4,FALSE)</f>
        <v>0</v>
      </c>
      <c r="P452" s="10">
        <v>10</v>
      </c>
      <c r="Q452" s="10">
        <v>3.25</v>
      </c>
      <c r="R452" s="10">
        <f t="shared" si="71"/>
        <v>0</v>
      </c>
      <c r="S452" s="10">
        <f t="shared" si="72"/>
        <v>0</v>
      </c>
      <c r="T452" s="10" t="s">
        <v>162</v>
      </c>
      <c r="U452" s="145">
        <v>0.33</v>
      </c>
      <c r="V452" s="10" t="str">
        <f>VLOOKUP(D452,A!B$1:T$1125,16,FALSE)</f>
        <v/>
      </c>
      <c r="W452" s="10">
        <f t="shared" si="73"/>
        <v>0</v>
      </c>
      <c r="X452" s="29"/>
      <c r="Y452" s="29"/>
      <c r="Z452" s="29"/>
      <c r="AA452" s="29"/>
    </row>
    <row r="453" spans="1:86" s="3" customFormat="1" ht="13.5" hidden="1" customHeight="1" x14ac:dyDescent="0.25">
      <c r="A453" t="str">
        <f>IF(R453=0,"",COUNTIF(A$13:A452,"&gt;0")+1)</f>
        <v/>
      </c>
      <c r="B453" s="4"/>
      <c r="C453" s="5" t="s">
        <v>22</v>
      </c>
      <c r="D453" s="7" t="s">
        <v>1210</v>
      </c>
      <c r="E453" s="31"/>
      <c r="F453" s="31"/>
      <c r="G453" s="6" t="s">
        <v>1202</v>
      </c>
      <c r="H453" s="7">
        <f>VLOOKUP(D453,A!B$1:L$1126,3,FALSE)</f>
        <v>0</v>
      </c>
      <c r="I453" s="31">
        <f>VLOOKUP(D453,A!B$1:L$1126,3,FALSE)</f>
        <v>0</v>
      </c>
      <c r="J453" s="92"/>
      <c r="K453" s="91" t="str">
        <f>VLOOKUP(D453,A!B$1:L$1126,6,FALSE)</f>
        <v/>
      </c>
      <c r="L453" s="162"/>
      <c r="M453" s="41" t="s">
        <v>1211</v>
      </c>
      <c r="N453" s="94">
        <f>VLOOKUP(D453,A!B$1:L$1125,2,FALSE)</f>
        <v>0</v>
      </c>
      <c r="O453" s="94">
        <f>VLOOKUP(D453,A!B$1:L$1126,4,FALSE)</f>
        <v>0</v>
      </c>
      <c r="P453" s="10">
        <v>10</v>
      </c>
      <c r="Q453" s="10">
        <v>3.25</v>
      </c>
      <c r="R453" s="10">
        <f t="shared" si="71"/>
        <v>0</v>
      </c>
      <c r="S453" s="10">
        <f t="shared" si="72"/>
        <v>0</v>
      </c>
      <c r="T453" s="10" t="s">
        <v>162</v>
      </c>
      <c r="U453" s="145">
        <v>0.33</v>
      </c>
      <c r="V453" s="10" t="str">
        <f>VLOOKUP(D453,A!B$1:T$1125,16,FALSE)</f>
        <v/>
      </c>
      <c r="W453" s="10">
        <f t="shared" si="73"/>
        <v>0</v>
      </c>
      <c r="X453" s="29"/>
      <c r="Y453" s="29"/>
      <c r="Z453" s="29"/>
      <c r="AA453" s="29"/>
    </row>
    <row r="454" spans="1:86" s="3" customFormat="1" ht="13.5" hidden="1" customHeight="1" x14ac:dyDescent="0.25">
      <c r="A454" t="str">
        <f>IF(R454=0,"",COUNTIF(A$13:A453,"&gt;0")+1)</f>
        <v/>
      </c>
      <c r="B454" s="4"/>
      <c r="C454" s="5" t="s">
        <v>22</v>
      </c>
      <c r="D454" s="7" t="s">
        <v>1212</v>
      </c>
      <c r="E454" s="31"/>
      <c r="F454" s="31"/>
      <c r="G454" s="6" t="s">
        <v>1213</v>
      </c>
      <c r="H454" s="7">
        <f>VLOOKUP(D454,A!B$1:L$1126,3,FALSE)</f>
        <v>0</v>
      </c>
      <c r="I454" s="31">
        <f>VLOOKUP(D454,A!B$1:L$1126,3,FALSE)</f>
        <v>0</v>
      </c>
      <c r="J454" s="92"/>
      <c r="K454" s="91" t="str">
        <f>VLOOKUP(D454,A!B$1:L$1126,6,FALSE)</f>
        <v/>
      </c>
      <c r="L454" s="162"/>
      <c r="M454" s="41" t="s">
        <v>1214</v>
      </c>
      <c r="N454" s="94">
        <f>VLOOKUP(D454,A!B$1:L$1125,2,FALSE)</f>
        <v>0</v>
      </c>
      <c r="O454" s="94">
        <f>VLOOKUP(D454,A!B$1:L$1126,4,FALSE)</f>
        <v>0</v>
      </c>
      <c r="P454" s="10">
        <v>10</v>
      </c>
      <c r="Q454" s="10">
        <v>3.25</v>
      </c>
      <c r="R454" s="10">
        <f t="shared" si="71"/>
        <v>0</v>
      </c>
      <c r="S454" s="10">
        <f t="shared" si="72"/>
        <v>0</v>
      </c>
      <c r="T454" s="10" t="s">
        <v>162</v>
      </c>
      <c r="U454" s="145">
        <v>0.33</v>
      </c>
      <c r="V454" s="10" t="str">
        <f>VLOOKUP(D454,A!B$1:T$1125,16,FALSE)</f>
        <v/>
      </c>
      <c r="W454" s="10">
        <f t="shared" si="73"/>
        <v>0</v>
      </c>
      <c r="X454" s="29"/>
      <c r="Y454" s="29"/>
      <c r="Z454" s="29"/>
      <c r="AA454" s="29"/>
    </row>
    <row r="455" spans="1:86" s="3" customFormat="1" ht="13.5" hidden="1" customHeight="1" x14ac:dyDescent="0.25">
      <c r="A455" t="str">
        <f>IF(R455=0,"",COUNTIF(A$13:A454,"&gt;0")+1)</f>
        <v/>
      </c>
      <c r="B455" s="4"/>
      <c r="C455" s="5" t="s">
        <v>22</v>
      </c>
      <c r="D455" s="7" t="s">
        <v>1215</v>
      </c>
      <c r="E455" s="31"/>
      <c r="F455" s="31"/>
      <c r="G455" s="6" t="s">
        <v>1216</v>
      </c>
      <c r="H455" s="7">
        <f>VLOOKUP(D455,A!B$1:L$1126,3,FALSE)</f>
        <v>0</v>
      </c>
      <c r="I455" s="31">
        <f>VLOOKUP(D455,A!B$1:L$1126,3,FALSE)</f>
        <v>0</v>
      </c>
      <c r="J455" s="92"/>
      <c r="K455" s="91" t="str">
        <f>VLOOKUP(D455,A!B$1:L$1126,6,FALSE)</f>
        <v/>
      </c>
      <c r="L455" s="162"/>
      <c r="M455" s="41" t="s">
        <v>1217</v>
      </c>
      <c r="N455" s="94">
        <f>VLOOKUP(D455,A!B$1:L$1125,2,FALSE)</f>
        <v>0</v>
      </c>
      <c r="O455" s="94">
        <f>VLOOKUP(D455,A!B$1:L$1126,4,FALSE)</f>
        <v>0</v>
      </c>
      <c r="P455" s="10">
        <v>10</v>
      </c>
      <c r="Q455" s="10">
        <v>3.25</v>
      </c>
      <c r="R455" s="10">
        <f t="shared" si="71"/>
        <v>0</v>
      </c>
      <c r="S455" s="10">
        <f t="shared" si="72"/>
        <v>0</v>
      </c>
      <c r="T455" s="10" t="s">
        <v>162</v>
      </c>
      <c r="U455" s="145">
        <v>0.33</v>
      </c>
      <c r="V455" s="10" t="str">
        <f>VLOOKUP(D455,A!B$1:T$1125,16,FALSE)</f>
        <v/>
      </c>
      <c r="W455" s="10">
        <f t="shared" si="73"/>
        <v>0</v>
      </c>
      <c r="X455" s="29"/>
      <c r="Y455" s="29"/>
      <c r="Z455" s="29"/>
      <c r="AA455" s="29"/>
    </row>
    <row r="456" spans="1:86" s="3" customFormat="1" ht="13.5" customHeight="1" x14ac:dyDescent="0.25">
      <c r="A456" t="str">
        <f>IF(R456=0,"",COUNTIF(A$13:A455,"&gt;0")+1)</f>
        <v/>
      </c>
      <c r="B456" s="4"/>
      <c r="C456" s="5" t="s">
        <v>22</v>
      </c>
      <c r="D456" s="7" t="s">
        <v>201</v>
      </c>
      <c r="E456" s="31"/>
      <c r="F456" s="31"/>
      <c r="G456" s="6" t="s">
        <v>202</v>
      </c>
      <c r="H456" s="7">
        <f>VLOOKUP(D456,A!B$1:L$1126,3,FALSE)</f>
        <v>2</v>
      </c>
      <c r="I456" s="31">
        <f>VLOOKUP(D456,A!B$1:L$1126,3,FALSE)</f>
        <v>2</v>
      </c>
      <c r="J456" s="92"/>
      <c r="K456" s="91" t="str">
        <f>VLOOKUP(D456,A!B$1:L$1126,6,FALSE)</f>
        <v/>
      </c>
      <c r="L456" s="2"/>
      <c r="M456" s="43" t="s">
        <v>203</v>
      </c>
      <c r="N456" s="94" t="str">
        <f>VLOOKUP(D456,A!B$1:L$1125,2,FALSE)</f>
        <v>y</v>
      </c>
      <c r="O456" s="94">
        <f>VLOOKUP(D456,A!B$1:L$1126,4,FALSE)</f>
        <v>0</v>
      </c>
      <c r="P456" s="10">
        <v>10</v>
      </c>
      <c r="Q456" s="10">
        <v>3.25</v>
      </c>
      <c r="R456" s="10">
        <f t="shared" si="71"/>
        <v>0</v>
      </c>
      <c r="S456" s="10">
        <f t="shared" si="72"/>
        <v>0</v>
      </c>
      <c r="T456" s="10" t="s">
        <v>162</v>
      </c>
      <c r="U456" s="145">
        <v>0.33</v>
      </c>
      <c r="V456" s="10" t="str">
        <f>VLOOKUP(D456,A!B$1:T$1125,16,FALSE)</f>
        <v/>
      </c>
      <c r="W456" s="10">
        <f t="shared" si="73"/>
        <v>0</v>
      </c>
      <c r="X456" s="30"/>
      <c r="Y456" s="30"/>
      <c r="Z456" s="30"/>
      <c r="AA456" s="30"/>
      <c r="AB456" s="30"/>
      <c r="AC456" s="30"/>
      <c r="AD456" s="30"/>
      <c r="AE456" s="115"/>
      <c r="AF456" s="115"/>
      <c r="AG456" s="115"/>
      <c r="AH456" s="115"/>
      <c r="AI456" s="115"/>
      <c r="AJ456" s="115"/>
      <c r="AK456" s="115"/>
      <c r="AL456" s="115"/>
      <c r="AM456" s="115"/>
      <c r="AN456" s="115"/>
      <c r="AO456" s="115"/>
      <c r="AP456" s="115"/>
      <c r="AQ456" s="115"/>
      <c r="AR456" s="115"/>
      <c r="AS456" s="115"/>
      <c r="AT456" s="115"/>
      <c r="AU456" s="115"/>
      <c r="AV456" s="115"/>
      <c r="AW456" s="115"/>
      <c r="AX456" s="115"/>
      <c r="AY456" s="115"/>
      <c r="AZ456" s="115"/>
      <c r="BA456" s="115"/>
      <c r="BB456" s="115"/>
      <c r="BC456" s="115"/>
      <c r="BD456" s="115"/>
      <c r="BE456" s="115"/>
      <c r="BF456" s="115"/>
      <c r="BG456" s="115"/>
      <c r="BH456" s="115"/>
      <c r="BI456" s="115"/>
      <c r="BJ456" s="115"/>
      <c r="BK456" s="115"/>
      <c r="BL456" s="115"/>
      <c r="BM456" s="115"/>
      <c r="BN456" s="115"/>
      <c r="BO456" s="115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</row>
    <row r="457" spans="1:86" s="3" customFormat="1" ht="13.5" hidden="1" customHeight="1" x14ac:dyDescent="0.25">
      <c r="A457" t="str">
        <f>IF(R457=0,"",COUNTIF(A$13:A456,"&gt;0")+1)</f>
        <v/>
      </c>
      <c r="B457" s="4"/>
      <c r="C457" s="5" t="s">
        <v>22</v>
      </c>
      <c r="D457" s="7" t="s">
        <v>1218</v>
      </c>
      <c r="E457" s="31"/>
      <c r="F457" s="31"/>
      <c r="G457" s="6" t="s">
        <v>1219</v>
      </c>
      <c r="H457" s="7">
        <f>VLOOKUP(D457,A!B$1:L$1126,3,FALSE)</f>
        <v>0</v>
      </c>
      <c r="I457" s="31">
        <f>VLOOKUP(D457,A!B$1:L$1126,3,FALSE)</f>
        <v>0</v>
      </c>
      <c r="J457" s="92"/>
      <c r="K457" s="91" t="str">
        <f>VLOOKUP(D457,A!B$1:L$1126,6,FALSE)</f>
        <v/>
      </c>
      <c r="L457" s="162"/>
      <c r="M457" s="43" t="s">
        <v>1220</v>
      </c>
      <c r="N457" s="94">
        <f>VLOOKUP(D457,A!B$1:L$1125,2,FALSE)</f>
        <v>0</v>
      </c>
      <c r="O457" s="94">
        <f>VLOOKUP(D457,A!B$1:L$1126,4,FALSE)</f>
        <v>0</v>
      </c>
      <c r="P457" s="10">
        <v>10</v>
      </c>
      <c r="Q457" s="10">
        <v>3.25</v>
      </c>
      <c r="R457" s="10">
        <f t="shared" si="71"/>
        <v>0</v>
      </c>
      <c r="S457" s="10">
        <f t="shared" si="72"/>
        <v>0</v>
      </c>
      <c r="T457" s="10" t="s">
        <v>162</v>
      </c>
      <c r="U457" s="145">
        <v>0.33</v>
      </c>
      <c r="V457" s="10" t="str">
        <f>VLOOKUP(D457,A!B$1:T$1125,16,FALSE)</f>
        <v/>
      </c>
      <c r="W457" s="10">
        <f t="shared" si="73"/>
        <v>0</v>
      </c>
      <c r="X457" s="29"/>
      <c r="Y457" s="29"/>
      <c r="Z457" s="29"/>
      <c r="AA457" s="29"/>
    </row>
    <row r="458" spans="1:86" s="3" customFormat="1" ht="13.5" hidden="1" customHeight="1" x14ac:dyDescent="0.25">
      <c r="A458" t="str">
        <f>IF(R458=0,"",COUNTIF(A$13:A457,"&gt;0")+1)</f>
        <v/>
      </c>
      <c r="B458" s="4"/>
      <c r="C458" s="5" t="s">
        <v>22</v>
      </c>
      <c r="D458" s="7" t="s">
        <v>1221</v>
      </c>
      <c r="E458" s="31"/>
      <c r="F458" s="31"/>
      <c r="G458" s="6" t="s">
        <v>1222</v>
      </c>
      <c r="H458" s="7">
        <f>VLOOKUP(D458,A!B$1:L$1126,3,FALSE)</f>
        <v>0</v>
      </c>
      <c r="I458" s="31">
        <f>VLOOKUP(D458,A!B$1:L$1126,3,FALSE)</f>
        <v>0</v>
      </c>
      <c r="J458" s="92"/>
      <c r="K458" s="91" t="str">
        <f>VLOOKUP(D458,A!B$1:L$1126,6,FALSE)</f>
        <v/>
      </c>
      <c r="L458" s="162"/>
      <c r="M458" s="41" t="s">
        <v>1223</v>
      </c>
      <c r="N458" s="94">
        <f>VLOOKUP(D458,A!B$1:L$1125,2,FALSE)</f>
        <v>0</v>
      </c>
      <c r="O458" s="94">
        <f>VLOOKUP(D458,A!B$1:L$1126,4,FALSE)</f>
        <v>0</v>
      </c>
      <c r="P458" s="10">
        <v>10</v>
      </c>
      <c r="Q458" s="10">
        <v>3.25</v>
      </c>
      <c r="R458" s="10">
        <f>B458*P458</f>
        <v>0</v>
      </c>
      <c r="S458" s="10">
        <f>R458*Q458</f>
        <v>0</v>
      </c>
      <c r="T458" s="10" t="s">
        <v>162</v>
      </c>
      <c r="U458" s="145">
        <v>0.33</v>
      </c>
      <c r="V458" s="10" t="str">
        <f>VLOOKUP(D458,A!B$1:T$1125,16,FALSE)</f>
        <v/>
      </c>
      <c r="W458" s="10">
        <f>U458*B458</f>
        <v>0</v>
      </c>
      <c r="X458" s="29"/>
      <c r="Y458" s="29"/>
      <c r="Z458" s="29"/>
      <c r="AA458" s="29"/>
    </row>
    <row r="459" spans="1:86" s="3" customFormat="1" ht="13.5" customHeight="1" x14ac:dyDescent="0.25">
      <c r="A459" t="str">
        <f>IF(R459=0,"",COUNTIF(A$13:A458,"&gt;0")+1)</f>
        <v/>
      </c>
      <c r="B459" s="4"/>
      <c r="C459" s="5" t="s">
        <v>22</v>
      </c>
      <c r="D459" s="7" t="s">
        <v>1224</v>
      </c>
      <c r="E459" s="31"/>
      <c r="F459" s="31"/>
      <c r="G459" s="6" t="s">
        <v>354</v>
      </c>
      <c r="H459" s="7">
        <f>VLOOKUP(D459,A!B$1:L$1126,3,FALSE)</f>
        <v>2</v>
      </c>
      <c r="I459" s="31">
        <f>VLOOKUP(D459,A!B$1:L$1126,3,FALSE)</f>
        <v>2</v>
      </c>
      <c r="J459" s="92"/>
      <c r="K459" s="91" t="str">
        <f>VLOOKUP(D459,A!B$1:L$1126,6,FALSE)</f>
        <v/>
      </c>
      <c r="L459" s="2"/>
      <c r="M459" s="43" t="s">
        <v>355</v>
      </c>
      <c r="N459" s="94" t="str">
        <f>VLOOKUP(D459,A!B$1:L$1125,2,FALSE)</f>
        <v>y</v>
      </c>
      <c r="O459" s="94">
        <f>VLOOKUP(D459,A!B$1:L$1126,4,FALSE)</f>
        <v>1</v>
      </c>
      <c r="P459" s="10">
        <v>10</v>
      </c>
      <c r="Q459" s="10">
        <v>3.25</v>
      </c>
      <c r="R459" s="10">
        <f t="shared" ref="R459:R498" si="74">B459*P459</f>
        <v>0</v>
      </c>
      <c r="S459" s="10">
        <f t="shared" ref="S459:S498" si="75">R459*Q459</f>
        <v>0</v>
      </c>
      <c r="T459" s="10" t="s">
        <v>162</v>
      </c>
      <c r="U459" s="145">
        <v>0.33</v>
      </c>
      <c r="V459" s="10" t="str">
        <f>VLOOKUP(D459,A!B$1:T$1125,16,FALSE)</f>
        <v/>
      </c>
      <c r="W459" s="10">
        <f t="shared" ref="W459:W498" si="76">U459*B459</f>
        <v>0</v>
      </c>
      <c r="X459" s="30"/>
      <c r="Y459" s="30"/>
      <c r="Z459" s="30"/>
      <c r="AA459" s="30"/>
      <c r="AB459" s="30"/>
      <c r="AC459" s="30"/>
      <c r="AD459" s="30"/>
      <c r="AE459" s="115"/>
      <c r="AF459" s="115"/>
      <c r="AG459" s="115"/>
      <c r="AH459" s="115"/>
      <c r="AI459" s="115"/>
      <c r="AJ459" s="115"/>
      <c r="AK459" s="115"/>
      <c r="AL459" s="115"/>
      <c r="AM459" s="115"/>
      <c r="AN459" s="115"/>
      <c r="AO459" s="115"/>
      <c r="AP459" s="115"/>
      <c r="AQ459" s="115"/>
      <c r="AR459" s="115"/>
      <c r="AS459" s="115"/>
      <c r="AT459" s="115"/>
      <c r="AU459" s="115"/>
      <c r="AV459" s="115"/>
      <c r="AW459" s="115"/>
      <c r="AX459" s="115"/>
      <c r="AY459" s="115"/>
      <c r="AZ459" s="115"/>
      <c r="BA459" s="115"/>
      <c r="BB459" s="115"/>
      <c r="BC459" s="115"/>
      <c r="BD459" s="115"/>
      <c r="BE459" s="115"/>
      <c r="BF459" s="115"/>
      <c r="BG459" s="115"/>
      <c r="BH459" s="115"/>
      <c r="BI459" s="115"/>
      <c r="BJ459" s="115"/>
      <c r="BK459" s="115"/>
      <c r="BL459" s="115"/>
      <c r="BM459" s="115"/>
      <c r="BN459" s="115"/>
      <c r="BO459" s="115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</row>
    <row r="460" spans="1:86" s="3" customFormat="1" ht="13.5" hidden="1" customHeight="1" x14ac:dyDescent="0.25">
      <c r="A460" t="str">
        <f>IF(R460=0,"",COUNTIF(A$13:A459,"&gt;0")+1)</f>
        <v/>
      </c>
      <c r="B460" s="4"/>
      <c r="C460" s="5" t="s">
        <v>22</v>
      </c>
      <c r="D460" s="7" t="s">
        <v>1226</v>
      </c>
      <c r="E460" s="31"/>
      <c r="F460" s="31"/>
      <c r="G460" s="6" t="s">
        <v>1227</v>
      </c>
      <c r="H460" s="7">
        <f>VLOOKUP(D460,A!B$1:L$1126,3,FALSE)</f>
        <v>0</v>
      </c>
      <c r="I460" s="31">
        <f>VLOOKUP(D460,A!B$1:L$1126,3,FALSE)</f>
        <v>0</v>
      </c>
      <c r="J460" s="92"/>
      <c r="K460" s="91" t="str">
        <f>VLOOKUP(D460,A!B$1:L$1126,6,FALSE)</f>
        <v/>
      </c>
      <c r="L460" s="162"/>
      <c r="M460" s="41" t="s">
        <v>1228</v>
      </c>
      <c r="N460" s="94">
        <f>VLOOKUP(D460,A!B$1:L$1125,2,FALSE)</f>
        <v>0</v>
      </c>
      <c r="O460" s="94">
        <f>VLOOKUP(D460,A!B$1:L$1126,4,FALSE)</f>
        <v>0</v>
      </c>
      <c r="P460" s="10">
        <v>10</v>
      </c>
      <c r="Q460" s="10">
        <v>3.25</v>
      </c>
      <c r="R460" s="10">
        <f t="shared" si="74"/>
        <v>0</v>
      </c>
      <c r="S460" s="10">
        <f t="shared" si="75"/>
        <v>0</v>
      </c>
      <c r="T460" s="10" t="s">
        <v>162</v>
      </c>
      <c r="U460" s="145">
        <v>0.33</v>
      </c>
      <c r="V460" s="10" t="str">
        <f>VLOOKUP(D460,A!B$1:T$1125,16,FALSE)</f>
        <v/>
      </c>
      <c r="W460" s="10">
        <f t="shared" si="76"/>
        <v>0</v>
      </c>
      <c r="X460" s="29"/>
      <c r="Y460" s="29"/>
      <c r="Z460" s="29"/>
      <c r="AA460" s="29"/>
    </row>
    <row r="461" spans="1:86" s="3" customFormat="1" ht="13.5" hidden="1" customHeight="1" x14ac:dyDescent="0.25">
      <c r="A461" t="str">
        <f>IF(R461=0,"",COUNTIF(A$13:A460,"&gt;0")+1)</f>
        <v/>
      </c>
      <c r="B461" s="4"/>
      <c r="C461" s="5" t="s">
        <v>22</v>
      </c>
      <c r="D461" s="7" t="s">
        <v>1229</v>
      </c>
      <c r="E461" s="31"/>
      <c r="F461" s="31"/>
      <c r="G461" s="6" t="s">
        <v>1230</v>
      </c>
      <c r="H461" s="7">
        <f>VLOOKUP(D461,A!B$1:L$1126,3,FALSE)</f>
        <v>0</v>
      </c>
      <c r="I461" s="31">
        <f>VLOOKUP(D461,A!B$1:L$1126,3,FALSE)</f>
        <v>0</v>
      </c>
      <c r="J461" s="92"/>
      <c r="K461" s="91" t="str">
        <f>VLOOKUP(D461,A!B$1:L$1126,6,FALSE)</f>
        <v/>
      </c>
      <c r="L461" s="162"/>
      <c r="M461" s="41" t="s">
        <v>1228</v>
      </c>
      <c r="N461" s="94">
        <f>VLOOKUP(D461,A!B$1:L$1125,2,FALSE)</f>
        <v>0</v>
      </c>
      <c r="O461" s="94">
        <f>VLOOKUP(D461,A!B$1:L$1126,4,FALSE)</f>
        <v>0</v>
      </c>
      <c r="P461" s="10">
        <v>10</v>
      </c>
      <c r="Q461" s="10">
        <v>3.25</v>
      </c>
      <c r="R461" s="10">
        <f t="shared" si="74"/>
        <v>0</v>
      </c>
      <c r="S461" s="10">
        <f t="shared" si="75"/>
        <v>0</v>
      </c>
      <c r="T461" s="10" t="s">
        <v>162</v>
      </c>
      <c r="U461" s="145">
        <v>0.33</v>
      </c>
      <c r="V461" s="10" t="str">
        <f>VLOOKUP(D461,A!B$1:T$1125,16,FALSE)</f>
        <v/>
      </c>
      <c r="W461" s="10">
        <f t="shared" si="76"/>
        <v>0</v>
      </c>
      <c r="X461" s="29"/>
      <c r="Y461" s="29"/>
      <c r="Z461" s="29"/>
      <c r="AA461" s="29"/>
    </row>
    <row r="462" spans="1:86" s="3" customFormat="1" ht="13.5" hidden="1" customHeight="1" x14ac:dyDescent="0.25">
      <c r="A462" t="str">
        <f>IF(R462=0,"",COUNTIF(A$13:A461,"&gt;0")+1)</f>
        <v/>
      </c>
      <c r="B462" s="4"/>
      <c r="C462" s="5" t="s">
        <v>22</v>
      </c>
      <c r="D462" s="7" t="s">
        <v>1232</v>
      </c>
      <c r="E462" s="31"/>
      <c r="F462" s="31"/>
      <c r="G462" s="6" t="s">
        <v>1233</v>
      </c>
      <c r="H462" s="7">
        <f>VLOOKUP(D462,A!B$1:L$1126,3,FALSE)</f>
        <v>0</v>
      </c>
      <c r="I462" s="31">
        <f>VLOOKUP(D462,A!B$1:L$1126,3,FALSE)</f>
        <v>0</v>
      </c>
      <c r="J462" s="92"/>
      <c r="K462" s="91" t="str">
        <f>VLOOKUP(D462,A!B$1:L$1126,6,FALSE)</f>
        <v/>
      </c>
      <c r="L462" s="162"/>
      <c r="M462" s="41" t="s">
        <v>1228</v>
      </c>
      <c r="N462" s="94">
        <f>VLOOKUP(D462,A!B$1:L$1125,2,FALSE)</f>
        <v>0</v>
      </c>
      <c r="O462" s="94">
        <f>VLOOKUP(D462,A!B$1:L$1126,4,FALSE)</f>
        <v>0</v>
      </c>
      <c r="P462" s="10">
        <v>10</v>
      </c>
      <c r="Q462" s="10">
        <v>3.25</v>
      </c>
      <c r="R462" s="10">
        <f t="shared" si="74"/>
        <v>0</v>
      </c>
      <c r="S462" s="10">
        <f t="shared" si="75"/>
        <v>0</v>
      </c>
      <c r="T462" s="10" t="s">
        <v>162</v>
      </c>
      <c r="U462" s="145">
        <v>0.33</v>
      </c>
      <c r="V462" s="10" t="str">
        <f>VLOOKUP(D462,A!B$1:T$1125,16,FALSE)</f>
        <v/>
      </c>
      <c r="W462" s="10">
        <f t="shared" si="76"/>
        <v>0</v>
      </c>
      <c r="X462" s="29"/>
      <c r="Y462" s="29"/>
      <c r="Z462" s="29"/>
      <c r="AA462" s="29"/>
    </row>
    <row r="463" spans="1:86" s="3" customFormat="1" ht="13.5" hidden="1" customHeight="1" x14ac:dyDescent="0.25">
      <c r="A463" t="str">
        <f>IF(R463=0,"",COUNTIF(A$13:A462,"&gt;0")+1)</f>
        <v/>
      </c>
      <c r="B463" s="4"/>
      <c r="C463" s="5" t="s">
        <v>22</v>
      </c>
      <c r="D463" s="7" t="s">
        <v>1234</v>
      </c>
      <c r="E463" s="31"/>
      <c r="F463" s="31"/>
      <c r="G463" s="6" t="s">
        <v>1235</v>
      </c>
      <c r="H463" s="7">
        <f>VLOOKUP(D463,A!B$1:L$1126,3,FALSE)</f>
        <v>0</v>
      </c>
      <c r="I463" s="31">
        <f>VLOOKUP(D463,A!B$1:L$1126,3,FALSE)</f>
        <v>0</v>
      </c>
      <c r="J463" s="92"/>
      <c r="K463" s="91" t="str">
        <f>VLOOKUP(D463,A!B$1:L$1126,6,FALSE)</f>
        <v/>
      </c>
      <c r="L463" s="162"/>
      <c r="M463" s="41" t="s">
        <v>1228</v>
      </c>
      <c r="N463" s="94">
        <f>VLOOKUP(D463,A!B$1:L$1125,2,FALSE)</f>
        <v>0</v>
      </c>
      <c r="O463" s="94">
        <f>VLOOKUP(D463,A!B$1:L$1126,4,FALSE)</f>
        <v>0</v>
      </c>
      <c r="P463" s="10">
        <v>10</v>
      </c>
      <c r="Q463" s="10">
        <v>3.25</v>
      </c>
      <c r="R463" s="10">
        <f t="shared" si="74"/>
        <v>0</v>
      </c>
      <c r="S463" s="10">
        <f t="shared" si="75"/>
        <v>0</v>
      </c>
      <c r="T463" s="10" t="s">
        <v>162</v>
      </c>
      <c r="U463" s="145">
        <v>0.33</v>
      </c>
      <c r="V463" s="10" t="str">
        <f>VLOOKUP(D463,A!B$1:T$1125,16,FALSE)</f>
        <v/>
      </c>
      <c r="W463" s="10">
        <f t="shared" si="76"/>
        <v>0</v>
      </c>
      <c r="X463" s="29"/>
      <c r="Y463" s="29"/>
      <c r="Z463" s="29"/>
      <c r="AA463" s="29"/>
    </row>
    <row r="464" spans="1:86" s="3" customFormat="1" ht="13.5" hidden="1" customHeight="1" x14ac:dyDescent="0.25">
      <c r="A464" t="str">
        <f>IF(R464=0,"",COUNTIF(A$13:A463,"&gt;0")+1)</f>
        <v/>
      </c>
      <c r="B464" s="4"/>
      <c r="C464" s="5" t="s">
        <v>22</v>
      </c>
      <c r="D464" s="7" t="s">
        <v>1237</v>
      </c>
      <c r="E464" s="31"/>
      <c r="F464" s="31"/>
      <c r="G464" s="6" t="s">
        <v>1235</v>
      </c>
      <c r="H464" s="7">
        <f>VLOOKUP(D464,A!B$1:L$1126,3,FALSE)</f>
        <v>0</v>
      </c>
      <c r="I464" s="31">
        <f>VLOOKUP(D464,A!B$1:L$1126,3,FALSE)</f>
        <v>0</v>
      </c>
      <c r="J464" s="92"/>
      <c r="K464" s="91" t="str">
        <f>VLOOKUP(D464,A!B$1:L$1126,6,FALSE)</f>
        <v/>
      </c>
      <c r="L464" s="162"/>
      <c r="M464" s="41" t="s">
        <v>1228</v>
      </c>
      <c r="N464" s="94">
        <f>VLOOKUP(D464,A!B$1:L$1125,2,FALSE)</f>
        <v>0</v>
      </c>
      <c r="O464" s="94">
        <f>VLOOKUP(D464,A!B$1:L$1126,4,FALSE)</f>
        <v>0</v>
      </c>
      <c r="P464" s="10">
        <v>10</v>
      </c>
      <c r="Q464" s="10">
        <v>3.25</v>
      </c>
      <c r="R464" s="10">
        <f t="shared" si="74"/>
        <v>0</v>
      </c>
      <c r="S464" s="10">
        <f t="shared" si="75"/>
        <v>0</v>
      </c>
      <c r="T464" s="10" t="s">
        <v>162</v>
      </c>
      <c r="U464" s="145">
        <v>0.33</v>
      </c>
      <c r="V464" s="10" t="str">
        <f>VLOOKUP(D464,A!B$1:T$1125,16,FALSE)</f>
        <v/>
      </c>
      <c r="W464" s="10">
        <f t="shared" si="76"/>
        <v>0</v>
      </c>
      <c r="X464" s="29"/>
      <c r="Y464" s="29"/>
      <c r="Z464" s="29"/>
      <c r="AA464" s="29"/>
    </row>
    <row r="465" spans="1:86" s="3" customFormat="1" ht="13.5" hidden="1" customHeight="1" x14ac:dyDescent="0.25">
      <c r="A465" t="str">
        <f>IF(R465=0,"",COUNTIF(A$13:A464,"&gt;0")+1)</f>
        <v/>
      </c>
      <c r="B465" s="4"/>
      <c r="C465" s="5" t="s">
        <v>22</v>
      </c>
      <c r="D465" s="7" t="s">
        <v>1239</v>
      </c>
      <c r="E465" s="31"/>
      <c r="F465" s="31"/>
      <c r="G465" s="6" t="s">
        <v>1240</v>
      </c>
      <c r="H465" s="7">
        <f>VLOOKUP(D465,A!B$1:L$1126,3,FALSE)</f>
        <v>0</v>
      </c>
      <c r="I465" s="31">
        <f>VLOOKUP(D465,A!B$1:L$1126,3,FALSE)</f>
        <v>0</v>
      </c>
      <c r="J465" s="92"/>
      <c r="K465" s="91" t="str">
        <f>VLOOKUP(D465,A!B$1:L$1126,6,FALSE)</f>
        <v/>
      </c>
      <c r="L465" s="162"/>
      <c r="M465" s="41" t="s">
        <v>1228</v>
      </c>
      <c r="N465" s="94">
        <f>VLOOKUP(D465,A!B$1:L$1125,2,FALSE)</f>
        <v>0</v>
      </c>
      <c r="O465" s="94">
        <f>VLOOKUP(D465,A!B$1:L$1126,4,FALSE)</f>
        <v>0</v>
      </c>
      <c r="P465" s="10">
        <v>10</v>
      </c>
      <c r="Q465" s="10">
        <v>3.25</v>
      </c>
      <c r="R465" s="10">
        <f t="shared" si="74"/>
        <v>0</v>
      </c>
      <c r="S465" s="10">
        <f t="shared" si="75"/>
        <v>0</v>
      </c>
      <c r="T465" s="10" t="s">
        <v>162</v>
      </c>
      <c r="U465" s="145">
        <v>0.33</v>
      </c>
      <c r="V465" s="10" t="str">
        <f>VLOOKUP(D465,A!B$1:T$1125,16,FALSE)</f>
        <v/>
      </c>
      <c r="W465" s="10">
        <f t="shared" si="76"/>
        <v>0</v>
      </c>
      <c r="X465" s="29"/>
      <c r="Y465" s="29"/>
      <c r="Z465" s="29"/>
      <c r="AA465" s="29"/>
    </row>
    <row r="466" spans="1:86" s="3" customFormat="1" ht="13.5" hidden="1" customHeight="1" x14ac:dyDescent="0.25">
      <c r="A466" t="str">
        <f>IF(R466=0,"",COUNTIF(A$13:A465,"&gt;0")+1)</f>
        <v/>
      </c>
      <c r="B466" s="4"/>
      <c r="C466" s="5" t="s">
        <v>22</v>
      </c>
      <c r="D466" s="7" t="s">
        <v>1242</v>
      </c>
      <c r="E466" s="31"/>
      <c r="F466" s="31"/>
      <c r="G466" s="6" t="s">
        <v>1243</v>
      </c>
      <c r="H466" s="7">
        <f>VLOOKUP(D466,A!B$1:L$1126,3,FALSE)</f>
        <v>0</v>
      </c>
      <c r="I466" s="31">
        <f>VLOOKUP(D466,A!B$1:L$1126,3,FALSE)</f>
        <v>0</v>
      </c>
      <c r="J466" s="92"/>
      <c r="K466" s="91" t="str">
        <f>VLOOKUP(D466,A!B$1:L$1126,6,FALSE)</f>
        <v/>
      </c>
      <c r="L466" s="162"/>
      <c r="M466" s="41" t="s">
        <v>1228</v>
      </c>
      <c r="N466" s="94">
        <f>VLOOKUP(D466,A!B$1:L$1125,2,FALSE)</f>
        <v>0</v>
      </c>
      <c r="O466" s="94">
        <f>VLOOKUP(D466,A!B$1:L$1126,4,FALSE)</f>
        <v>0</v>
      </c>
      <c r="P466" s="10">
        <v>10</v>
      </c>
      <c r="Q466" s="10">
        <v>3.25</v>
      </c>
      <c r="R466" s="10">
        <f t="shared" si="74"/>
        <v>0</v>
      </c>
      <c r="S466" s="10">
        <f t="shared" si="75"/>
        <v>0</v>
      </c>
      <c r="T466" s="10" t="s">
        <v>162</v>
      </c>
      <c r="U466" s="145">
        <v>0.33</v>
      </c>
      <c r="V466" s="10" t="str">
        <f>VLOOKUP(D466,A!B$1:T$1125,16,FALSE)</f>
        <v/>
      </c>
      <c r="W466" s="10">
        <f t="shared" si="76"/>
        <v>0</v>
      </c>
      <c r="X466" s="29"/>
      <c r="Y466" s="29"/>
      <c r="Z466" s="29"/>
      <c r="AA466" s="29"/>
    </row>
    <row r="467" spans="1:86" s="3" customFormat="1" ht="13.5" customHeight="1" x14ac:dyDescent="0.25">
      <c r="A467" t="str">
        <f>IF(R467=0,"",COUNTIF(A$13:A466,"&gt;0")+1)</f>
        <v/>
      </c>
      <c r="B467" s="4"/>
      <c r="C467" s="5" t="s">
        <v>22</v>
      </c>
      <c r="D467" s="7" t="s">
        <v>1823</v>
      </c>
      <c r="E467" s="31"/>
      <c r="F467" s="31"/>
      <c r="G467" s="233" t="s">
        <v>1828</v>
      </c>
      <c r="H467" s="7">
        <f>VLOOKUP(D467,A!B$1:L$1126,3,FALSE)</f>
        <v>1</v>
      </c>
      <c r="I467" s="31">
        <f>VLOOKUP(D467,A!B$1:L$1126,3,FALSE)</f>
        <v>1</v>
      </c>
      <c r="J467" s="92"/>
      <c r="K467" s="91" t="str">
        <f>VLOOKUP(D467,A!B$1:L$1126,6,FALSE)</f>
        <v/>
      </c>
      <c r="L467" s="230"/>
      <c r="M467" s="41" t="s">
        <v>1829</v>
      </c>
      <c r="N467" s="94" t="str">
        <f>VLOOKUP(D467,A!B$1:L$1125,2,FALSE)</f>
        <v>y</v>
      </c>
      <c r="O467" s="94">
        <f>VLOOKUP(D467,A!B$1:L$1126,4,FALSE)</f>
        <v>0</v>
      </c>
      <c r="P467" s="10"/>
      <c r="Q467" s="10"/>
      <c r="R467" s="10"/>
      <c r="S467" s="10"/>
      <c r="T467" s="10"/>
      <c r="U467" s="145"/>
      <c r="V467" s="10"/>
      <c r="W467" s="10"/>
      <c r="X467" s="29"/>
      <c r="Y467" s="29"/>
      <c r="Z467" s="29"/>
      <c r="AA467" s="29"/>
    </row>
    <row r="468" spans="1:86" s="3" customFormat="1" ht="13.5" hidden="1" customHeight="1" x14ac:dyDescent="0.25">
      <c r="A468" t="str">
        <f>IF(R468=0,"",COUNTIF(A$13:A467,"&gt;0")+1)</f>
        <v/>
      </c>
      <c r="B468" s="4"/>
      <c r="C468" s="5" t="s">
        <v>22</v>
      </c>
      <c r="D468" s="7" t="s">
        <v>1245</v>
      </c>
      <c r="E468" s="31"/>
      <c r="F468" s="31"/>
      <c r="G468" s="6" t="s">
        <v>1246</v>
      </c>
      <c r="H468" s="7">
        <f>VLOOKUP(D468,A!B$1:L$1126,3,FALSE)</f>
        <v>0</v>
      </c>
      <c r="I468" s="31">
        <f>VLOOKUP(D468,A!B$1:L$1126,3,FALSE)</f>
        <v>0</v>
      </c>
      <c r="J468" s="92"/>
      <c r="K468" s="91" t="str">
        <f>VLOOKUP(D468,A!B$1:L$1126,6,FALSE)</f>
        <v/>
      </c>
      <c r="L468" s="162"/>
      <c r="M468" s="43" t="s">
        <v>1247</v>
      </c>
      <c r="N468" s="94">
        <f>VLOOKUP(D468,A!B$1:L$1125,2,FALSE)</f>
        <v>0</v>
      </c>
      <c r="O468" s="94">
        <f>VLOOKUP(D468,A!B$1:L$1126,4,FALSE)</f>
        <v>0</v>
      </c>
      <c r="P468" s="10">
        <v>10</v>
      </c>
      <c r="Q468" s="10">
        <v>3.25</v>
      </c>
      <c r="R468" s="10">
        <f t="shared" si="74"/>
        <v>0</v>
      </c>
      <c r="S468" s="10">
        <f t="shared" si="75"/>
        <v>0</v>
      </c>
      <c r="T468" s="10" t="s">
        <v>162</v>
      </c>
      <c r="U468" s="145">
        <v>0.33</v>
      </c>
      <c r="V468" s="10" t="str">
        <f>VLOOKUP(D468,A!B$1:T$1125,16,FALSE)</f>
        <v/>
      </c>
      <c r="W468" s="10">
        <f t="shared" si="76"/>
        <v>0</v>
      </c>
      <c r="X468" s="29"/>
      <c r="Y468" s="29"/>
      <c r="Z468" s="29"/>
      <c r="AA468" s="29"/>
    </row>
    <row r="469" spans="1:86" s="3" customFormat="1" ht="13.5" hidden="1" customHeight="1" x14ac:dyDescent="0.25">
      <c r="A469" t="str">
        <f>IF(R469=0,"",COUNTIF(A$13:A468,"&gt;0")+1)</f>
        <v/>
      </c>
      <c r="B469" s="4"/>
      <c r="C469" s="5" t="s">
        <v>22</v>
      </c>
      <c r="D469" s="7" t="s">
        <v>1248</v>
      </c>
      <c r="E469" s="31"/>
      <c r="F469" s="31"/>
      <c r="G469" s="6" t="s">
        <v>1249</v>
      </c>
      <c r="H469" s="7">
        <f>VLOOKUP(D469,A!B$1:L$1126,3,FALSE)</f>
        <v>0</v>
      </c>
      <c r="I469" s="31">
        <f>VLOOKUP(D469,A!B$1:L$1126,3,FALSE)</f>
        <v>0</v>
      </c>
      <c r="J469" s="92"/>
      <c r="K469" s="91" t="str">
        <f>VLOOKUP(D469,A!B$1:L$1126,6,FALSE)</f>
        <v/>
      </c>
      <c r="L469" s="162"/>
      <c r="M469" s="43" t="s">
        <v>1250</v>
      </c>
      <c r="N469" s="94">
        <f>VLOOKUP(D469,A!B$1:L$1125,2,FALSE)</f>
        <v>0</v>
      </c>
      <c r="O469" s="94">
        <f>VLOOKUP(D469,A!B$1:L$1126,4,FALSE)</f>
        <v>0</v>
      </c>
      <c r="P469" s="10">
        <v>10</v>
      </c>
      <c r="Q469" s="10">
        <v>3.25</v>
      </c>
      <c r="R469" s="10">
        <f t="shared" si="74"/>
        <v>0</v>
      </c>
      <c r="S469" s="10">
        <f t="shared" si="75"/>
        <v>0</v>
      </c>
      <c r="T469" s="10" t="s">
        <v>162</v>
      </c>
      <c r="U469" s="145">
        <v>0.33</v>
      </c>
      <c r="V469" s="10" t="str">
        <f>VLOOKUP(D469,A!B$1:T$1125,16,FALSE)</f>
        <v/>
      </c>
      <c r="W469" s="10">
        <f t="shared" si="76"/>
        <v>0</v>
      </c>
      <c r="X469" s="29"/>
      <c r="Y469" s="29"/>
      <c r="Z469" s="29"/>
      <c r="AA469" s="29"/>
    </row>
    <row r="470" spans="1:86" s="1" customFormat="1" ht="13.5" hidden="1" customHeight="1" x14ac:dyDescent="0.25">
      <c r="A470" t="str">
        <f>IF(R470=0,"",COUNTIF(A$13:A469,"&gt;0")+1)</f>
        <v/>
      </c>
      <c r="B470" s="4"/>
      <c r="C470" s="5" t="s">
        <v>22</v>
      </c>
      <c r="D470" s="7" t="s">
        <v>1251</v>
      </c>
      <c r="E470" s="31"/>
      <c r="F470" s="31"/>
      <c r="G470" s="6" t="s">
        <v>1252</v>
      </c>
      <c r="H470" s="7">
        <f>VLOOKUP(D470,A!B$1:L$1126,3,FALSE)</f>
        <v>0</v>
      </c>
      <c r="I470" s="31">
        <f>VLOOKUP(D470,A!B$1:L$1126,3,FALSE)</f>
        <v>0</v>
      </c>
      <c r="J470" s="92"/>
      <c r="K470" s="91" t="str">
        <f>VLOOKUP(D470,A!B$1:L$1126,6,FALSE)</f>
        <v/>
      </c>
      <c r="L470" s="162"/>
      <c r="M470" s="43" t="s">
        <v>1253</v>
      </c>
      <c r="N470" s="94">
        <f>VLOOKUP(D470,A!B$1:L$1125,2,FALSE)</f>
        <v>0</v>
      </c>
      <c r="O470" s="94">
        <f>VLOOKUP(D470,A!B$1:L$1126,4,FALSE)</f>
        <v>0</v>
      </c>
      <c r="P470" s="10">
        <v>10</v>
      </c>
      <c r="Q470" s="10">
        <v>3.25</v>
      </c>
      <c r="R470" s="10">
        <f t="shared" si="74"/>
        <v>0</v>
      </c>
      <c r="S470" s="10">
        <f t="shared" si="75"/>
        <v>0</v>
      </c>
      <c r="T470" s="10" t="s">
        <v>162</v>
      </c>
      <c r="U470" s="145">
        <v>0.33</v>
      </c>
      <c r="V470" s="10" t="str">
        <f>VLOOKUP(D470,A!B$1:T$1125,16,FALSE)</f>
        <v/>
      </c>
      <c r="W470" s="10">
        <f t="shared" si="76"/>
        <v>0</v>
      </c>
      <c r="X470" s="29"/>
      <c r="Y470" s="29"/>
      <c r="Z470" s="29"/>
      <c r="AA470" s="29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</row>
    <row r="471" spans="1:86" s="3" customFormat="1" ht="13.5" hidden="1" customHeight="1" x14ac:dyDescent="0.25">
      <c r="A471" t="str">
        <f>IF(R471=0,"",COUNTIF(A$13:A470,"&gt;0")+1)</f>
        <v/>
      </c>
      <c r="B471" s="4"/>
      <c r="C471" s="5" t="s">
        <v>22</v>
      </c>
      <c r="D471" s="7" t="s">
        <v>1254</v>
      </c>
      <c r="E471" s="31"/>
      <c r="F471" s="31"/>
      <c r="G471" s="6" t="s">
        <v>1255</v>
      </c>
      <c r="H471" s="7">
        <f>VLOOKUP(D471,A!B$1:L$1126,3,FALSE)</f>
        <v>0</v>
      </c>
      <c r="I471" s="31">
        <f>VLOOKUP(D471,A!B$1:L$1126,3,FALSE)</f>
        <v>0</v>
      </c>
      <c r="J471" s="92"/>
      <c r="K471" s="91" t="str">
        <f>VLOOKUP(D471,A!B$1:L$1126,6,FALSE)</f>
        <v/>
      </c>
      <c r="L471" s="162"/>
      <c r="M471" s="41" t="s">
        <v>1256</v>
      </c>
      <c r="N471" s="94">
        <f>VLOOKUP(D471,A!B$1:L$1125,2,FALSE)</f>
        <v>0</v>
      </c>
      <c r="O471" s="94">
        <f>VLOOKUP(D471,A!B$1:L$1126,4,FALSE)</f>
        <v>0</v>
      </c>
      <c r="P471" s="10">
        <v>10</v>
      </c>
      <c r="Q471" s="10">
        <v>3.25</v>
      </c>
      <c r="R471" s="10">
        <f t="shared" si="74"/>
        <v>0</v>
      </c>
      <c r="S471" s="10">
        <f t="shared" si="75"/>
        <v>0</v>
      </c>
      <c r="T471" s="10" t="s">
        <v>162</v>
      </c>
      <c r="U471" s="145">
        <v>0.33</v>
      </c>
      <c r="V471" s="10" t="str">
        <f>VLOOKUP(D471,A!B$1:T$1125,16,FALSE)</f>
        <v/>
      </c>
      <c r="W471" s="10">
        <f t="shared" si="76"/>
        <v>0</v>
      </c>
      <c r="X471" s="29"/>
      <c r="Y471" s="29"/>
      <c r="Z471" s="29"/>
      <c r="AA471" s="29"/>
    </row>
    <row r="472" spans="1:86" s="3" customFormat="1" ht="13.5" hidden="1" customHeight="1" x14ac:dyDescent="0.25">
      <c r="A472" t="str">
        <f>IF(R472=0,"",COUNTIF(A$13:A471,"&gt;0")+1)</f>
        <v/>
      </c>
      <c r="B472" s="4"/>
      <c r="C472" s="5" t="s">
        <v>22</v>
      </c>
      <c r="D472" s="7" t="s">
        <v>1257</v>
      </c>
      <c r="E472" s="31"/>
      <c r="F472" s="31"/>
      <c r="G472" s="6" t="s">
        <v>1258</v>
      </c>
      <c r="H472" s="7">
        <f>VLOOKUP(D472,A!B$1:L$1126,3,FALSE)</f>
        <v>0</v>
      </c>
      <c r="I472" s="31">
        <f>VLOOKUP(D472,A!B$1:L$1126,3,FALSE)</f>
        <v>0</v>
      </c>
      <c r="J472" s="92"/>
      <c r="K472" s="91" t="str">
        <f>VLOOKUP(D472,A!B$1:L$1126,6,FALSE)</f>
        <v/>
      </c>
      <c r="L472" s="162"/>
      <c r="M472" s="41" t="s">
        <v>1259</v>
      </c>
      <c r="N472" s="94">
        <f>VLOOKUP(D472,A!B$1:L$1125,2,FALSE)</f>
        <v>0</v>
      </c>
      <c r="O472" s="94">
        <f>VLOOKUP(D472,A!B$1:L$1126,4,FALSE)</f>
        <v>0</v>
      </c>
      <c r="P472" s="10">
        <v>10</v>
      </c>
      <c r="Q472" s="10">
        <v>3.25</v>
      </c>
      <c r="R472" s="10">
        <f t="shared" si="74"/>
        <v>0</v>
      </c>
      <c r="S472" s="10">
        <f t="shared" si="75"/>
        <v>0</v>
      </c>
      <c r="T472" s="10" t="s">
        <v>162</v>
      </c>
      <c r="U472" s="145">
        <v>0.33</v>
      </c>
      <c r="V472" s="10" t="str">
        <f>VLOOKUP(D472,A!B$1:T$1125,16,FALSE)</f>
        <v/>
      </c>
      <c r="W472" s="10">
        <f t="shared" si="76"/>
        <v>0</v>
      </c>
      <c r="X472" s="29"/>
      <c r="Y472" s="29"/>
      <c r="Z472" s="29"/>
      <c r="AA472" s="29"/>
    </row>
    <row r="473" spans="1:86" s="3" customFormat="1" ht="13.5" hidden="1" customHeight="1" x14ac:dyDescent="0.25">
      <c r="A473" t="str">
        <f>IF(R473=0,"",COUNTIF(A$13:A472,"&gt;0")+1)</f>
        <v/>
      </c>
      <c r="B473" s="4"/>
      <c r="C473" s="5" t="s">
        <v>22</v>
      </c>
      <c r="D473" s="7" t="s">
        <v>1260</v>
      </c>
      <c r="E473" s="31"/>
      <c r="F473" s="31"/>
      <c r="G473" s="6" t="s">
        <v>1261</v>
      </c>
      <c r="H473" s="7">
        <f>VLOOKUP(D473,A!B$1:L$1126,3,FALSE)</f>
        <v>0</v>
      </c>
      <c r="I473" s="31">
        <f>VLOOKUP(D473,A!B$1:L$1126,3,FALSE)</f>
        <v>0</v>
      </c>
      <c r="J473" s="92"/>
      <c r="K473" s="91" t="str">
        <f>VLOOKUP(D473,A!B$1:L$1126,6,FALSE)</f>
        <v/>
      </c>
      <c r="L473" s="162"/>
      <c r="M473" s="41" t="s">
        <v>1262</v>
      </c>
      <c r="N473" s="94">
        <f>VLOOKUP(D473,A!B$1:L$1125,2,FALSE)</f>
        <v>0</v>
      </c>
      <c r="O473" s="94">
        <f>VLOOKUP(D473,A!B$1:L$1126,4,FALSE)</f>
        <v>0</v>
      </c>
      <c r="P473" s="10">
        <v>10</v>
      </c>
      <c r="Q473" s="10">
        <v>3.25</v>
      </c>
      <c r="R473" s="10">
        <f t="shared" si="74"/>
        <v>0</v>
      </c>
      <c r="S473" s="10">
        <f t="shared" si="75"/>
        <v>0</v>
      </c>
      <c r="T473" s="10" t="s">
        <v>162</v>
      </c>
      <c r="U473" s="145">
        <v>0.33</v>
      </c>
      <c r="V473" s="10" t="str">
        <f>VLOOKUP(D473,A!B$1:T$1125,16,FALSE)</f>
        <v/>
      </c>
      <c r="W473" s="10">
        <f t="shared" si="76"/>
        <v>0</v>
      </c>
      <c r="X473" s="29"/>
      <c r="Y473" s="29"/>
      <c r="Z473" s="29"/>
      <c r="AA473" s="29"/>
    </row>
    <row r="474" spans="1:86" s="3" customFormat="1" ht="13.5" customHeight="1" x14ac:dyDescent="0.25">
      <c r="A474" t="str">
        <f>IF(R474=0,"",COUNTIF(A$13:A473,"&gt;0")+1)</f>
        <v/>
      </c>
      <c r="B474" s="4"/>
      <c r="C474" s="5" t="s">
        <v>22</v>
      </c>
      <c r="D474" s="7" t="s">
        <v>286</v>
      </c>
      <c r="E474" s="31"/>
      <c r="F474" s="31"/>
      <c r="G474" s="6" t="s">
        <v>287</v>
      </c>
      <c r="H474" s="7">
        <f>VLOOKUP(D474,A!B$1:L$1126,3,FALSE)</f>
        <v>1</v>
      </c>
      <c r="I474" s="31">
        <f>VLOOKUP(D474,A!B$1:L$1126,3,FALSE)</f>
        <v>1</v>
      </c>
      <c r="J474" s="92"/>
      <c r="K474" s="91" t="str">
        <f>VLOOKUP(D474,A!B$1:L$1126,6,FALSE)</f>
        <v/>
      </c>
      <c r="L474" s="2"/>
      <c r="M474" s="41" t="s">
        <v>288</v>
      </c>
      <c r="N474" s="94" t="str">
        <f>VLOOKUP(D474,A!B$1:L$1125,2,FALSE)</f>
        <v>y</v>
      </c>
      <c r="O474" s="94">
        <f>VLOOKUP(D474,A!B$1:L$1126,4,FALSE)</f>
        <v>0</v>
      </c>
      <c r="P474" s="10">
        <v>10</v>
      </c>
      <c r="Q474" s="10">
        <v>3.25</v>
      </c>
      <c r="R474" s="10">
        <f t="shared" si="74"/>
        <v>0</v>
      </c>
      <c r="S474" s="10">
        <f t="shared" si="75"/>
        <v>0</v>
      </c>
      <c r="T474" s="10" t="s">
        <v>162</v>
      </c>
      <c r="U474" s="145">
        <v>0.33</v>
      </c>
      <c r="V474" s="10" t="str">
        <f>VLOOKUP(D474,A!B$1:T$1125,16,FALSE)</f>
        <v/>
      </c>
      <c r="W474" s="10">
        <f t="shared" si="76"/>
        <v>0</v>
      </c>
      <c r="X474" s="30"/>
      <c r="Y474" s="30"/>
      <c r="Z474" s="30"/>
      <c r="AA474" s="30"/>
      <c r="AB474" s="30"/>
      <c r="AC474" s="30"/>
      <c r="AD474" s="30"/>
      <c r="AE474" s="115"/>
      <c r="AF474" s="115"/>
      <c r="AG474" s="115"/>
      <c r="AH474" s="115"/>
      <c r="AI474" s="115"/>
      <c r="AJ474" s="115"/>
      <c r="AK474" s="115"/>
      <c r="AL474" s="115"/>
      <c r="AM474" s="115"/>
      <c r="AN474" s="115"/>
      <c r="AO474" s="115"/>
      <c r="AP474" s="115"/>
      <c r="AQ474" s="115"/>
      <c r="AR474" s="115"/>
      <c r="AS474" s="115"/>
      <c r="AT474" s="115"/>
      <c r="AU474" s="115"/>
      <c r="AV474" s="115"/>
      <c r="AW474" s="115"/>
      <c r="AX474" s="115"/>
      <c r="AY474" s="115"/>
      <c r="AZ474" s="115"/>
      <c r="BA474" s="115"/>
      <c r="BB474" s="115"/>
      <c r="BC474" s="115"/>
      <c r="BD474" s="115"/>
      <c r="BE474" s="115"/>
      <c r="BF474" s="115"/>
      <c r="BG474" s="115"/>
      <c r="BH474" s="115"/>
      <c r="BI474" s="115"/>
      <c r="BJ474" s="115"/>
      <c r="BK474" s="115"/>
      <c r="BL474" s="115"/>
      <c r="BM474" s="115"/>
      <c r="BN474" s="115"/>
      <c r="BO474" s="115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</row>
    <row r="475" spans="1:86" s="3" customFormat="1" ht="13.5" hidden="1" customHeight="1" x14ac:dyDescent="0.25">
      <c r="A475" t="str">
        <f>IF(R475=0,"",COUNTIF(A$13:A474,"&gt;0")+1)</f>
        <v/>
      </c>
      <c r="B475" s="4"/>
      <c r="C475" s="5" t="s">
        <v>22</v>
      </c>
      <c r="D475" s="7" t="s">
        <v>1263</v>
      </c>
      <c r="E475" s="31"/>
      <c r="F475" s="31"/>
      <c r="G475" s="20" t="s">
        <v>65</v>
      </c>
      <c r="H475" s="7">
        <f>VLOOKUP(D475,A!B$1:L$1126,3,FALSE)</f>
        <v>0</v>
      </c>
      <c r="I475" s="31">
        <f>VLOOKUP(D475,A!B$1:L$1126,3,FALSE)</f>
        <v>0</v>
      </c>
      <c r="J475" s="92"/>
      <c r="K475" s="91" t="str">
        <f>VLOOKUP(D475,A!B$1:L$1126,6,FALSE)</f>
        <v/>
      </c>
      <c r="L475" s="162"/>
      <c r="M475" s="43" t="s">
        <v>1190</v>
      </c>
      <c r="N475" s="94">
        <f>VLOOKUP(D475,A!B$1:L$1125,2,FALSE)</f>
        <v>0</v>
      </c>
      <c r="O475" s="94">
        <f>VLOOKUP(D475,A!B$1:L$1126,4,FALSE)</f>
        <v>0</v>
      </c>
      <c r="P475" s="10">
        <v>10</v>
      </c>
      <c r="Q475" s="10">
        <v>3.25</v>
      </c>
      <c r="R475" s="10">
        <f t="shared" si="74"/>
        <v>0</v>
      </c>
      <c r="S475" s="10">
        <f t="shared" si="75"/>
        <v>0</v>
      </c>
      <c r="T475" s="10" t="s">
        <v>162</v>
      </c>
      <c r="U475" s="145">
        <v>0.33</v>
      </c>
      <c r="V475" s="10" t="str">
        <f>VLOOKUP(D475,A!B$1:T$1125,16,FALSE)</f>
        <v/>
      </c>
      <c r="W475" s="10">
        <f t="shared" si="76"/>
        <v>0</v>
      </c>
      <c r="X475" s="29"/>
      <c r="Y475" s="29"/>
      <c r="Z475" s="29"/>
      <c r="AA475" s="29"/>
    </row>
    <row r="476" spans="1:86" s="3" customFormat="1" ht="13.5" customHeight="1" x14ac:dyDescent="0.25">
      <c r="A476" t="str">
        <f>IF(R476=0,"",COUNTIF(A$13:A475,"&gt;0")+1)</f>
        <v/>
      </c>
      <c r="B476" s="4"/>
      <c r="C476" s="5" t="s">
        <v>22</v>
      </c>
      <c r="D476" s="7" t="s">
        <v>1805</v>
      </c>
      <c r="E476" s="31"/>
      <c r="F476" s="31"/>
      <c r="G476" s="20" t="s">
        <v>1819</v>
      </c>
      <c r="H476" s="7">
        <f>VLOOKUP(D476,A!B$1:L$1126,3,FALSE)</f>
        <v>1</v>
      </c>
      <c r="I476" s="31">
        <f>VLOOKUP(D476,A!B$1:L$1126,3,FALSE)</f>
        <v>1</v>
      </c>
      <c r="J476" s="92"/>
      <c r="K476" s="91" t="str">
        <f>VLOOKUP(D476,A!B$1:L$1126,6,FALSE)</f>
        <v/>
      </c>
      <c r="L476" s="162"/>
      <c r="M476" s="41" t="s">
        <v>1809</v>
      </c>
      <c r="N476" s="94" t="str">
        <f>VLOOKUP(D476,A!B$1:L$1125,2,FALSE)</f>
        <v>y</v>
      </c>
      <c r="O476" s="94">
        <f>VLOOKUP(D476,A!B$1:L$1126,4,FALSE)</f>
        <v>0</v>
      </c>
      <c r="P476" s="10">
        <v>10</v>
      </c>
      <c r="Q476" s="10">
        <v>3.25</v>
      </c>
      <c r="R476" s="10">
        <f t="shared" ref="R476" si="77">B476*P476</f>
        <v>0</v>
      </c>
      <c r="S476" s="10">
        <f t="shared" ref="S476" si="78">R476*Q476</f>
        <v>0</v>
      </c>
      <c r="T476" s="10" t="s">
        <v>162</v>
      </c>
      <c r="U476" s="145">
        <v>0.33</v>
      </c>
      <c r="V476" s="10">
        <f>VLOOKUP(D476,A!B$1:T$1125,16,FALSE)</f>
        <v>0</v>
      </c>
      <c r="W476" s="10">
        <f t="shared" ref="W476" si="79">U476*B476</f>
        <v>0</v>
      </c>
      <c r="X476" s="29"/>
      <c r="Y476" s="29"/>
      <c r="Z476" s="29"/>
      <c r="AA476" s="29"/>
    </row>
    <row r="477" spans="1:86" s="3" customFormat="1" ht="13.5" hidden="1" customHeight="1" x14ac:dyDescent="0.25">
      <c r="A477" t="str">
        <f>IF(R477=0,"",COUNTIF(A$13:A476,"&gt;0")+1)</f>
        <v/>
      </c>
      <c r="B477" s="4"/>
      <c r="C477" s="5" t="s">
        <v>22</v>
      </c>
      <c r="D477" s="7" t="s">
        <v>197</v>
      </c>
      <c r="E477" s="31"/>
      <c r="F477" s="31"/>
      <c r="G477" s="20" t="s">
        <v>65</v>
      </c>
      <c r="H477" s="7">
        <f>VLOOKUP(D477,A!B$1:L$1126,3,FALSE)</f>
        <v>0</v>
      </c>
      <c r="I477" s="31">
        <f>VLOOKUP(D477,A!B$1:L$1126,3,FALSE)</f>
        <v>0</v>
      </c>
      <c r="J477" s="92"/>
      <c r="K477" s="91" t="str">
        <f>VLOOKUP(D477,A!B$1:L$1126,6,FALSE)</f>
        <v/>
      </c>
      <c r="L477" s="162"/>
      <c r="M477" s="43" t="s">
        <v>1264</v>
      </c>
      <c r="N477" s="94">
        <f>VLOOKUP(D477,A!B$1:L$1125,2,FALSE)</f>
        <v>0</v>
      </c>
      <c r="O477" s="94">
        <f>VLOOKUP(D477,A!B$1:L$1126,4,FALSE)</f>
        <v>0</v>
      </c>
      <c r="P477" s="10">
        <v>10</v>
      </c>
      <c r="Q477" s="10">
        <v>3.25</v>
      </c>
      <c r="R477" s="10">
        <f t="shared" si="74"/>
        <v>0</v>
      </c>
      <c r="S477" s="10">
        <f t="shared" si="75"/>
        <v>0</v>
      </c>
      <c r="T477" s="10" t="s">
        <v>162</v>
      </c>
      <c r="U477" s="145">
        <v>0.33</v>
      </c>
      <c r="V477" s="10" t="str">
        <f>VLOOKUP(D477,A!B$1:T$1125,16,FALSE)</f>
        <v/>
      </c>
      <c r="W477" s="10">
        <f t="shared" si="76"/>
        <v>0</v>
      </c>
      <c r="X477" s="29"/>
      <c r="Y477" s="29"/>
      <c r="Z477" s="29"/>
      <c r="AA477" s="29"/>
    </row>
    <row r="478" spans="1:86" s="3" customFormat="1" ht="13.5" hidden="1" customHeight="1" x14ac:dyDescent="0.25">
      <c r="A478" t="str">
        <f>IF(R478=0,"",COUNTIF(A$13:A477,"&gt;0")+1)</f>
        <v/>
      </c>
      <c r="B478" s="4"/>
      <c r="C478" s="5" t="s">
        <v>22</v>
      </c>
      <c r="D478" s="7" t="s">
        <v>1265</v>
      </c>
      <c r="E478" s="31"/>
      <c r="F478" s="31"/>
      <c r="G478" s="20" t="s">
        <v>65</v>
      </c>
      <c r="H478" s="7">
        <f>VLOOKUP(D478,A!B$1:L$1126,3,FALSE)</f>
        <v>0</v>
      </c>
      <c r="I478" s="31">
        <f>VLOOKUP(D478,A!B$1:L$1126,3,FALSE)</f>
        <v>0</v>
      </c>
      <c r="J478" s="92"/>
      <c r="K478" s="91" t="str">
        <f>VLOOKUP(D478,A!B$1:L$1126,6,FALSE)</f>
        <v/>
      </c>
      <c r="L478" s="162"/>
      <c r="M478" s="43" t="s">
        <v>1266</v>
      </c>
      <c r="N478" s="94">
        <f>VLOOKUP(D478,A!B$1:L$1125,2,FALSE)</f>
        <v>0</v>
      </c>
      <c r="O478" s="94">
        <f>VLOOKUP(D478,A!B$1:L$1126,4,FALSE)</f>
        <v>0</v>
      </c>
      <c r="P478" s="10">
        <v>10</v>
      </c>
      <c r="Q478" s="10">
        <v>3.25</v>
      </c>
      <c r="R478" s="10">
        <f t="shared" si="74"/>
        <v>0</v>
      </c>
      <c r="S478" s="10">
        <f t="shared" si="75"/>
        <v>0</v>
      </c>
      <c r="T478" s="10" t="s">
        <v>162</v>
      </c>
      <c r="U478" s="145">
        <v>0.33</v>
      </c>
      <c r="V478" s="10" t="str">
        <f>VLOOKUP(D478,A!B$1:T$1125,16,FALSE)</f>
        <v/>
      </c>
      <c r="W478" s="10">
        <f t="shared" si="76"/>
        <v>0</v>
      </c>
      <c r="X478" s="29"/>
      <c r="Y478" s="29"/>
      <c r="Z478" s="29"/>
      <c r="AA478" s="29"/>
    </row>
    <row r="479" spans="1:86" s="3" customFormat="1" ht="13.5" hidden="1" customHeight="1" x14ac:dyDescent="0.25">
      <c r="A479" t="str">
        <f>IF(R479=0,"",COUNTIF(A$13:A478,"&gt;0")+1)</f>
        <v/>
      </c>
      <c r="B479" s="4"/>
      <c r="C479" s="5" t="s">
        <v>22</v>
      </c>
      <c r="D479" s="7" t="s">
        <v>1267</v>
      </c>
      <c r="E479" s="31"/>
      <c r="F479" s="31"/>
      <c r="G479" s="6" t="s">
        <v>1268</v>
      </c>
      <c r="H479" s="7">
        <f>VLOOKUP(D479,A!B$1:L$1126,3,FALSE)</f>
        <v>0</v>
      </c>
      <c r="I479" s="31">
        <f>VLOOKUP(D479,A!B$1:L$1126,3,FALSE)</f>
        <v>0</v>
      </c>
      <c r="J479" s="92"/>
      <c r="K479" s="91" t="str">
        <f>VLOOKUP(D479,A!B$1:L$1126,6,FALSE)</f>
        <v/>
      </c>
      <c r="L479" s="162"/>
      <c r="M479" s="42" t="s">
        <v>1269</v>
      </c>
      <c r="N479" s="94">
        <f>VLOOKUP(D479,A!B$1:L$1125,2,FALSE)</f>
        <v>0</v>
      </c>
      <c r="O479" s="94">
        <f>VLOOKUP(D479,A!B$1:L$1126,4,FALSE)</f>
        <v>0</v>
      </c>
      <c r="P479" s="10">
        <v>10</v>
      </c>
      <c r="Q479" s="10">
        <v>3.25</v>
      </c>
      <c r="R479" s="10">
        <f t="shared" si="74"/>
        <v>0</v>
      </c>
      <c r="S479" s="10">
        <f t="shared" si="75"/>
        <v>0</v>
      </c>
      <c r="T479" s="10" t="s">
        <v>162</v>
      </c>
      <c r="U479" s="145">
        <v>0.33</v>
      </c>
      <c r="V479" s="10" t="str">
        <f>VLOOKUP(D479,A!B$1:T$1125,16,FALSE)</f>
        <v/>
      </c>
      <c r="W479" s="10">
        <f t="shared" si="76"/>
        <v>0</v>
      </c>
      <c r="X479" s="29"/>
      <c r="Y479" s="29"/>
      <c r="Z479" s="29"/>
      <c r="AA479" s="29"/>
    </row>
    <row r="480" spans="1:86" s="3" customFormat="1" ht="13.5" hidden="1" customHeight="1" x14ac:dyDescent="0.25">
      <c r="A480" t="str">
        <f>IF(R480=0,"",COUNTIF(A$13:A479,"&gt;0")+1)</f>
        <v/>
      </c>
      <c r="B480" s="4"/>
      <c r="C480" s="5" t="s">
        <v>22</v>
      </c>
      <c r="D480" s="7" t="s">
        <v>1270</v>
      </c>
      <c r="E480" s="31"/>
      <c r="F480" s="31"/>
      <c r="G480" s="6" t="s">
        <v>1268</v>
      </c>
      <c r="H480" s="7">
        <f>VLOOKUP(D480,A!B$1:L$1126,3,FALSE)</f>
        <v>0</v>
      </c>
      <c r="I480" s="31">
        <f>VLOOKUP(D480,A!B$1:L$1126,3,FALSE)</f>
        <v>0</v>
      </c>
      <c r="J480" s="92"/>
      <c r="K480" s="91" t="str">
        <f>VLOOKUP(D480,A!B$1:L$1126,6,FALSE)</f>
        <v/>
      </c>
      <c r="L480" s="162"/>
      <c r="M480" s="41" t="s">
        <v>1271</v>
      </c>
      <c r="N480" s="94">
        <f>VLOOKUP(D480,A!B$1:L$1125,2,FALSE)</f>
        <v>0</v>
      </c>
      <c r="O480" s="94">
        <f>VLOOKUP(D480,A!B$1:L$1126,4,FALSE)</f>
        <v>0</v>
      </c>
      <c r="P480" s="10">
        <v>10</v>
      </c>
      <c r="Q480" s="10">
        <v>3.25</v>
      </c>
      <c r="R480" s="10">
        <f t="shared" si="74"/>
        <v>0</v>
      </c>
      <c r="S480" s="10">
        <f t="shared" si="75"/>
        <v>0</v>
      </c>
      <c r="T480" s="10" t="s">
        <v>162</v>
      </c>
      <c r="U480" s="145">
        <v>0.33</v>
      </c>
      <c r="V480" s="10" t="str">
        <f>VLOOKUP(D480,A!B$1:T$1125,16,FALSE)</f>
        <v/>
      </c>
      <c r="W480" s="10">
        <f t="shared" si="76"/>
        <v>0</v>
      </c>
      <c r="X480" s="29"/>
      <c r="Y480" s="29"/>
      <c r="Z480" s="29"/>
      <c r="AA480" s="29"/>
    </row>
    <row r="481" spans="1:86" s="3" customFormat="1" ht="13.5" hidden="1" customHeight="1" x14ac:dyDescent="0.25">
      <c r="A481" t="str">
        <f>IF(R481=0,"",COUNTIF(A$13:A480,"&gt;0")+1)</f>
        <v/>
      </c>
      <c r="B481" s="4"/>
      <c r="C481" s="5" t="s">
        <v>22</v>
      </c>
      <c r="D481" s="7" t="s">
        <v>1272</v>
      </c>
      <c r="E481" s="31"/>
      <c r="F481" s="31"/>
      <c r="G481" s="6" t="s">
        <v>1268</v>
      </c>
      <c r="H481" s="7">
        <f>VLOOKUP(D481,A!B$1:L$1126,3,FALSE)</f>
        <v>0</v>
      </c>
      <c r="I481" s="31">
        <f>VLOOKUP(D481,A!B$1:L$1126,3,FALSE)</f>
        <v>0</v>
      </c>
      <c r="J481" s="92"/>
      <c r="K481" s="91" t="str">
        <f>VLOOKUP(D481,A!B$1:L$1126,6,FALSE)</f>
        <v/>
      </c>
      <c r="L481" s="162"/>
      <c r="M481" s="42" t="s">
        <v>1273</v>
      </c>
      <c r="N481" s="94">
        <f>VLOOKUP(D481,A!B$1:L$1125,2,FALSE)</f>
        <v>0</v>
      </c>
      <c r="O481" s="94">
        <f>VLOOKUP(D481,A!B$1:L$1126,4,FALSE)</f>
        <v>0</v>
      </c>
      <c r="P481" s="10">
        <v>10</v>
      </c>
      <c r="Q481" s="10">
        <v>3.25</v>
      </c>
      <c r="R481" s="10">
        <f t="shared" si="74"/>
        <v>0</v>
      </c>
      <c r="S481" s="10">
        <f t="shared" si="75"/>
        <v>0</v>
      </c>
      <c r="T481" s="10" t="s">
        <v>162</v>
      </c>
      <c r="U481" s="145">
        <v>0.33</v>
      </c>
      <c r="V481" s="10" t="str">
        <f>VLOOKUP(D481,A!B$1:T$1125,16,FALSE)</f>
        <v/>
      </c>
      <c r="W481" s="10">
        <f t="shared" si="76"/>
        <v>0</v>
      </c>
      <c r="X481" s="29"/>
      <c r="Y481" s="29"/>
      <c r="Z481" s="29"/>
      <c r="AA481" s="29"/>
    </row>
    <row r="482" spans="1:86" s="3" customFormat="1" ht="13.5" hidden="1" customHeight="1" x14ac:dyDescent="0.25">
      <c r="A482" t="str">
        <f>IF(R482=0,"",COUNTIF(A$13:A481,"&gt;0")+1)</f>
        <v/>
      </c>
      <c r="B482" s="4"/>
      <c r="C482" s="5" t="s">
        <v>22</v>
      </c>
      <c r="D482" s="7" t="s">
        <v>1274</v>
      </c>
      <c r="E482" s="31"/>
      <c r="F482" s="31"/>
      <c r="G482" s="6" t="s">
        <v>1275</v>
      </c>
      <c r="H482" s="7">
        <f>VLOOKUP(D482,A!B$1:L$1126,3,FALSE)</f>
        <v>0</v>
      </c>
      <c r="I482" s="31">
        <f>VLOOKUP(D482,A!B$1:L$1126,3,FALSE)</f>
        <v>0</v>
      </c>
      <c r="J482" s="92"/>
      <c r="K482" s="91" t="str">
        <f>VLOOKUP(D482,A!B$1:L$1126,6,FALSE)</f>
        <v/>
      </c>
      <c r="L482" s="162"/>
      <c r="M482" s="43" t="s">
        <v>1276</v>
      </c>
      <c r="N482" s="94">
        <f>VLOOKUP(D482,A!B$1:L$1125,2,FALSE)</f>
        <v>0</v>
      </c>
      <c r="O482" s="94">
        <f>VLOOKUP(D482,A!B$1:L$1126,4,FALSE)</f>
        <v>0</v>
      </c>
      <c r="P482" s="10">
        <v>10</v>
      </c>
      <c r="Q482" s="10">
        <v>3.25</v>
      </c>
      <c r="R482" s="10">
        <f t="shared" si="74"/>
        <v>0</v>
      </c>
      <c r="S482" s="10">
        <f t="shared" si="75"/>
        <v>0</v>
      </c>
      <c r="T482" s="10" t="s">
        <v>162</v>
      </c>
      <c r="U482" s="145">
        <v>0.33</v>
      </c>
      <c r="V482" s="10" t="str">
        <f>VLOOKUP(D482,A!B$1:T$1125,16,FALSE)</f>
        <v/>
      </c>
      <c r="W482" s="10">
        <f t="shared" si="76"/>
        <v>0</v>
      </c>
      <c r="X482" s="29"/>
      <c r="Y482" s="29"/>
      <c r="Z482" s="29"/>
      <c r="AA482" s="29"/>
    </row>
    <row r="483" spans="1:86" s="3" customFormat="1" ht="12.75" customHeight="1" x14ac:dyDescent="0.25">
      <c r="A483" t="str">
        <f>IF(R483=0,"",COUNTIF(A$13:A482,"&gt;0")+1)</f>
        <v/>
      </c>
      <c r="B483" s="4"/>
      <c r="C483" s="5" t="s">
        <v>22</v>
      </c>
      <c r="D483" s="7" t="s">
        <v>106</v>
      </c>
      <c r="E483" s="31"/>
      <c r="F483" s="31"/>
      <c r="G483" s="6" t="s">
        <v>90</v>
      </c>
      <c r="H483" s="7">
        <f>VLOOKUP(D483,A!B$1:L$1126,3,FALSE)</f>
        <v>1</v>
      </c>
      <c r="I483" s="31">
        <f>VLOOKUP(D483,A!B$1:L$1126,3,FALSE)</f>
        <v>1</v>
      </c>
      <c r="J483" s="92"/>
      <c r="K483" s="91" t="str">
        <f>VLOOKUP(D483,A!B$1:L$1126,6,FALSE)</f>
        <v/>
      </c>
      <c r="L483" s="2"/>
      <c r="M483" s="41" t="s">
        <v>107</v>
      </c>
      <c r="N483" s="94" t="str">
        <f>VLOOKUP(D483,A!B$1:L$1125,2,FALSE)</f>
        <v>y</v>
      </c>
      <c r="O483" s="94">
        <f>VLOOKUP(D483,A!B$1:L$1126,4,FALSE)</f>
        <v>1</v>
      </c>
      <c r="P483" s="10">
        <v>10</v>
      </c>
      <c r="Q483" s="10">
        <v>3.25</v>
      </c>
      <c r="R483" s="10">
        <f t="shared" si="74"/>
        <v>0</v>
      </c>
      <c r="S483" s="10">
        <f t="shared" si="75"/>
        <v>0</v>
      </c>
      <c r="T483" s="10" t="s">
        <v>162</v>
      </c>
      <c r="U483" s="145">
        <v>0.33</v>
      </c>
      <c r="V483" s="10" t="str">
        <f>VLOOKUP(D483,A!B$1:T$1125,16,FALSE)</f>
        <v/>
      </c>
      <c r="W483" s="10">
        <f t="shared" si="76"/>
        <v>0</v>
      </c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</row>
    <row r="484" spans="1:86" s="3" customFormat="1" ht="12.75" hidden="1" customHeight="1" x14ac:dyDescent="0.25">
      <c r="A484" t="str">
        <f>IF(R484=0,"",COUNTIF(A$13:A483,"&gt;0")+1)</f>
        <v/>
      </c>
      <c r="B484" s="4"/>
      <c r="C484" s="5" t="s">
        <v>22</v>
      </c>
      <c r="D484" s="7" t="s">
        <v>1277</v>
      </c>
      <c r="E484" s="31"/>
      <c r="F484" s="31"/>
      <c r="G484" s="78" t="s">
        <v>90</v>
      </c>
      <c r="H484" s="7">
        <f>VLOOKUP(D484,A!B$1:L$1126,3,FALSE)</f>
        <v>0</v>
      </c>
      <c r="I484" s="31">
        <f>VLOOKUP(D484,A!B$1:L$1126,3,FALSE)</f>
        <v>0</v>
      </c>
      <c r="J484" s="92"/>
      <c r="K484" s="63" t="str">
        <f>VLOOKUP(D484,A!B$1:L$1126,6,FALSE)</f>
        <v/>
      </c>
      <c r="L484" s="162"/>
      <c r="M484" s="43" t="s">
        <v>1278</v>
      </c>
      <c r="N484" s="94">
        <f>VLOOKUP(D484,A!B$1:L$1125,2,FALSE)</f>
        <v>0</v>
      </c>
      <c r="O484" s="94">
        <f>VLOOKUP(D484,A!B$1:L$1126,4,FALSE)</f>
        <v>0</v>
      </c>
      <c r="P484" s="10">
        <v>10</v>
      </c>
      <c r="Q484" s="10">
        <v>3.25</v>
      </c>
      <c r="R484" s="10">
        <f t="shared" si="74"/>
        <v>0</v>
      </c>
      <c r="S484" s="10">
        <f t="shared" si="75"/>
        <v>0</v>
      </c>
      <c r="T484" s="10" t="s">
        <v>162</v>
      </c>
      <c r="U484" s="145">
        <v>0.33</v>
      </c>
      <c r="V484" s="10" t="str">
        <f>VLOOKUP(D484,A!B$1:T$1125,16,FALSE)</f>
        <v/>
      </c>
      <c r="W484" s="10">
        <f t="shared" si="76"/>
        <v>0</v>
      </c>
      <c r="X484" s="29"/>
      <c r="Y484" s="29"/>
      <c r="Z484" s="29"/>
      <c r="AA484" s="29"/>
    </row>
    <row r="485" spans="1:86" s="3" customFormat="1" ht="12.75" hidden="1" customHeight="1" x14ac:dyDescent="0.25">
      <c r="A485" t="str">
        <f>IF(R485=0,"",COUNTIF(A$13:A484,"&gt;0")+1)</f>
        <v/>
      </c>
      <c r="B485" s="4"/>
      <c r="C485" s="5" t="s">
        <v>22</v>
      </c>
      <c r="D485" s="7" t="s">
        <v>1279</v>
      </c>
      <c r="E485" s="31"/>
      <c r="F485" s="31"/>
      <c r="G485" s="78" t="s">
        <v>90</v>
      </c>
      <c r="H485" s="7">
        <f>VLOOKUP(D485,A!B$1:L$1126,3,FALSE)</f>
        <v>0</v>
      </c>
      <c r="I485" s="31">
        <f>VLOOKUP(D485,A!B$1:L$1126,3,FALSE)</f>
        <v>0</v>
      </c>
      <c r="J485" s="92"/>
      <c r="K485" s="63" t="str">
        <f>VLOOKUP(D485,A!B$1:L$1126,6,FALSE)</f>
        <v/>
      </c>
      <c r="L485" s="162"/>
      <c r="M485" s="43" t="s">
        <v>791</v>
      </c>
      <c r="N485" s="94">
        <f>VLOOKUP(D485,A!B$1:L$1125,2,FALSE)</f>
        <v>0</v>
      </c>
      <c r="O485" s="94">
        <f>VLOOKUP(D485,A!B$1:L$1126,4,FALSE)</f>
        <v>0</v>
      </c>
      <c r="P485" s="10">
        <v>10</v>
      </c>
      <c r="Q485" s="10">
        <v>3.25</v>
      </c>
      <c r="R485" s="10">
        <f t="shared" si="74"/>
        <v>0</v>
      </c>
      <c r="S485" s="10">
        <f t="shared" si="75"/>
        <v>0</v>
      </c>
      <c r="T485" s="10" t="s">
        <v>162</v>
      </c>
      <c r="U485" s="145">
        <v>0.33</v>
      </c>
      <c r="V485" s="10" t="str">
        <f>VLOOKUP(D485,A!B$1:T$1125,16,FALSE)</f>
        <v/>
      </c>
      <c r="W485" s="10">
        <f t="shared" si="76"/>
        <v>0</v>
      </c>
      <c r="X485" s="29"/>
      <c r="Y485" s="29"/>
      <c r="Z485" s="29"/>
      <c r="AA485" s="29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</row>
    <row r="486" spans="1:86" s="3" customFormat="1" ht="12.75" hidden="1" customHeight="1" x14ac:dyDescent="0.25">
      <c r="A486" t="str">
        <f>IF(R486=0,"",COUNTIF(A$13:A485,"&gt;0")+1)</f>
        <v/>
      </c>
      <c r="B486" s="4"/>
      <c r="C486" s="5" t="s">
        <v>22</v>
      </c>
      <c r="D486" s="7" t="s">
        <v>1280</v>
      </c>
      <c r="E486" s="31"/>
      <c r="F486" s="31"/>
      <c r="G486" s="6" t="s">
        <v>90</v>
      </c>
      <c r="H486" s="7">
        <f>VLOOKUP(D486,A!B$1:L$1126,3,FALSE)</f>
        <v>0</v>
      </c>
      <c r="I486" s="31">
        <f>VLOOKUP(D486,A!B$1:L$1126,3,FALSE)</f>
        <v>0</v>
      </c>
      <c r="J486" s="92"/>
      <c r="K486" s="63" t="str">
        <f>VLOOKUP(D486,A!B$1:L$1126,6,FALSE)</f>
        <v/>
      </c>
      <c r="L486" s="162"/>
      <c r="M486" s="43" t="s">
        <v>1281</v>
      </c>
      <c r="N486" s="94">
        <f>VLOOKUP(D486,A!B$1:L$1125,2,FALSE)</f>
        <v>0</v>
      </c>
      <c r="O486" s="94">
        <f>VLOOKUP(D486,A!B$1:L$1126,4,FALSE)</f>
        <v>0</v>
      </c>
      <c r="P486" s="10">
        <v>10</v>
      </c>
      <c r="Q486" s="10">
        <v>3.25</v>
      </c>
      <c r="R486" s="10">
        <f t="shared" si="74"/>
        <v>0</v>
      </c>
      <c r="S486" s="10">
        <f t="shared" si="75"/>
        <v>0</v>
      </c>
      <c r="T486" s="10" t="s">
        <v>162</v>
      </c>
      <c r="U486" s="145">
        <v>0.33</v>
      </c>
      <c r="V486" s="10" t="str">
        <f>VLOOKUP(D486,A!B$1:T$1125,16,FALSE)</f>
        <v/>
      </c>
      <c r="W486" s="10">
        <f t="shared" si="76"/>
        <v>0</v>
      </c>
      <c r="X486" s="29"/>
      <c r="Y486" s="29"/>
      <c r="Z486" s="29"/>
      <c r="AA486" s="29"/>
    </row>
    <row r="487" spans="1:86" s="3" customFormat="1" ht="13.5" customHeight="1" x14ac:dyDescent="0.25">
      <c r="A487" t="str">
        <f>IF(R487=0,"",COUNTIF(A$13:A486,"&gt;0")+1)</f>
        <v/>
      </c>
      <c r="B487" s="4"/>
      <c r="C487" s="5" t="s">
        <v>22</v>
      </c>
      <c r="D487" s="7" t="s">
        <v>254</v>
      </c>
      <c r="E487" s="31"/>
      <c r="F487" s="31"/>
      <c r="G487" s="6" t="s">
        <v>90</v>
      </c>
      <c r="H487" s="7">
        <f>VLOOKUP(D487,A!B$1:L$1126,3,FALSE)</f>
        <v>2</v>
      </c>
      <c r="I487" s="31">
        <f>VLOOKUP(D487,A!B$1:L$1126,3,FALSE)</f>
        <v>2</v>
      </c>
      <c r="J487" s="92"/>
      <c r="K487" s="63" t="str">
        <f>VLOOKUP(D487,A!B$1:L$1126,6,FALSE)</f>
        <v/>
      </c>
      <c r="L487" s="2"/>
      <c r="M487" s="43" t="s">
        <v>255</v>
      </c>
      <c r="N487" s="94" t="str">
        <f>VLOOKUP(D487,A!B$1:L$1125,2,FALSE)</f>
        <v>Y</v>
      </c>
      <c r="O487" s="94">
        <f>VLOOKUP(D487,A!B$1:L$1126,4,FALSE)</f>
        <v>1</v>
      </c>
      <c r="P487" s="10">
        <v>10</v>
      </c>
      <c r="Q487" s="10">
        <v>3.25</v>
      </c>
      <c r="R487" s="10">
        <f t="shared" si="74"/>
        <v>0</v>
      </c>
      <c r="S487" s="10">
        <f t="shared" si="75"/>
        <v>0</v>
      </c>
      <c r="T487" s="10" t="s">
        <v>162</v>
      </c>
      <c r="U487" s="145">
        <v>0.33</v>
      </c>
      <c r="V487" s="10" t="str">
        <f>VLOOKUP(D487,A!B$1:T$1125,16,FALSE)</f>
        <v/>
      </c>
      <c r="W487" s="10">
        <f t="shared" si="76"/>
        <v>0</v>
      </c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</row>
    <row r="488" spans="1:86" s="3" customFormat="1" ht="12.75" hidden="1" customHeight="1" x14ac:dyDescent="0.25">
      <c r="A488" t="str">
        <f>IF(R488=0,"",COUNTIF(A$13:A487,"&gt;0")+1)</f>
        <v/>
      </c>
      <c r="B488" s="4"/>
      <c r="C488" s="5" t="s">
        <v>22</v>
      </c>
      <c r="D488" s="7" t="s">
        <v>1282</v>
      </c>
      <c r="E488" s="31"/>
      <c r="F488" s="31"/>
      <c r="G488" s="78" t="s">
        <v>90</v>
      </c>
      <c r="H488" s="7">
        <f>VLOOKUP(D488,A!B$1:L$1126,3,FALSE)</f>
        <v>0</v>
      </c>
      <c r="I488" s="31">
        <f>VLOOKUP(D488,A!B$1:L$1126,3,FALSE)</f>
        <v>0</v>
      </c>
      <c r="J488" s="92"/>
      <c r="K488" s="63" t="str">
        <f>VLOOKUP(D488,A!B$1:L$1126,6,FALSE)</f>
        <v/>
      </c>
      <c r="L488" s="162"/>
      <c r="M488" s="43" t="s">
        <v>1283</v>
      </c>
      <c r="N488" s="94">
        <f>VLOOKUP(D488,A!B$1:L$1125,2,FALSE)</f>
        <v>0</v>
      </c>
      <c r="O488" s="94">
        <f>VLOOKUP(D488,A!B$1:L$1126,4,FALSE)</f>
        <v>0</v>
      </c>
      <c r="P488" s="10">
        <v>10</v>
      </c>
      <c r="Q488" s="10">
        <v>3.25</v>
      </c>
      <c r="R488" s="10">
        <f t="shared" si="74"/>
        <v>0</v>
      </c>
      <c r="S488" s="10">
        <f t="shared" si="75"/>
        <v>0</v>
      </c>
      <c r="T488" s="10" t="s">
        <v>162</v>
      </c>
      <c r="U488" s="145">
        <v>0.33</v>
      </c>
      <c r="V488" s="10" t="str">
        <f>VLOOKUP(D488,A!B$1:T$1125,16,FALSE)</f>
        <v/>
      </c>
      <c r="W488" s="10">
        <f t="shared" si="76"/>
        <v>0</v>
      </c>
      <c r="X488" s="29"/>
      <c r="Y488" s="29"/>
      <c r="Z488" s="29"/>
      <c r="AA488" s="29"/>
    </row>
    <row r="489" spans="1:86" s="1" customFormat="1" ht="12.75" hidden="1" customHeight="1" x14ac:dyDescent="0.25">
      <c r="A489" t="str">
        <f>IF(R489=0,"",COUNTIF(A$13:A488,"&gt;0")+1)</f>
        <v/>
      </c>
      <c r="B489" s="4"/>
      <c r="C489" s="5" t="s">
        <v>22</v>
      </c>
      <c r="D489" s="7" t="s">
        <v>1284</v>
      </c>
      <c r="E489" s="31"/>
      <c r="F489" s="31"/>
      <c r="G489" s="78" t="s">
        <v>1285</v>
      </c>
      <c r="H489" s="7">
        <f>VLOOKUP(D489,A!B$1:L$1126,3,FALSE)</f>
        <v>0</v>
      </c>
      <c r="I489" s="31">
        <f>VLOOKUP(D489,A!B$1:L$1126,3,FALSE)</f>
        <v>0</v>
      </c>
      <c r="J489" s="92"/>
      <c r="K489" s="63" t="str">
        <f>VLOOKUP(D489,A!B$1:L$1126,6,FALSE)</f>
        <v/>
      </c>
      <c r="L489" s="162"/>
      <c r="M489" s="43" t="s">
        <v>1286</v>
      </c>
      <c r="N489" s="94">
        <f>VLOOKUP(D489,A!B$1:L$1125,2,FALSE)</f>
        <v>0</v>
      </c>
      <c r="O489" s="94">
        <f>VLOOKUP(D489,A!B$1:L$1126,4,FALSE)</f>
        <v>0</v>
      </c>
      <c r="P489" s="10">
        <v>10</v>
      </c>
      <c r="Q489" s="10">
        <v>3.25</v>
      </c>
      <c r="R489" s="10">
        <f t="shared" si="74"/>
        <v>0</v>
      </c>
      <c r="S489" s="10">
        <f t="shared" si="75"/>
        <v>0</v>
      </c>
      <c r="T489" s="10" t="s">
        <v>162</v>
      </c>
      <c r="U489" s="145">
        <v>0.33</v>
      </c>
      <c r="V489" s="10" t="str">
        <f>VLOOKUP(D489,A!B$1:T$1125,16,FALSE)</f>
        <v/>
      </c>
      <c r="W489" s="10">
        <f t="shared" si="76"/>
        <v>0</v>
      </c>
      <c r="X489" s="29"/>
      <c r="Y489" s="29"/>
      <c r="Z489" s="29"/>
      <c r="AA489" s="29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</row>
    <row r="490" spans="1:86" ht="12.75" hidden="1" customHeight="1" x14ac:dyDescent="0.25">
      <c r="A490" t="str">
        <f>IF(R490=0,"",COUNTIF(A$13:A489,"&gt;0")+1)</f>
        <v/>
      </c>
      <c r="B490" s="4"/>
      <c r="C490" s="5" t="s">
        <v>22</v>
      </c>
      <c r="D490" s="7" t="s">
        <v>1287</v>
      </c>
      <c r="E490" s="31"/>
      <c r="F490" s="31"/>
      <c r="G490" s="78" t="s">
        <v>143</v>
      </c>
      <c r="H490" s="7">
        <f>VLOOKUP(D490,A!B$1:L$1126,3,FALSE)</f>
        <v>0</v>
      </c>
      <c r="I490" s="31">
        <f>VLOOKUP(D490,A!B$1:L$1126,3,FALSE)</f>
        <v>0</v>
      </c>
      <c r="J490" s="92"/>
      <c r="K490" s="63" t="str">
        <f>VLOOKUP(D490,A!B$1:L$1126,6,FALSE)</f>
        <v/>
      </c>
      <c r="L490" s="162"/>
      <c r="M490" s="41" t="s">
        <v>1288</v>
      </c>
      <c r="N490" s="94">
        <f>VLOOKUP(D490,A!B$1:L$1125,2,FALSE)</f>
        <v>0</v>
      </c>
      <c r="O490" s="94">
        <f>VLOOKUP(D490,A!B$1:L$1126,4,FALSE)</f>
        <v>0</v>
      </c>
      <c r="P490" s="10">
        <v>10</v>
      </c>
      <c r="Q490" s="10">
        <v>3.25</v>
      </c>
      <c r="R490" s="10">
        <f t="shared" si="74"/>
        <v>0</v>
      </c>
      <c r="S490" s="10">
        <f t="shared" si="75"/>
        <v>0</v>
      </c>
      <c r="T490" s="10" t="s">
        <v>162</v>
      </c>
      <c r="U490" s="145">
        <v>0.33</v>
      </c>
      <c r="V490" s="10" t="str">
        <f>VLOOKUP(D490,A!B$1:T$1125,16,FALSE)</f>
        <v/>
      </c>
      <c r="W490" s="10">
        <f t="shared" si="76"/>
        <v>0</v>
      </c>
      <c r="X490" s="29"/>
      <c r="Y490" s="29"/>
      <c r="Z490" s="29"/>
      <c r="AA490" s="29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</row>
    <row r="491" spans="1:86" ht="12.75" hidden="1" customHeight="1" x14ac:dyDescent="0.25">
      <c r="A491" t="str">
        <f>IF(R491=0,"",COUNTIF(A$13:A490,"&gt;0")+1)</f>
        <v/>
      </c>
      <c r="B491" s="4"/>
      <c r="C491" s="5" t="s">
        <v>22</v>
      </c>
      <c r="D491" s="7" t="s">
        <v>1289</v>
      </c>
      <c r="E491" s="31"/>
      <c r="F491" s="31"/>
      <c r="G491" s="78" t="s">
        <v>143</v>
      </c>
      <c r="H491" s="7">
        <f>VLOOKUP(D491,A!B$1:L$1126,3,FALSE)</f>
        <v>0</v>
      </c>
      <c r="I491" s="31">
        <f>VLOOKUP(D491,A!B$1:L$1126,3,FALSE)</f>
        <v>0</v>
      </c>
      <c r="J491" s="92"/>
      <c r="K491" s="63" t="str">
        <f>VLOOKUP(D491,A!B$1:L$1126,6,FALSE)</f>
        <v/>
      </c>
      <c r="L491" s="162"/>
      <c r="M491" s="43" t="s">
        <v>1290</v>
      </c>
      <c r="N491" s="94">
        <f>VLOOKUP(D491,A!B$1:L$1125,2,FALSE)</f>
        <v>0</v>
      </c>
      <c r="O491" s="94">
        <f>VLOOKUP(D491,A!B$1:L$1126,4,FALSE)</f>
        <v>0</v>
      </c>
      <c r="P491" s="10">
        <v>10</v>
      </c>
      <c r="Q491" s="10">
        <v>3.25</v>
      </c>
      <c r="R491" s="10">
        <f t="shared" si="74"/>
        <v>0</v>
      </c>
      <c r="S491" s="10">
        <f t="shared" si="75"/>
        <v>0</v>
      </c>
      <c r="T491" s="10" t="s">
        <v>162</v>
      </c>
      <c r="U491" s="145">
        <v>0.33</v>
      </c>
      <c r="V491" s="10" t="str">
        <f>VLOOKUP(D491,A!B$1:T$1125,16,FALSE)</f>
        <v/>
      </c>
      <c r="W491" s="10">
        <f t="shared" si="76"/>
        <v>0</v>
      </c>
      <c r="X491" s="29"/>
      <c r="Y491" s="29"/>
      <c r="Z491" s="29"/>
      <c r="AA491" s="29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</row>
    <row r="492" spans="1:86" ht="12.75" hidden="1" customHeight="1" x14ac:dyDescent="0.25">
      <c r="A492" t="str">
        <f>IF(R492=0,"",COUNTIF(A$13:A491,"&gt;0")+1)</f>
        <v/>
      </c>
      <c r="B492" s="4"/>
      <c r="C492" s="5" t="s">
        <v>22</v>
      </c>
      <c r="D492" s="7" t="s">
        <v>142</v>
      </c>
      <c r="E492" s="31"/>
      <c r="F492" s="31"/>
      <c r="G492" s="6" t="s">
        <v>143</v>
      </c>
      <c r="H492" s="7">
        <f>VLOOKUP(D492,A!B$1:L$1126,3,FALSE)</f>
        <v>0</v>
      </c>
      <c r="I492" s="31">
        <f>VLOOKUP(D492,A!B$1:L$1126,3,FALSE)</f>
        <v>0</v>
      </c>
      <c r="J492" s="92"/>
      <c r="K492" s="63" t="str">
        <f>VLOOKUP(D492,A!B$1:L$1126,6,FALSE)</f>
        <v/>
      </c>
      <c r="L492" s="2"/>
      <c r="M492" s="42" t="s">
        <v>144</v>
      </c>
      <c r="N492" s="94">
        <f>VLOOKUP(D492,A!B$1:L$1125,2,FALSE)</f>
        <v>0</v>
      </c>
      <c r="O492" s="94">
        <f>VLOOKUP(D492,A!B$1:L$1126,4,FALSE)</f>
        <v>0</v>
      </c>
      <c r="P492" s="10">
        <v>10</v>
      </c>
      <c r="Q492" s="10">
        <v>3.25</v>
      </c>
      <c r="R492" s="10">
        <f t="shared" si="74"/>
        <v>0</v>
      </c>
      <c r="S492" s="10">
        <f t="shared" si="75"/>
        <v>0</v>
      </c>
      <c r="T492" s="10" t="s">
        <v>162</v>
      </c>
      <c r="U492" s="145">
        <v>0.33</v>
      </c>
      <c r="V492" s="10" t="str">
        <f>VLOOKUP(D492,A!B$1:T$1125,16,FALSE)</f>
        <v/>
      </c>
      <c r="W492" s="10">
        <f t="shared" si="76"/>
        <v>0</v>
      </c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</row>
    <row r="493" spans="1:86" ht="12.75" hidden="1" customHeight="1" x14ac:dyDescent="0.25">
      <c r="A493" t="str">
        <f>IF(R493=0,"",COUNTIF(A$13:A492,"&gt;0")+1)</f>
        <v/>
      </c>
      <c r="B493" s="4"/>
      <c r="C493" s="5" t="s">
        <v>22</v>
      </c>
      <c r="D493" s="7" t="s">
        <v>1291</v>
      </c>
      <c r="E493" s="31"/>
      <c r="F493" s="31"/>
      <c r="G493" s="78" t="s">
        <v>1292</v>
      </c>
      <c r="H493" s="7">
        <f>VLOOKUP(D493,A!B$1:L$1126,3,FALSE)</f>
        <v>0</v>
      </c>
      <c r="I493" s="31">
        <f>VLOOKUP(D493,A!B$1:L$1126,3,FALSE)</f>
        <v>0</v>
      </c>
      <c r="J493" s="92"/>
      <c r="K493" s="63" t="str">
        <f>VLOOKUP(D493,A!B$1:L$1126,6,FALSE)</f>
        <v/>
      </c>
      <c r="L493" s="162"/>
      <c r="M493" s="43" t="s">
        <v>1293</v>
      </c>
      <c r="N493" s="94">
        <f>VLOOKUP(D493,A!B$1:L$1125,2,FALSE)</f>
        <v>0</v>
      </c>
      <c r="O493" s="94">
        <f>VLOOKUP(D493,A!B$1:L$1126,4,FALSE)</f>
        <v>0</v>
      </c>
      <c r="P493" s="10">
        <v>10</v>
      </c>
      <c r="Q493" s="10">
        <v>3.25</v>
      </c>
      <c r="R493" s="10">
        <f t="shared" si="74"/>
        <v>0</v>
      </c>
      <c r="S493" s="10">
        <f t="shared" si="75"/>
        <v>0</v>
      </c>
      <c r="T493" s="10" t="s">
        <v>162</v>
      </c>
      <c r="U493" s="145">
        <v>0.33</v>
      </c>
      <c r="V493" s="10" t="str">
        <f>VLOOKUP(D493,A!B$1:T$1125,16,FALSE)</f>
        <v/>
      </c>
      <c r="W493" s="10">
        <f t="shared" si="76"/>
        <v>0</v>
      </c>
      <c r="X493" s="29"/>
      <c r="Y493" s="29"/>
      <c r="Z493" s="29"/>
      <c r="AA493" s="29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</row>
    <row r="494" spans="1:86" ht="12.75" hidden="1" customHeight="1" x14ac:dyDescent="0.25">
      <c r="A494" t="str">
        <f>IF(R494=0,"",COUNTIF(A$13:A493,"&gt;0")+1)</f>
        <v/>
      </c>
      <c r="B494" s="4"/>
      <c r="C494" s="5" t="s">
        <v>22</v>
      </c>
      <c r="D494" s="7" t="s">
        <v>1294</v>
      </c>
      <c r="E494" s="31"/>
      <c r="F494" s="31"/>
      <c r="G494" s="78" t="s">
        <v>1295</v>
      </c>
      <c r="H494" s="7">
        <f>VLOOKUP(D494,A!B$1:L$1126,3,FALSE)</f>
        <v>0</v>
      </c>
      <c r="I494" s="31">
        <f>VLOOKUP(D494,A!B$1:L$1126,3,FALSE)</f>
        <v>0</v>
      </c>
      <c r="J494" s="92"/>
      <c r="K494" s="63" t="str">
        <f>VLOOKUP(D494,A!B$1:L$1126,6,FALSE)</f>
        <v/>
      </c>
      <c r="L494" s="162"/>
      <c r="M494" s="43" t="s">
        <v>1296</v>
      </c>
      <c r="N494" s="94">
        <f>VLOOKUP(D494,A!B$1:L$1125,2,FALSE)</f>
        <v>0</v>
      </c>
      <c r="O494" s="94">
        <f>VLOOKUP(D494,A!B$1:L$1126,4,FALSE)</f>
        <v>0</v>
      </c>
      <c r="P494" s="10">
        <v>10</v>
      </c>
      <c r="Q494" s="10">
        <v>3.25</v>
      </c>
      <c r="R494" s="10">
        <f t="shared" si="74"/>
        <v>0</v>
      </c>
      <c r="S494" s="10">
        <f t="shared" si="75"/>
        <v>0</v>
      </c>
      <c r="T494" s="10" t="s">
        <v>162</v>
      </c>
      <c r="U494" s="145">
        <v>0.33</v>
      </c>
      <c r="V494" s="10" t="str">
        <f>VLOOKUP(D494,A!B$1:T$1125,16,FALSE)</f>
        <v/>
      </c>
      <c r="W494" s="10">
        <f t="shared" si="76"/>
        <v>0</v>
      </c>
      <c r="X494" s="29"/>
      <c r="Y494" s="29"/>
      <c r="Z494" s="29"/>
      <c r="AA494" s="29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</row>
    <row r="495" spans="1:86" ht="12.75" hidden="1" customHeight="1" x14ac:dyDescent="0.25">
      <c r="A495" t="str">
        <f>IF(R495=0,"",COUNTIF(A$13:A494,"&gt;0")+1)</f>
        <v/>
      </c>
      <c r="B495" s="4"/>
      <c r="C495" s="5" t="s">
        <v>22</v>
      </c>
      <c r="D495" s="7" t="s">
        <v>1297</v>
      </c>
      <c r="E495" s="31"/>
      <c r="F495" s="31"/>
      <c r="G495" s="6" t="s">
        <v>856</v>
      </c>
      <c r="H495" s="7">
        <f>VLOOKUP(D495,A!B$1:L$1126,3,FALSE)</f>
        <v>0</v>
      </c>
      <c r="I495" s="31">
        <f>VLOOKUP(D495,A!B$1:L$1126,3,FALSE)</f>
        <v>0</v>
      </c>
      <c r="J495" s="92"/>
      <c r="K495" s="63" t="str">
        <f>VLOOKUP(D495,A!B$1:L$1126,6,FALSE)</f>
        <v/>
      </c>
      <c r="L495" s="162"/>
      <c r="M495" s="41" t="s">
        <v>1298</v>
      </c>
      <c r="N495" s="94">
        <f>VLOOKUP(D495,A!B$1:L$1125,2,FALSE)</f>
        <v>0</v>
      </c>
      <c r="O495" s="94">
        <f>VLOOKUP(D495,A!B$1:L$1126,4,FALSE)</f>
        <v>0</v>
      </c>
      <c r="P495" s="10">
        <v>10</v>
      </c>
      <c r="Q495" s="10">
        <v>3.25</v>
      </c>
      <c r="R495" s="10">
        <f t="shared" si="74"/>
        <v>0</v>
      </c>
      <c r="S495" s="10">
        <f t="shared" si="75"/>
        <v>0</v>
      </c>
      <c r="T495" s="10" t="s">
        <v>162</v>
      </c>
      <c r="U495" s="145">
        <v>0.33</v>
      </c>
      <c r="V495" s="10" t="str">
        <f>VLOOKUP(D495,A!B$1:T$1125,16,FALSE)</f>
        <v/>
      </c>
      <c r="W495" s="10">
        <f t="shared" si="76"/>
        <v>0</v>
      </c>
      <c r="X495" s="29"/>
      <c r="Y495" s="29"/>
      <c r="Z495" s="29"/>
      <c r="AA495" s="29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</row>
    <row r="496" spans="1:86" s="3" customFormat="1" ht="12.75" hidden="1" customHeight="1" x14ac:dyDescent="0.25">
      <c r="A496" t="str">
        <f>IF(R496=0,"",COUNTIF(A$13:A495,"&gt;0")+1)</f>
        <v/>
      </c>
      <c r="B496" s="4"/>
      <c r="C496" s="5" t="s">
        <v>22</v>
      </c>
      <c r="D496" s="7" t="s">
        <v>1299</v>
      </c>
      <c r="E496" s="31"/>
      <c r="F496" s="31"/>
      <c r="G496" s="78" t="s">
        <v>856</v>
      </c>
      <c r="H496" s="7">
        <f>VLOOKUP(D496,A!B$1:L$1126,3,FALSE)</f>
        <v>0</v>
      </c>
      <c r="I496" s="31">
        <f>VLOOKUP(D496,A!B$1:L$1126,3,FALSE)</f>
        <v>0</v>
      </c>
      <c r="J496" s="92"/>
      <c r="K496" s="63" t="str">
        <f>VLOOKUP(D496,A!B$1:L$1126,6,FALSE)</f>
        <v/>
      </c>
      <c r="L496" s="162"/>
      <c r="M496" s="43" t="s">
        <v>1300</v>
      </c>
      <c r="N496" s="94">
        <f>VLOOKUP(D496,A!B$1:L$1125,2,FALSE)</f>
        <v>0</v>
      </c>
      <c r="O496" s="94">
        <f>VLOOKUP(D496,A!B$1:L$1126,4,FALSE)</f>
        <v>0</v>
      </c>
      <c r="P496" s="10">
        <v>10</v>
      </c>
      <c r="Q496" s="10">
        <v>3.25</v>
      </c>
      <c r="R496" s="10">
        <f t="shared" si="74"/>
        <v>0</v>
      </c>
      <c r="S496" s="10">
        <f t="shared" si="75"/>
        <v>0</v>
      </c>
      <c r="T496" s="10" t="s">
        <v>162</v>
      </c>
      <c r="U496" s="145">
        <v>0.33</v>
      </c>
      <c r="V496" s="10" t="str">
        <f>VLOOKUP(D496,A!B$1:T$1125,16,FALSE)</f>
        <v/>
      </c>
      <c r="W496" s="10">
        <f t="shared" si="76"/>
        <v>0</v>
      </c>
      <c r="X496" s="29"/>
      <c r="Y496" s="29"/>
      <c r="Z496" s="29"/>
      <c r="AA496" s="29"/>
    </row>
    <row r="497" spans="1:86" s="3" customFormat="1" ht="12.75" hidden="1" customHeight="1" x14ac:dyDescent="0.25">
      <c r="A497" t="str">
        <f>IF(R497=0,"",COUNTIF(A$13:A496,"&gt;0")+1)</f>
        <v/>
      </c>
      <c r="B497" s="4"/>
      <c r="C497" s="5" t="s">
        <v>22</v>
      </c>
      <c r="D497" s="7" t="s">
        <v>313</v>
      </c>
      <c r="E497" s="31"/>
      <c r="F497" s="31"/>
      <c r="G497" s="78" t="s">
        <v>135</v>
      </c>
      <c r="H497" s="7">
        <f>VLOOKUP(D497,A!B$1:L$1126,3,FALSE)</f>
        <v>0</v>
      </c>
      <c r="I497" s="31">
        <f>VLOOKUP(D497,A!B$1:L$1126,3,FALSE)</f>
        <v>0</v>
      </c>
      <c r="J497" s="92"/>
      <c r="K497" s="63" t="str">
        <f>VLOOKUP(D497,A!B$1:L$1126,6,FALSE)</f>
        <v/>
      </c>
      <c r="L497" s="2"/>
      <c r="M497" s="41" t="s">
        <v>138</v>
      </c>
      <c r="N497" s="94">
        <f>VLOOKUP(D497,A!B$1:L$1125,2,FALSE)</f>
        <v>0</v>
      </c>
      <c r="O497" s="94">
        <f>VLOOKUP(D497,A!B$1:L$1126,4,FALSE)</f>
        <v>0</v>
      </c>
      <c r="P497" s="10">
        <v>10</v>
      </c>
      <c r="Q497" s="10">
        <v>3.25</v>
      </c>
      <c r="R497" s="10">
        <f t="shared" si="74"/>
        <v>0</v>
      </c>
      <c r="S497" s="10">
        <f t="shared" si="75"/>
        <v>0</v>
      </c>
      <c r="T497" s="10" t="s">
        <v>162</v>
      </c>
      <c r="U497" s="145">
        <v>0.33</v>
      </c>
      <c r="V497" s="10" t="str">
        <f>VLOOKUP(D497,A!B$1:T$1125,16,FALSE)</f>
        <v/>
      </c>
      <c r="W497" s="10">
        <f t="shared" si="76"/>
        <v>0</v>
      </c>
      <c r="X497" s="116"/>
      <c r="Y497" s="116"/>
      <c r="Z497" s="116"/>
      <c r="AA497" s="116"/>
      <c r="AB497" s="116"/>
      <c r="AC497" s="116"/>
      <c r="AD497" s="116"/>
      <c r="AE497" s="116"/>
      <c r="AF497" s="116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116"/>
      <c r="AQ497" s="116"/>
      <c r="AR497" s="116"/>
      <c r="AS497" s="116"/>
      <c r="AT497" s="116"/>
      <c r="AU497" s="116"/>
      <c r="AV497" s="116"/>
      <c r="AW497" s="116"/>
      <c r="AX497" s="116"/>
      <c r="AY497" s="116"/>
      <c r="AZ497" s="116"/>
      <c r="BA497" s="116"/>
      <c r="BB497" s="116"/>
      <c r="BC497" s="116"/>
      <c r="BD497" s="116"/>
      <c r="BE497" s="116"/>
      <c r="BF497" s="116"/>
      <c r="BG497" s="116"/>
      <c r="BH497" s="116"/>
      <c r="BI497" s="116"/>
      <c r="BJ497" s="116"/>
      <c r="BK497" s="116"/>
      <c r="BL497" s="116"/>
      <c r="BM497" s="116"/>
      <c r="BN497" s="116"/>
      <c r="BO497" s="116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  <c r="CC497" s="48"/>
      <c r="CD497" s="48"/>
      <c r="CE497" s="48"/>
      <c r="CF497" s="48"/>
      <c r="CG497" s="48"/>
      <c r="CH497" s="48"/>
    </row>
    <row r="498" spans="1:86" s="48" customFormat="1" ht="12.75" hidden="1" customHeight="1" x14ac:dyDescent="0.25">
      <c r="A498" t="str">
        <f>IF(R498=0,"",COUNTIF(A$13:A497,"&gt;0")+1)</f>
        <v/>
      </c>
      <c r="B498" s="4"/>
      <c r="C498" s="5" t="s">
        <v>22</v>
      </c>
      <c r="D498" s="7" t="s">
        <v>314</v>
      </c>
      <c r="E498" s="31"/>
      <c r="F498" s="31"/>
      <c r="G498" s="78" t="s">
        <v>135</v>
      </c>
      <c r="H498" s="7">
        <f>VLOOKUP(D498,A!B$1:L$1126,3,FALSE)</f>
        <v>0</v>
      </c>
      <c r="I498" s="31">
        <f>VLOOKUP(D498,A!B$1:L$1126,3,FALSE)</f>
        <v>0</v>
      </c>
      <c r="J498" s="92"/>
      <c r="K498" s="63" t="str">
        <f>VLOOKUP(D498,A!B$1:L$1126,6,FALSE)</f>
        <v/>
      </c>
      <c r="L498" s="2"/>
      <c r="M498" s="41" t="s">
        <v>139</v>
      </c>
      <c r="N498" s="94">
        <f>VLOOKUP(D498,A!B$1:L$1125,2,FALSE)</f>
        <v>0</v>
      </c>
      <c r="O498" s="94">
        <f>VLOOKUP(D498,A!B$1:L$1126,4,FALSE)</f>
        <v>0</v>
      </c>
      <c r="P498" s="10">
        <v>10</v>
      </c>
      <c r="Q498" s="10">
        <v>3.25</v>
      </c>
      <c r="R498" s="10">
        <f t="shared" si="74"/>
        <v>0</v>
      </c>
      <c r="S498" s="10">
        <f t="shared" si="75"/>
        <v>0</v>
      </c>
      <c r="T498" s="10" t="s">
        <v>162</v>
      </c>
      <c r="U498" s="145">
        <v>0.33</v>
      </c>
      <c r="V498" s="10" t="str">
        <f>VLOOKUP(D498,A!B$1:T$1125,16,FALSE)</f>
        <v/>
      </c>
      <c r="W498" s="10">
        <f t="shared" si="76"/>
        <v>0</v>
      </c>
      <c r="X498" s="116"/>
      <c r="Y498" s="116"/>
      <c r="Z498" s="116"/>
      <c r="AA498" s="116"/>
      <c r="AB498" s="116"/>
      <c r="AC498" s="116"/>
      <c r="AD498" s="116"/>
      <c r="AE498" s="116"/>
      <c r="AF498" s="116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116"/>
      <c r="AQ498" s="116"/>
      <c r="AR498" s="116"/>
      <c r="AS498" s="116"/>
      <c r="AT498" s="116"/>
      <c r="AU498" s="116"/>
      <c r="AV498" s="116"/>
      <c r="AW498" s="116"/>
      <c r="AX498" s="116"/>
      <c r="AY498" s="116"/>
      <c r="AZ498" s="116"/>
      <c r="BA498" s="116"/>
      <c r="BB498" s="116"/>
      <c r="BC498" s="116"/>
      <c r="BD498" s="116"/>
      <c r="BE498" s="116"/>
      <c r="BF498" s="116"/>
      <c r="BG498" s="116"/>
      <c r="BH498" s="116"/>
      <c r="BI498" s="116"/>
      <c r="BJ498" s="116"/>
      <c r="BK498" s="116"/>
      <c r="BL498" s="116"/>
      <c r="BM498" s="116"/>
      <c r="BN498" s="116"/>
      <c r="BO498" s="116"/>
    </row>
    <row r="499" spans="1:86" s="3" customFormat="1" ht="13.5" customHeight="1" x14ac:dyDescent="0.25">
      <c r="A499" t="str">
        <f>IF(R499=0,"",COUNTIF(A$13:A498,"&gt;0")+1)</f>
        <v/>
      </c>
      <c r="B499" s="82">
        <f>SUM(B246:B498)</f>
        <v>0</v>
      </c>
      <c r="C499" s="5" t="s">
        <v>22</v>
      </c>
      <c r="D499" s="24" t="s">
        <v>36</v>
      </c>
      <c r="E499" s="88"/>
      <c r="F499" s="96"/>
      <c r="G499" s="84"/>
      <c r="H499" s="84"/>
      <c r="I499" s="84"/>
      <c r="J499" s="84"/>
      <c r="K499" s="84"/>
      <c r="L499" s="84"/>
      <c r="M499" s="84"/>
      <c r="N499" s="100"/>
      <c r="O499" s="100"/>
      <c r="P499" s="10">
        <v>10</v>
      </c>
      <c r="Q499" s="151"/>
      <c r="R499" s="10">
        <f t="shared" ref="R499" si="80">B499*P499</f>
        <v>0</v>
      </c>
      <c r="S499" s="10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</row>
    <row r="500" spans="1:86" ht="9" customHeight="1" x14ac:dyDescent="0.25">
      <c r="A500" t="str">
        <f>IF(R500=0,"",COUNTIF(A$13:A499,"&gt;0")+1)</f>
        <v/>
      </c>
      <c r="N500" s="102"/>
      <c r="O500" s="102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  <c r="AA500" s="115"/>
      <c r="AB500" s="115"/>
      <c r="AC500" s="115"/>
      <c r="AD500" s="115"/>
      <c r="AE500" s="115"/>
      <c r="AF500" s="115"/>
      <c r="AG500" s="115"/>
      <c r="AH500" s="115"/>
      <c r="AI500" s="115"/>
      <c r="AJ500" s="115"/>
      <c r="AK500" s="115"/>
      <c r="AL500" s="115"/>
      <c r="AM500" s="115"/>
      <c r="AN500" s="115"/>
      <c r="AO500" s="115"/>
      <c r="AP500" s="115"/>
      <c r="AQ500" s="115"/>
      <c r="AR500" s="115"/>
      <c r="AS500" s="115"/>
      <c r="AT500" s="115"/>
      <c r="AU500" s="115"/>
      <c r="AV500" s="115"/>
      <c r="AW500" s="115"/>
      <c r="AX500" s="115"/>
      <c r="AY500" s="115"/>
      <c r="AZ500" s="115"/>
      <c r="BA500" s="115"/>
      <c r="BB500" s="115"/>
      <c r="BC500" s="115"/>
      <c r="BD500" s="115"/>
      <c r="BE500" s="115"/>
      <c r="BF500" s="115"/>
      <c r="BG500" s="115"/>
      <c r="BH500" s="115"/>
      <c r="BI500" s="115"/>
      <c r="BJ500" s="115"/>
      <c r="BK500" s="115"/>
      <c r="BL500" s="115"/>
      <c r="BM500" s="115"/>
      <c r="BN500" s="115"/>
      <c r="BO500" s="115"/>
    </row>
    <row r="501" spans="1:86" s="3" customFormat="1" ht="21" customHeight="1" x14ac:dyDescent="0.25">
      <c r="A501" t="str">
        <f>IF(R501=0,"",COUNTIF(A$13:A500,"&gt;0")+1)</f>
        <v/>
      </c>
      <c r="B501" s="234" t="s">
        <v>42</v>
      </c>
      <c r="C501" s="235"/>
      <c r="D501" s="235"/>
      <c r="E501" s="235"/>
      <c r="F501" s="235"/>
      <c r="G501" s="236"/>
      <c r="H501" s="123"/>
      <c r="I501" s="124"/>
      <c r="J501" s="137"/>
      <c r="K501" s="137"/>
      <c r="L501" s="137" t="s">
        <v>73</v>
      </c>
      <c r="M501" s="27">
        <v>2.69</v>
      </c>
      <c r="N501" s="93"/>
      <c r="O501" s="93"/>
      <c r="P501" s="30"/>
      <c r="Q501" s="30"/>
      <c r="R501" s="30"/>
      <c r="S501" s="10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</row>
    <row r="502" spans="1:86" s="3" customFormat="1" ht="12" customHeight="1" x14ac:dyDescent="0.25">
      <c r="A502" t="str">
        <f>IF(R502=0,"",COUNTIF(A$13:A501,"&gt;0")+1)</f>
        <v/>
      </c>
      <c r="B502" s="237" t="s">
        <v>18</v>
      </c>
      <c r="C502" s="238"/>
      <c r="D502" s="16" t="s">
        <v>19</v>
      </c>
      <c r="E502" s="86"/>
      <c r="F502" s="86"/>
      <c r="G502" s="17" t="s">
        <v>20</v>
      </c>
      <c r="H502" s="118"/>
      <c r="I502" s="117"/>
      <c r="J502" s="117"/>
      <c r="K502" s="122" t="s">
        <v>17</v>
      </c>
      <c r="L502" s="119">
        <v>5021353002201</v>
      </c>
      <c r="M502" s="120" t="s">
        <v>21</v>
      </c>
      <c r="N502" s="93"/>
      <c r="O502" s="93"/>
      <c r="P502" s="30"/>
      <c r="Q502" s="30"/>
      <c r="R502" s="30"/>
      <c r="S502" s="10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</row>
    <row r="503" spans="1:86" s="3" customFormat="1" ht="13.5" customHeight="1" x14ac:dyDescent="0.25">
      <c r="A503" t="str">
        <f>IF(R503=0,"",COUNTIF(A$13:A502,"&gt;0")+1)</f>
        <v/>
      </c>
      <c r="B503" s="4"/>
      <c r="C503" s="5" t="s">
        <v>22</v>
      </c>
      <c r="D503" s="7" t="s">
        <v>56</v>
      </c>
      <c r="E503" s="31"/>
      <c r="F503" s="31"/>
      <c r="G503" s="23" t="s">
        <v>62</v>
      </c>
      <c r="H503" s="7">
        <f>VLOOKUP(D503,A!B$1:L$1126,3,FALSE)</f>
        <v>1</v>
      </c>
      <c r="I503" s="31">
        <f>VLOOKUP(D503,A!B$1:L$1126,3,FALSE)</f>
        <v>1</v>
      </c>
      <c r="J503" s="92"/>
      <c r="K503" s="63" t="str">
        <f>VLOOKUP(D503,A!B$1:L$1126,6,FALSE)</f>
        <v/>
      </c>
      <c r="L503" s="31"/>
      <c r="M503" s="39" t="s">
        <v>60</v>
      </c>
      <c r="N503" s="94" t="str">
        <f>VLOOKUP(D503,A!B$1:L$1125,2,FALSE)</f>
        <v>y</v>
      </c>
      <c r="O503" s="94">
        <f>VLOOKUP(D503,A!B$1:L$1126,4,FALSE)</f>
        <v>0</v>
      </c>
      <c r="P503" s="10">
        <v>10</v>
      </c>
      <c r="Q503" s="10">
        <v>2.69</v>
      </c>
      <c r="R503" s="10">
        <f t="shared" ref="R503:R566" si="81">B503*P503</f>
        <v>0</v>
      </c>
      <c r="S503" s="10">
        <f t="shared" ref="S503:S566" si="82">R503*Q503</f>
        <v>0</v>
      </c>
      <c r="T503" s="10" t="s">
        <v>322</v>
      </c>
      <c r="U503" s="145">
        <v>0.33</v>
      </c>
      <c r="V503" s="10" t="str">
        <f>VLOOKUP(D503,A!B$1:T$1125,16,FALSE)</f>
        <v/>
      </c>
      <c r="W503" s="10">
        <f t="shared" ref="W503:W566" si="83">U503*B503</f>
        <v>0</v>
      </c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</row>
    <row r="504" spans="1:86" s="3" customFormat="1" ht="13.5" hidden="1" customHeight="1" x14ac:dyDescent="0.25">
      <c r="A504" t="str">
        <f>IF(R504=0,"",COUNTIF(A$13:A503,"&gt;0")+1)</f>
        <v/>
      </c>
      <c r="B504" s="4"/>
      <c r="C504" s="5" t="s">
        <v>22</v>
      </c>
      <c r="D504" s="7" t="s">
        <v>450</v>
      </c>
      <c r="E504" s="31"/>
      <c r="F504" s="31"/>
      <c r="G504" s="6" t="s">
        <v>451</v>
      </c>
      <c r="H504" s="7">
        <f>VLOOKUP(D504,A!B$1:L$1126,3,FALSE)</f>
        <v>0</v>
      </c>
      <c r="I504" s="31">
        <f>VLOOKUP(D504,A!B$1:L$1126,3,FALSE)</f>
        <v>0</v>
      </c>
      <c r="J504" s="92"/>
      <c r="K504" s="63" t="str">
        <f>VLOOKUP(D504,A!B$1:L$1126,6,FALSE)</f>
        <v/>
      </c>
      <c r="L504" s="162"/>
      <c r="M504" s="39" t="s">
        <v>452</v>
      </c>
      <c r="N504" s="94">
        <f>VLOOKUP(D504,A!B$1:L$1125,2,FALSE)</f>
        <v>0</v>
      </c>
      <c r="O504" s="94">
        <f>VLOOKUP(D504,A!B$1:L$1126,4,FALSE)</f>
        <v>0</v>
      </c>
      <c r="P504" s="10">
        <v>10</v>
      </c>
      <c r="Q504" s="10">
        <v>2.69</v>
      </c>
      <c r="R504" s="10">
        <f t="shared" si="81"/>
        <v>0</v>
      </c>
      <c r="S504" s="10">
        <f t="shared" si="82"/>
        <v>0</v>
      </c>
      <c r="T504" s="10" t="s">
        <v>322</v>
      </c>
      <c r="U504" s="145">
        <v>0.33</v>
      </c>
      <c r="V504" s="10" t="str">
        <f>VLOOKUP(D504,A!B$1:T$1125,16,FALSE)</f>
        <v/>
      </c>
      <c r="W504" s="10">
        <f t="shared" si="83"/>
        <v>0</v>
      </c>
      <c r="X504" s="29"/>
      <c r="Y504" s="29"/>
      <c r="Z504" s="29"/>
      <c r="AA504" s="29"/>
    </row>
    <row r="505" spans="1:86" s="3" customFormat="1" ht="13.5" customHeight="1" x14ac:dyDescent="0.25">
      <c r="A505" t="str">
        <f>IF(R505=0,"",COUNTIF(A$13:A504,"&gt;0")+1)</f>
        <v/>
      </c>
      <c r="B505" s="4"/>
      <c r="C505" s="5" t="s">
        <v>22</v>
      </c>
      <c r="D505" s="166" t="s">
        <v>453</v>
      </c>
      <c r="E505" s="167"/>
      <c r="F505" s="167"/>
      <c r="G505" s="20" t="s">
        <v>454</v>
      </c>
      <c r="H505" s="7">
        <f>VLOOKUP(D505,A!B$1:L$1126,3,FALSE)</f>
        <v>1</v>
      </c>
      <c r="I505" s="31">
        <f>VLOOKUP(D505,A!B$1:L$1126,3,FALSE)</f>
        <v>1</v>
      </c>
      <c r="J505" s="92"/>
      <c r="K505" s="63" t="str">
        <f>VLOOKUP(D505,A!B$1:L$1126,6,FALSE)</f>
        <v/>
      </c>
      <c r="L505" s="162"/>
      <c r="M505" s="39" t="s">
        <v>455</v>
      </c>
      <c r="N505" s="94" t="str">
        <f>VLOOKUP(D505,A!B$1:L$1125,2,FALSE)</f>
        <v>y</v>
      </c>
      <c r="O505" s="94">
        <f>VLOOKUP(D505,A!B$1:L$1126,4,FALSE)</f>
        <v>0</v>
      </c>
      <c r="P505" s="10">
        <v>10</v>
      </c>
      <c r="Q505" s="10">
        <v>2.69</v>
      </c>
      <c r="R505" s="10">
        <f t="shared" si="81"/>
        <v>0</v>
      </c>
      <c r="S505" s="10">
        <f t="shared" si="82"/>
        <v>0</v>
      </c>
      <c r="T505" s="10" t="s">
        <v>322</v>
      </c>
      <c r="U505" s="145">
        <v>0.33</v>
      </c>
      <c r="V505" s="10" t="str">
        <f>VLOOKUP(D505,A!B$1:T$1125,16,FALSE)</f>
        <v/>
      </c>
      <c r="W505" s="10">
        <f t="shared" si="83"/>
        <v>0</v>
      </c>
      <c r="X505" s="29"/>
      <c r="Y505" s="29"/>
      <c r="Z505" s="29"/>
      <c r="AA505" s="29"/>
    </row>
    <row r="506" spans="1:86" s="3" customFormat="1" ht="13.5" customHeight="1" x14ac:dyDescent="0.25">
      <c r="A506" t="str">
        <f>IF(R506=0,"",COUNTIF(A$13:A505,"&gt;0")+1)</f>
        <v/>
      </c>
      <c r="B506" s="4"/>
      <c r="C506" s="5" t="s">
        <v>22</v>
      </c>
      <c r="D506" s="7" t="s">
        <v>204</v>
      </c>
      <c r="E506" s="31"/>
      <c r="F506" s="31"/>
      <c r="G506" s="6" t="s">
        <v>205</v>
      </c>
      <c r="H506" s="7">
        <f>VLOOKUP(D506,A!B$1:L$1126,3,FALSE)</f>
        <v>1</v>
      </c>
      <c r="I506" s="31">
        <f>VLOOKUP(D506,A!B$1:L$1126,3,FALSE)</f>
        <v>1</v>
      </c>
      <c r="J506" s="92"/>
      <c r="K506" s="63" t="str">
        <f>VLOOKUP(D506,A!B$1:L$1126,6,FALSE)</f>
        <v/>
      </c>
      <c r="L506" s="2"/>
      <c r="M506" s="41" t="s">
        <v>206</v>
      </c>
      <c r="N506" s="94" t="str">
        <f>VLOOKUP(D506,A!B$1:L$1125,2,FALSE)</f>
        <v>y</v>
      </c>
      <c r="O506" s="94">
        <f>VLOOKUP(D506,A!B$1:L$1126,4,FALSE)</f>
        <v>0</v>
      </c>
      <c r="P506" s="10">
        <v>10</v>
      </c>
      <c r="Q506" s="10">
        <v>2.69</v>
      </c>
      <c r="R506" s="10">
        <f t="shared" si="81"/>
        <v>0</v>
      </c>
      <c r="S506" s="10">
        <f t="shared" si="82"/>
        <v>0</v>
      </c>
      <c r="T506" s="10" t="s">
        <v>322</v>
      </c>
      <c r="U506" s="145">
        <v>0.33</v>
      </c>
      <c r="V506" s="10" t="str">
        <f>VLOOKUP(D506,A!B$1:T$1125,16,FALSE)</f>
        <v/>
      </c>
      <c r="W506" s="10">
        <f t="shared" si="83"/>
        <v>0</v>
      </c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</row>
    <row r="507" spans="1:86" s="3" customFormat="1" ht="13.5" hidden="1" customHeight="1" x14ac:dyDescent="0.25">
      <c r="A507" t="str">
        <f>IF(R507=0,"",COUNTIF(A$13:A506,"&gt;0")+1)</f>
        <v/>
      </c>
      <c r="B507" s="4"/>
      <c r="C507" s="5" t="s">
        <v>22</v>
      </c>
      <c r="D507" s="7" t="s">
        <v>456</v>
      </c>
      <c r="E507" s="31"/>
      <c r="F507" s="31"/>
      <c r="G507" s="6" t="s">
        <v>457</v>
      </c>
      <c r="H507" s="7">
        <f>VLOOKUP(D507,A!B$1:L$1126,3,FALSE)</f>
        <v>0</v>
      </c>
      <c r="I507" s="31">
        <f>VLOOKUP(D507,A!B$1:L$1126,3,FALSE)</f>
        <v>0</v>
      </c>
      <c r="J507" s="92"/>
      <c r="K507" s="63" t="str">
        <f>VLOOKUP(D507,A!B$1:L$1126,6,FALSE)</f>
        <v/>
      </c>
      <c r="L507" s="162"/>
      <c r="M507" s="43" t="s">
        <v>458</v>
      </c>
      <c r="N507" s="94">
        <f>VLOOKUP(D507,A!B$1:L$1125,2,FALSE)</f>
        <v>0</v>
      </c>
      <c r="O507" s="94">
        <f>VLOOKUP(D507,A!B$1:L$1126,4,FALSE)</f>
        <v>0</v>
      </c>
      <c r="P507" s="10">
        <v>10</v>
      </c>
      <c r="Q507" s="10">
        <v>2.69</v>
      </c>
      <c r="R507" s="10">
        <f t="shared" si="81"/>
        <v>0</v>
      </c>
      <c r="S507" s="10">
        <f t="shared" si="82"/>
        <v>0</v>
      </c>
      <c r="T507" s="10" t="s">
        <v>322</v>
      </c>
      <c r="U507" s="145">
        <v>0.33</v>
      </c>
      <c r="V507" s="10" t="str">
        <f>VLOOKUP(D507,A!B$1:T$1125,16,FALSE)</f>
        <v/>
      </c>
      <c r="W507" s="10">
        <f t="shared" si="83"/>
        <v>0</v>
      </c>
      <c r="X507" s="29"/>
      <c r="Y507" s="29"/>
      <c r="Z507" s="29"/>
      <c r="AA507" s="29"/>
    </row>
    <row r="508" spans="1:86" s="3" customFormat="1" ht="13.5" customHeight="1" x14ac:dyDescent="0.25">
      <c r="A508" t="str">
        <f>IF(R508=0,"",COUNTIF(A$13:A507,"&gt;0")+1)</f>
        <v/>
      </c>
      <c r="B508" s="4"/>
      <c r="C508" s="5" t="s">
        <v>22</v>
      </c>
      <c r="D508" s="7" t="s">
        <v>459</v>
      </c>
      <c r="E508" s="31"/>
      <c r="F508" s="31"/>
      <c r="G508" s="6" t="s">
        <v>460</v>
      </c>
      <c r="H508" s="7">
        <f>VLOOKUP(D508,A!B$1:L$1126,3,FALSE)</f>
        <v>1</v>
      </c>
      <c r="I508" s="31">
        <f>VLOOKUP(D508,A!B$1:L$1126,3,FALSE)</f>
        <v>1</v>
      </c>
      <c r="J508" s="92"/>
      <c r="K508" s="63" t="str">
        <f>VLOOKUP(D508,A!B$1:L$1126,6,FALSE)</f>
        <v/>
      </c>
      <c r="L508" s="162"/>
      <c r="M508" s="41" t="s">
        <v>461</v>
      </c>
      <c r="N508" s="94" t="str">
        <f>VLOOKUP(D508,A!B$1:L$1125,2,FALSE)</f>
        <v>y</v>
      </c>
      <c r="O508" s="94">
        <f>VLOOKUP(D508,A!B$1:L$1126,4,FALSE)</f>
        <v>0</v>
      </c>
      <c r="P508" s="10">
        <v>10</v>
      </c>
      <c r="Q508" s="10">
        <v>2.69</v>
      </c>
      <c r="R508" s="10">
        <f t="shared" si="81"/>
        <v>0</v>
      </c>
      <c r="S508" s="10">
        <f t="shared" si="82"/>
        <v>0</v>
      </c>
      <c r="T508" s="10" t="s">
        <v>322</v>
      </c>
      <c r="U508" s="145">
        <v>0.33</v>
      </c>
      <c r="V508" s="10" t="str">
        <f>VLOOKUP(D508,A!B$1:T$1125,16,FALSE)</f>
        <v/>
      </c>
      <c r="W508" s="10">
        <f t="shared" si="83"/>
        <v>0</v>
      </c>
      <c r="X508" s="29"/>
      <c r="Y508" s="29"/>
      <c r="Z508" s="29"/>
      <c r="AA508" s="29"/>
    </row>
    <row r="509" spans="1:86" s="3" customFormat="1" ht="13.5" hidden="1" customHeight="1" x14ac:dyDescent="0.25">
      <c r="A509" t="str">
        <f>IF(R509=0,"",COUNTIF(A$13:A508,"&gt;0")+1)</f>
        <v/>
      </c>
      <c r="B509" s="4"/>
      <c r="C509" s="5" t="s">
        <v>22</v>
      </c>
      <c r="D509" s="7" t="s">
        <v>462</v>
      </c>
      <c r="E509" s="31"/>
      <c r="F509" s="31"/>
      <c r="G509" s="6" t="s">
        <v>463</v>
      </c>
      <c r="H509" s="7">
        <f>VLOOKUP(D509,A!B$1:L$1126,3,FALSE)</f>
        <v>0</v>
      </c>
      <c r="I509" s="31">
        <f>VLOOKUP(D509,A!B$1:L$1126,3,FALSE)</f>
        <v>0</v>
      </c>
      <c r="J509" s="92"/>
      <c r="K509" s="63" t="str">
        <f>VLOOKUP(D509,A!B$1:L$1126,6,FALSE)</f>
        <v/>
      </c>
      <c r="L509" s="162"/>
      <c r="M509" s="41" t="s">
        <v>464</v>
      </c>
      <c r="N509" s="94">
        <f>VLOOKUP(D509,A!B$1:L$1125,2,FALSE)</f>
        <v>0</v>
      </c>
      <c r="O509" s="94">
        <f>VLOOKUP(D509,A!B$1:L$1126,4,FALSE)</f>
        <v>0</v>
      </c>
      <c r="P509" s="10">
        <v>10</v>
      </c>
      <c r="Q509" s="10">
        <v>2.69</v>
      </c>
      <c r="R509" s="10">
        <f t="shared" si="81"/>
        <v>0</v>
      </c>
      <c r="S509" s="10">
        <f t="shared" si="82"/>
        <v>0</v>
      </c>
      <c r="T509" s="10" t="s">
        <v>322</v>
      </c>
      <c r="U509" s="145">
        <v>0.33</v>
      </c>
      <c r="V509" s="10" t="str">
        <f>VLOOKUP(D509,A!B$1:T$1125,16,FALSE)</f>
        <v/>
      </c>
      <c r="W509" s="10">
        <f t="shared" si="83"/>
        <v>0</v>
      </c>
      <c r="X509" s="29"/>
      <c r="Y509" s="29"/>
      <c r="Z509" s="29"/>
      <c r="AA509" s="29"/>
    </row>
    <row r="510" spans="1:86" s="3" customFormat="1" ht="13.5" hidden="1" customHeight="1" x14ac:dyDescent="0.25">
      <c r="A510" t="str">
        <f>IF(R510=0,"",COUNTIF(A$13:A509,"&gt;0")+1)</f>
        <v/>
      </c>
      <c r="B510" s="4"/>
      <c r="C510" s="5" t="s">
        <v>22</v>
      </c>
      <c r="D510" s="7" t="s">
        <v>465</v>
      </c>
      <c r="E510" s="31"/>
      <c r="F510" s="31"/>
      <c r="G510" s="6" t="s">
        <v>466</v>
      </c>
      <c r="H510" s="7">
        <f>VLOOKUP(D510,A!B$1:L$1126,3,FALSE)</f>
        <v>0</v>
      </c>
      <c r="I510" s="31">
        <f>VLOOKUP(D510,A!B$1:L$1126,3,FALSE)</f>
        <v>0</v>
      </c>
      <c r="J510" s="92"/>
      <c r="K510" s="63" t="str">
        <f>VLOOKUP(D510,A!B$1:L$1126,6,FALSE)</f>
        <v/>
      </c>
      <c r="L510" s="162"/>
      <c r="M510" s="43" t="s">
        <v>467</v>
      </c>
      <c r="N510" s="94">
        <f>VLOOKUP(D510,A!B$1:L$1125,2,FALSE)</f>
        <v>0</v>
      </c>
      <c r="O510" s="94">
        <f>VLOOKUP(D510,A!B$1:L$1126,4,FALSE)</f>
        <v>0</v>
      </c>
      <c r="P510" s="10">
        <v>10</v>
      </c>
      <c r="Q510" s="10">
        <v>2.69</v>
      </c>
      <c r="R510" s="10">
        <f t="shared" si="81"/>
        <v>0</v>
      </c>
      <c r="S510" s="10">
        <f t="shared" si="82"/>
        <v>0</v>
      </c>
      <c r="T510" s="10" t="s">
        <v>322</v>
      </c>
      <c r="U510" s="145">
        <v>0.33</v>
      </c>
      <c r="V510" s="10" t="str">
        <f>VLOOKUP(D510,A!B$1:T$1125,16,FALSE)</f>
        <v/>
      </c>
      <c r="W510" s="10">
        <f t="shared" si="83"/>
        <v>0</v>
      </c>
      <c r="X510" s="29"/>
      <c r="Y510" s="29"/>
      <c r="Z510" s="29"/>
      <c r="AA510" s="29"/>
    </row>
    <row r="511" spans="1:86" s="3" customFormat="1" ht="13.5" customHeight="1" x14ac:dyDescent="0.25">
      <c r="A511" t="str">
        <f>IF(R511=0,"",COUNTIF(A$13:A510,"&gt;0")+1)</f>
        <v/>
      </c>
      <c r="B511" s="4"/>
      <c r="C511" s="5" t="s">
        <v>22</v>
      </c>
      <c r="D511" s="7" t="s">
        <v>468</v>
      </c>
      <c r="E511" s="31"/>
      <c r="F511" s="31"/>
      <c r="G511" s="6" t="s">
        <v>469</v>
      </c>
      <c r="H511" s="7">
        <f>VLOOKUP(D511,A!B$1:L$1126,3,FALSE)</f>
        <v>2</v>
      </c>
      <c r="I511" s="31">
        <f>VLOOKUP(D511,A!B$1:L$1126,3,FALSE)</f>
        <v>2</v>
      </c>
      <c r="J511" s="92"/>
      <c r="K511" s="63" t="str">
        <f>VLOOKUP(D511,A!B$1:L$1126,6,FALSE)</f>
        <v/>
      </c>
      <c r="L511" s="162"/>
      <c r="M511" s="41" t="s">
        <v>470</v>
      </c>
      <c r="N511" s="94" t="str">
        <f>VLOOKUP(D511,A!B$1:L$1125,2,FALSE)</f>
        <v>y</v>
      </c>
      <c r="O511" s="94">
        <f>VLOOKUP(D511,A!B$1:L$1126,4,FALSE)</f>
        <v>0</v>
      </c>
      <c r="P511" s="10">
        <v>10</v>
      </c>
      <c r="Q511" s="10">
        <v>2.69</v>
      </c>
      <c r="R511" s="10">
        <f t="shared" si="81"/>
        <v>0</v>
      </c>
      <c r="S511" s="10">
        <f t="shared" si="82"/>
        <v>0</v>
      </c>
      <c r="T511" s="10" t="s">
        <v>322</v>
      </c>
      <c r="U511" s="145">
        <v>0.33</v>
      </c>
      <c r="V511" s="10" t="str">
        <f>VLOOKUP(D511,A!B$1:T$1125,16,FALSE)</f>
        <v/>
      </c>
      <c r="W511" s="10">
        <f t="shared" si="83"/>
        <v>0</v>
      </c>
      <c r="X511" s="29"/>
      <c r="Y511" s="29"/>
      <c r="Z511" s="29"/>
      <c r="AA511" s="29"/>
    </row>
    <row r="512" spans="1:86" s="3" customFormat="1" ht="13.5" hidden="1" customHeight="1" x14ac:dyDescent="0.25">
      <c r="A512" t="str">
        <f>IF(R512=0,"",COUNTIF(A$13:A511,"&gt;0")+1)</f>
        <v/>
      </c>
      <c r="B512" s="4"/>
      <c r="C512" s="5" t="s">
        <v>22</v>
      </c>
      <c r="D512" s="7" t="s">
        <v>471</v>
      </c>
      <c r="E512" s="31"/>
      <c r="F512" s="31"/>
      <c r="G512" s="6" t="s">
        <v>472</v>
      </c>
      <c r="H512" s="7">
        <f>VLOOKUP(D512,A!B$1:L$1126,3,FALSE)</f>
        <v>0</v>
      </c>
      <c r="I512" s="31">
        <f>VLOOKUP(D512,A!B$1:L$1126,3,FALSE)</f>
        <v>0</v>
      </c>
      <c r="J512" s="92"/>
      <c r="K512" s="63" t="str">
        <f>VLOOKUP(D512,A!B$1:L$1126,6,FALSE)</f>
        <v/>
      </c>
      <c r="L512" s="162"/>
      <c r="M512" s="41" t="s">
        <v>473</v>
      </c>
      <c r="N512" s="94">
        <f>VLOOKUP(D512,A!B$1:L$1125,2,FALSE)</f>
        <v>0</v>
      </c>
      <c r="O512" s="94">
        <f>VLOOKUP(D512,A!B$1:L$1126,4,FALSE)</f>
        <v>0</v>
      </c>
      <c r="P512" s="10">
        <v>10</v>
      </c>
      <c r="Q512" s="10">
        <v>2.69</v>
      </c>
      <c r="R512" s="10">
        <f t="shared" si="81"/>
        <v>0</v>
      </c>
      <c r="S512" s="10">
        <f t="shared" si="82"/>
        <v>0</v>
      </c>
      <c r="T512" s="10" t="s">
        <v>322</v>
      </c>
      <c r="U512" s="145">
        <v>0.33</v>
      </c>
      <c r="V512" s="10" t="str">
        <f>VLOOKUP(D512,A!B$1:T$1125,16,FALSE)</f>
        <v/>
      </c>
      <c r="W512" s="10">
        <f t="shared" si="83"/>
        <v>0</v>
      </c>
      <c r="X512" s="29"/>
      <c r="Y512" s="29"/>
      <c r="Z512" s="29"/>
      <c r="AA512" s="29"/>
    </row>
    <row r="513" spans="1:252" s="3" customFormat="1" ht="13.5" hidden="1" customHeight="1" x14ac:dyDescent="0.25">
      <c r="A513" t="str">
        <f>IF(R513=0,"",COUNTIF(A$13:A512,"&gt;0")+1)</f>
        <v/>
      </c>
      <c r="B513" s="4"/>
      <c r="C513" s="5" t="s">
        <v>22</v>
      </c>
      <c r="D513" s="168" t="s">
        <v>474</v>
      </c>
      <c r="E513" s="169"/>
      <c r="F513" s="169"/>
      <c r="G513" s="6" t="s">
        <v>475</v>
      </c>
      <c r="H513" s="7">
        <f>VLOOKUP(D513,A!B$1:L$1126,3,FALSE)</f>
        <v>0</v>
      </c>
      <c r="I513" s="31">
        <f>VLOOKUP(D513,A!B$1:L$1126,3,FALSE)</f>
        <v>0</v>
      </c>
      <c r="J513" s="92"/>
      <c r="K513" s="63" t="str">
        <f>VLOOKUP(D513,A!B$1:L$1126,6,FALSE)</f>
        <v/>
      </c>
      <c r="L513" s="162"/>
      <c r="M513" s="41" t="s">
        <v>476</v>
      </c>
      <c r="N513" s="94">
        <f>VLOOKUP(D513,A!B$1:L$1125,2,FALSE)</f>
        <v>0</v>
      </c>
      <c r="O513" s="94">
        <f>VLOOKUP(D513,A!B$1:L$1126,4,FALSE)</f>
        <v>0</v>
      </c>
      <c r="P513" s="10">
        <v>10</v>
      </c>
      <c r="Q513" s="10">
        <v>2.69</v>
      </c>
      <c r="R513" s="10">
        <f t="shared" si="81"/>
        <v>0</v>
      </c>
      <c r="S513" s="10">
        <f t="shared" si="82"/>
        <v>0</v>
      </c>
      <c r="T513" s="10" t="s">
        <v>322</v>
      </c>
      <c r="U513" s="145">
        <v>0.33</v>
      </c>
      <c r="V513" s="10" t="str">
        <f>VLOOKUP(D513,A!B$1:T$1125,16,FALSE)</f>
        <v/>
      </c>
      <c r="W513" s="10">
        <f t="shared" si="83"/>
        <v>0</v>
      </c>
      <c r="X513" s="29"/>
      <c r="Y513" s="29"/>
      <c r="Z513" s="29"/>
      <c r="AA513" s="29"/>
    </row>
    <row r="514" spans="1:252" s="3" customFormat="1" ht="13.5" hidden="1" customHeight="1" x14ac:dyDescent="0.25">
      <c r="A514" t="str">
        <f>IF(R514=0,"",COUNTIF(A$13:A513,"&gt;0")+1)</f>
        <v/>
      </c>
      <c r="B514" s="4"/>
      <c r="C514" s="5" t="s">
        <v>22</v>
      </c>
      <c r="D514" s="7" t="s">
        <v>66</v>
      </c>
      <c r="E514" s="31"/>
      <c r="F514" s="31"/>
      <c r="G514" s="6" t="s">
        <v>67</v>
      </c>
      <c r="H514" s="7">
        <f>VLOOKUP(D514,A!B$1:L$1126,3,FALSE)</f>
        <v>0</v>
      </c>
      <c r="I514" s="31">
        <f>VLOOKUP(D514,A!B$1:L$1126,3,FALSE)</f>
        <v>0</v>
      </c>
      <c r="J514" s="92"/>
      <c r="K514" s="63" t="str">
        <f>VLOOKUP(D514,A!B$1:L$1126,6,FALSE)</f>
        <v/>
      </c>
      <c r="L514" s="2"/>
      <c r="M514" s="41" t="s">
        <v>68</v>
      </c>
      <c r="N514" s="94">
        <f>VLOOKUP(D514,A!B$1:L$1125,2,FALSE)</f>
        <v>0</v>
      </c>
      <c r="O514" s="94">
        <f>VLOOKUP(D514,A!B$1:L$1126,4,FALSE)</f>
        <v>0</v>
      </c>
      <c r="P514" s="10">
        <v>10</v>
      </c>
      <c r="Q514" s="10">
        <v>2.69</v>
      </c>
      <c r="R514" s="10">
        <f t="shared" si="81"/>
        <v>0</v>
      </c>
      <c r="S514" s="10">
        <f t="shared" si="82"/>
        <v>0</v>
      </c>
      <c r="T514" s="10" t="s">
        <v>322</v>
      </c>
      <c r="U514" s="145">
        <v>0.33</v>
      </c>
      <c r="V514" s="10" t="str">
        <f>VLOOKUP(D514,A!B$1:T$1125,16,FALSE)</f>
        <v/>
      </c>
      <c r="W514" s="10">
        <f t="shared" si="83"/>
        <v>0</v>
      </c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</row>
    <row r="515" spans="1:252" s="3" customFormat="1" ht="13.5" hidden="1" customHeight="1" x14ac:dyDescent="0.25">
      <c r="A515" t="str">
        <f>IF(R515=0,"",COUNTIF(A$13:A514,"&gt;0")+1)</f>
        <v/>
      </c>
      <c r="B515" s="4"/>
      <c r="C515" s="5" t="s">
        <v>22</v>
      </c>
      <c r="D515" s="7" t="s">
        <v>477</v>
      </c>
      <c r="E515" s="31"/>
      <c r="F515" s="31"/>
      <c r="G515" s="6" t="s">
        <v>469</v>
      </c>
      <c r="H515" s="7">
        <f>VLOOKUP(D515,A!B$1:L$1126,3,FALSE)</f>
        <v>0</v>
      </c>
      <c r="I515" s="31">
        <f>VLOOKUP(D515,A!B$1:L$1126,3,FALSE)</f>
        <v>0</v>
      </c>
      <c r="J515" s="92"/>
      <c r="K515" s="63" t="str">
        <f>VLOOKUP(D515,A!B$1:L$1126,6,FALSE)</f>
        <v/>
      </c>
      <c r="L515" s="162"/>
      <c r="M515" s="42" t="s">
        <v>478</v>
      </c>
      <c r="N515" s="94">
        <f>VLOOKUP(D515,A!B$1:L$1125,2,FALSE)</f>
        <v>0</v>
      </c>
      <c r="O515" s="94">
        <f>VLOOKUP(D515,A!B$1:L$1126,4,FALSE)</f>
        <v>0</v>
      </c>
      <c r="P515" s="10">
        <v>10</v>
      </c>
      <c r="Q515" s="10">
        <v>2.69</v>
      </c>
      <c r="R515" s="10">
        <f t="shared" si="81"/>
        <v>0</v>
      </c>
      <c r="S515" s="10">
        <f t="shared" si="82"/>
        <v>0</v>
      </c>
      <c r="T515" s="10" t="s">
        <v>322</v>
      </c>
      <c r="U515" s="145">
        <v>0.33</v>
      </c>
      <c r="V515" s="10" t="str">
        <f>VLOOKUP(D515,A!B$1:T$1125,16,FALSE)</f>
        <v/>
      </c>
      <c r="W515" s="10">
        <f t="shared" si="83"/>
        <v>0</v>
      </c>
      <c r="X515" s="29"/>
      <c r="Y515" s="29"/>
      <c r="Z515" s="29"/>
      <c r="AA515" s="29"/>
    </row>
    <row r="516" spans="1:252" s="3" customFormat="1" ht="13.5" hidden="1" customHeight="1" x14ac:dyDescent="0.25">
      <c r="A516" t="str">
        <f>IF(R516=0,"",COUNTIF(A$13:A515,"&gt;0")+1)</f>
        <v/>
      </c>
      <c r="B516" s="4"/>
      <c r="C516" s="5" t="s">
        <v>22</v>
      </c>
      <c r="D516" s="7" t="s">
        <v>479</v>
      </c>
      <c r="E516" s="31"/>
      <c r="F516" s="31"/>
      <c r="G516" s="6" t="s">
        <v>480</v>
      </c>
      <c r="H516" s="7">
        <f>VLOOKUP(D516,A!B$1:L$1126,3,FALSE)</f>
        <v>0</v>
      </c>
      <c r="I516" s="31">
        <f>VLOOKUP(D516,A!B$1:L$1126,3,FALSE)</f>
        <v>0</v>
      </c>
      <c r="J516" s="92"/>
      <c r="K516" s="63" t="str">
        <f>VLOOKUP(D516,A!B$1:L$1126,6,FALSE)</f>
        <v/>
      </c>
      <c r="L516" s="162"/>
      <c r="M516" s="41" t="s">
        <v>481</v>
      </c>
      <c r="N516" s="94">
        <f>VLOOKUP(D516,A!B$1:L$1125,2,FALSE)</f>
        <v>0</v>
      </c>
      <c r="O516" s="94">
        <f>VLOOKUP(D516,A!B$1:L$1126,4,FALSE)</f>
        <v>0</v>
      </c>
      <c r="P516" s="10">
        <v>10</v>
      </c>
      <c r="Q516" s="10">
        <v>2.69</v>
      </c>
      <c r="R516" s="10">
        <f t="shared" si="81"/>
        <v>0</v>
      </c>
      <c r="S516" s="10">
        <f t="shared" si="82"/>
        <v>0</v>
      </c>
      <c r="T516" s="10" t="s">
        <v>322</v>
      </c>
      <c r="U516" s="145">
        <v>0.33</v>
      </c>
      <c r="V516" s="10" t="str">
        <f>VLOOKUP(D516,A!B$1:T$1125,16,FALSE)</f>
        <v/>
      </c>
      <c r="W516" s="10">
        <f t="shared" si="83"/>
        <v>0</v>
      </c>
      <c r="X516" s="29"/>
      <c r="Y516" s="29"/>
      <c r="Z516" s="29"/>
      <c r="AA516" s="29"/>
    </row>
    <row r="517" spans="1:252" s="3" customFormat="1" ht="13.5" hidden="1" customHeight="1" x14ac:dyDescent="0.25">
      <c r="A517" t="str">
        <f>IF(R517=0,"",COUNTIF(A$13:A516,"&gt;0")+1)</f>
        <v/>
      </c>
      <c r="B517" s="4"/>
      <c r="C517" s="5" t="s">
        <v>22</v>
      </c>
      <c r="D517" s="7" t="s">
        <v>482</v>
      </c>
      <c r="E517" s="31"/>
      <c r="F517" s="31"/>
      <c r="G517" s="6" t="s">
        <v>483</v>
      </c>
      <c r="H517" s="7">
        <f>VLOOKUP(D517,A!B$1:L$1126,3,FALSE)</f>
        <v>0</v>
      </c>
      <c r="I517" s="31">
        <f>VLOOKUP(D517,A!B$1:L$1126,3,FALSE)</f>
        <v>0</v>
      </c>
      <c r="J517" s="92"/>
      <c r="K517" s="63" t="str">
        <f>VLOOKUP(D517,A!B$1:L$1126,6,FALSE)</f>
        <v/>
      </c>
      <c r="L517" s="162"/>
      <c r="M517" s="41" t="s">
        <v>484</v>
      </c>
      <c r="N517" s="94">
        <f>VLOOKUP(D517,A!B$1:L$1125,2,FALSE)</f>
        <v>0</v>
      </c>
      <c r="O517" s="94">
        <f>VLOOKUP(D517,A!B$1:L$1126,4,FALSE)</f>
        <v>0</v>
      </c>
      <c r="P517" s="10">
        <v>10</v>
      </c>
      <c r="Q517" s="10">
        <v>2.69</v>
      </c>
      <c r="R517" s="10">
        <f t="shared" si="81"/>
        <v>0</v>
      </c>
      <c r="S517" s="10">
        <f t="shared" si="82"/>
        <v>0</v>
      </c>
      <c r="T517" s="10" t="s">
        <v>322</v>
      </c>
      <c r="U517" s="145">
        <v>0.33</v>
      </c>
      <c r="V517" s="10" t="str">
        <f>VLOOKUP(D517,A!B$1:T$1125,16,FALSE)</f>
        <v/>
      </c>
      <c r="W517" s="10">
        <f t="shared" si="83"/>
        <v>0</v>
      </c>
      <c r="X517" s="29"/>
      <c r="Y517" s="29"/>
      <c r="Z517" s="29"/>
      <c r="AA517" s="29"/>
    </row>
    <row r="518" spans="1:252" s="3" customFormat="1" ht="13.5" hidden="1" customHeight="1" x14ac:dyDescent="0.25">
      <c r="A518" t="str">
        <f>IF(R518=0,"",COUNTIF(A$13:A517,"&gt;0")+1)</f>
        <v/>
      </c>
      <c r="B518" s="4"/>
      <c r="C518" s="5" t="s">
        <v>22</v>
      </c>
      <c r="D518" s="7" t="s">
        <v>485</v>
      </c>
      <c r="E518" s="31"/>
      <c r="F518" s="31"/>
      <c r="G518" s="6" t="s">
        <v>486</v>
      </c>
      <c r="H518" s="7">
        <f>VLOOKUP(D518,A!B$1:L$1126,3,FALSE)</f>
        <v>0</v>
      </c>
      <c r="I518" s="31">
        <f>VLOOKUP(D518,A!B$1:L$1126,3,FALSE)</f>
        <v>0</v>
      </c>
      <c r="J518" s="92"/>
      <c r="K518" s="63" t="str">
        <f>VLOOKUP(D518,A!B$1:L$1126,6,FALSE)</f>
        <v/>
      </c>
      <c r="L518" s="162"/>
      <c r="M518" s="41" t="s">
        <v>487</v>
      </c>
      <c r="N518" s="94">
        <f>VLOOKUP(D518,A!B$1:L$1125,2,FALSE)</f>
        <v>0</v>
      </c>
      <c r="O518" s="94">
        <f>VLOOKUP(D518,A!B$1:L$1126,4,FALSE)</f>
        <v>0</v>
      </c>
      <c r="P518" s="10">
        <v>10</v>
      </c>
      <c r="Q518" s="10">
        <v>2.69</v>
      </c>
      <c r="R518" s="10">
        <f t="shared" si="81"/>
        <v>0</v>
      </c>
      <c r="S518" s="10">
        <f t="shared" si="82"/>
        <v>0</v>
      </c>
      <c r="T518" s="10" t="s">
        <v>322</v>
      </c>
      <c r="U518" s="145">
        <v>0.33</v>
      </c>
      <c r="V518" s="10" t="str">
        <f>VLOOKUP(D518,A!B$1:T$1125,16,FALSE)</f>
        <v/>
      </c>
      <c r="W518" s="10">
        <f t="shared" si="83"/>
        <v>0</v>
      </c>
      <c r="X518" s="29"/>
      <c r="Y518" s="29"/>
      <c r="Z518" s="29"/>
      <c r="AA518" s="29"/>
    </row>
    <row r="519" spans="1:252" s="3" customFormat="1" ht="13.5" hidden="1" customHeight="1" x14ac:dyDescent="0.25">
      <c r="A519" t="str">
        <f>IF(R519=0,"",COUNTIF(A$13:A518,"&gt;0")+1)</f>
        <v/>
      </c>
      <c r="B519" s="4"/>
      <c r="C519" s="5" t="s">
        <v>22</v>
      </c>
      <c r="D519" s="7" t="s">
        <v>488</v>
      </c>
      <c r="E519" s="31"/>
      <c r="F519" s="31"/>
      <c r="G519" s="6" t="s">
        <v>489</v>
      </c>
      <c r="H519" s="7">
        <f>VLOOKUP(D519,A!B$1:L$1126,3,FALSE)</f>
        <v>0</v>
      </c>
      <c r="I519" s="31">
        <f>VLOOKUP(D519,A!B$1:L$1126,3,FALSE)</f>
        <v>0</v>
      </c>
      <c r="J519" s="92"/>
      <c r="K519" s="63" t="str">
        <f>VLOOKUP(D519,A!B$1:L$1126,6,FALSE)</f>
        <v/>
      </c>
      <c r="L519" s="162"/>
      <c r="M519" s="41" t="s">
        <v>490</v>
      </c>
      <c r="N519" s="94">
        <f>VLOOKUP(D519,A!B$1:L$1125,2,FALSE)</f>
        <v>0</v>
      </c>
      <c r="O519" s="94">
        <f>VLOOKUP(D519,A!B$1:L$1126,4,FALSE)</f>
        <v>0</v>
      </c>
      <c r="P519" s="10">
        <v>10</v>
      </c>
      <c r="Q519" s="10">
        <v>2.69</v>
      </c>
      <c r="R519" s="10">
        <f t="shared" si="81"/>
        <v>0</v>
      </c>
      <c r="S519" s="10">
        <f t="shared" si="82"/>
        <v>0</v>
      </c>
      <c r="T519" s="10" t="s">
        <v>322</v>
      </c>
      <c r="U519" s="145">
        <v>0.33</v>
      </c>
      <c r="V519" s="10" t="str">
        <f>VLOOKUP(D519,A!B$1:T$1125,16,FALSE)</f>
        <v/>
      </c>
      <c r="W519" s="10">
        <f t="shared" si="83"/>
        <v>0</v>
      </c>
      <c r="X519" s="29"/>
      <c r="Y519" s="29"/>
      <c r="Z519" s="29"/>
      <c r="AA519" s="29"/>
    </row>
    <row r="520" spans="1:252" s="3" customFormat="1" ht="13.5" hidden="1" customHeight="1" x14ac:dyDescent="0.25">
      <c r="A520" t="str">
        <f>IF(R520=0,"",COUNTIF(A$13:A519,"&gt;0")+1)</f>
        <v/>
      </c>
      <c r="B520" s="4"/>
      <c r="C520" s="5" t="s">
        <v>22</v>
      </c>
      <c r="D520" s="168" t="s">
        <v>491</v>
      </c>
      <c r="E520" s="169"/>
      <c r="F520" s="169"/>
      <c r="G520" s="6" t="s">
        <v>492</v>
      </c>
      <c r="H520" s="7">
        <f>VLOOKUP(D520,A!B$1:L$1126,3,FALSE)</f>
        <v>0</v>
      </c>
      <c r="I520" s="31">
        <f>VLOOKUP(D520,A!B$1:L$1126,3,FALSE)</f>
        <v>0</v>
      </c>
      <c r="J520" s="92"/>
      <c r="K520" s="63" t="str">
        <f>VLOOKUP(D520,A!B$1:L$1126,6,FALSE)</f>
        <v/>
      </c>
      <c r="L520" s="162"/>
      <c r="M520" s="41" t="s">
        <v>493</v>
      </c>
      <c r="N520" s="94">
        <f>VLOOKUP(D520,A!B$1:L$1125,2,FALSE)</f>
        <v>0</v>
      </c>
      <c r="O520" s="94">
        <f>VLOOKUP(D520,A!B$1:L$1126,4,FALSE)</f>
        <v>0</v>
      </c>
      <c r="P520" s="10">
        <v>10</v>
      </c>
      <c r="Q520" s="10">
        <v>2.69</v>
      </c>
      <c r="R520" s="10">
        <f t="shared" si="81"/>
        <v>0</v>
      </c>
      <c r="S520" s="10">
        <f t="shared" si="82"/>
        <v>0</v>
      </c>
      <c r="T520" s="10" t="s">
        <v>322</v>
      </c>
      <c r="U520" s="145">
        <v>0.33</v>
      </c>
      <c r="V520" s="10" t="str">
        <f>VLOOKUP(D520,A!B$1:T$1125,16,FALSE)</f>
        <v/>
      </c>
      <c r="W520" s="10">
        <f t="shared" si="83"/>
        <v>0</v>
      </c>
      <c r="X520" s="29"/>
      <c r="Y520" s="29"/>
      <c r="Z520" s="29"/>
      <c r="AA520" s="29"/>
    </row>
    <row r="521" spans="1:252" s="3" customFormat="1" ht="13.5" customHeight="1" x14ac:dyDescent="0.25">
      <c r="A521" t="str">
        <f>IF(R521=0,"",COUNTIF(A$13:A520,"&gt;0")+1)</f>
        <v/>
      </c>
      <c r="B521" s="4"/>
      <c r="C521" s="5" t="s">
        <v>22</v>
      </c>
      <c r="D521" s="7" t="s">
        <v>494</v>
      </c>
      <c r="E521" s="31"/>
      <c r="F521" s="31"/>
      <c r="G521" s="6" t="s">
        <v>469</v>
      </c>
      <c r="H521" s="7">
        <f>VLOOKUP(D521,A!B$1:L$1126,3,FALSE)</f>
        <v>1</v>
      </c>
      <c r="I521" s="31">
        <f>VLOOKUP(D521,A!B$1:L$1126,3,FALSE)</f>
        <v>1</v>
      </c>
      <c r="J521" s="92"/>
      <c r="K521" s="63" t="str">
        <f>VLOOKUP(D521,A!B$1:L$1126,6,FALSE)</f>
        <v/>
      </c>
      <c r="L521" s="162"/>
      <c r="M521" s="41" t="s">
        <v>495</v>
      </c>
      <c r="N521" s="94" t="str">
        <f>VLOOKUP(D521,A!B$1:L$1125,2,FALSE)</f>
        <v>y</v>
      </c>
      <c r="O521" s="94">
        <f>VLOOKUP(D521,A!B$1:L$1126,4,FALSE)</f>
        <v>0</v>
      </c>
      <c r="P521" s="10">
        <v>10</v>
      </c>
      <c r="Q521" s="10">
        <v>2.69</v>
      </c>
      <c r="R521" s="10">
        <f t="shared" si="81"/>
        <v>0</v>
      </c>
      <c r="S521" s="10">
        <f t="shared" si="82"/>
        <v>0</v>
      </c>
      <c r="T521" s="10" t="s">
        <v>322</v>
      </c>
      <c r="U521" s="145">
        <v>0.33</v>
      </c>
      <c r="V521" s="10" t="str">
        <f>VLOOKUP(D521,A!B$1:T$1125,16,FALSE)</f>
        <v/>
      </c>
      <c r="W521" s="10">
        <f t="shared" si="83"/>
        <v>0</v>
      </c>
      <c r="X521" s="29"/>
      <c r="Y521" s="29"/>
      <c r="Z521" s="29"/>
      <c r="AA521" s="29"/>
    </row>
    <row r="522" spans="1:252" s="3" customFormat="1" ht="13.5" hidden="1" customHeight="1" x14ac:dyDescent="0.25">
      <c r="A522" t="str">
        <f>IF(R522=0,"",COUNTIF(A$13:A521,"&gt;0")+1)</f>
        <v/>
      </c>
      <c r="B522" s="4"/>
      <c r="C522" s="5" t="s">
        <v>22</v>
      </c>
      <c r="D522" s="7" t="s">
        <v>496</v>
      </c>
      <c r="E522" s="31"/>
      <c r="F522" s="31"/>
      <c r="G522" s="6" t="s">
        <v>497</v>
      </c>
      <c r="H522" s="7">
        <f>VLOOKUP(D522,A!B$1:L$1126,3,FALSE)</f>
        <v>0</v>
      </c>
      <c r="I522" s="31">
        <f>VLOOKUP(D522,A!B$1:L$1126,3,FALSE)</f>
        <v>0</v>
      </c>
      <c r="J522" s="92"/>
      <c r="K522" s="63" t="str">
        <f>VLOOKUP(D522,A!B$1:L$1126,6,FALSE)</f>
        <v/>
      </c>
      <c r="L522" s="162"/>
      <c r="M522" s="41" t="s">
        <v>498</v>
      </c>
      <c r="N522" s="94">
        <f>VLOOKUP(D522,A!B$1:L$1125,2,FALSE)</f>
        <v>0</v>
      </c>
      <c r="O522" s="94">
        <f>VLOOKUP(D522,A!B$1:L$1126,4,FALSE)</f>
        <v>0</v>
      </c>
      <c r="P522" s="10">
        <v>10</v>
      </c>
      <c r="Q522" s="10">
        <v>2.69</v>
      </c>
      <c r="R522" s="10">
        <f t="shared" si="81"/>
        <v>0</v>
      </c>
      <c r="S522" s="10">
        <f t="shared" si="82"/>
        <v>0</v>
      </c>
      <c r="T522" s="10" t="s">
        <v>322</v>
      </c>
      <c r="U522" s="145">
        <v>0.33</v>
      </c>
      <c r="V522" s="10" t="str">
        <f>VLOOKUP(D522,A!B$1:T$1125,16,FALSE)</f>
        <v/>
      </c>
      <c r="W522" s="10">
        <f t="shared" si="83"/>
        <v>0</v>
      </c>
      <c r="X522" s="29"/>
      <c r="Y522" s="29"/>
      <c r="Z522" s="29"/>
      <c r="AA522" s="29"/>
    </row>
    <row r="523" spans="1:252" s="3" customFormat="1" ht="13.5" hidden="1" customHeight="1" x14ac:dyDescent="0.25">
      <c r="A523" t="str">
        <f>IF(R523=0,"",COUNTIF(A$13:A522,"&gt;0")+1)</f>
        <v/>
      </c>
      <c r="B523" s="4"/>
      <c r="C523" s="5" t="s">
        <v>22</v>
      </c>
      <c r="D523" s="7" t="s">
        <v>499</v>
      </c>
      <c r="E523" s="31"/>
      <c r="F523" s="31"/>
      <c r="G523" s="6" t="s">
        <v>500</v>
      </c>
      <c r="H523" s="7">
        <f>VLOOKUP(D523,A!B$1:L$1126,3,FALSE)</f>
        <v>0</v>
      </c>
      <c r="I523" s="31">
        <f>VLOOKUP(D523,A!B$1:L$1126,3,FALSE)</f>
        <v>0</v>
      </c>
      <c r="J523" s="92"/>
      <c r="K523" s="63" t="str">
        <f>VLOOKUP(D523,A!B$1:L$1126,6,FALSE)</f>
        <v/>
      </c>
      <c r="L523" s="162"/>
      <c r="M523" s="41" t="s">
        <v>501</v>
      </c>
      <c r="N523" s="94">
        <f>VLOOKUP(D523,A!B$1:L$1125,2,FALSE)</f>
        <v>0</v>
      </c>
      <c r="O523" s="94">
        <f>VLOOKUP(D523,A!B$1:L$1126,4,FALSE)</f>
        <v>0</v>
      </c>
      <c r="P523" s="10">
        <v>10</v>
      </c>
      <c r="Q523" s="10">
        <v>2.69</v>
      </c>
      <c r="R523" s="10">
        <f t="shared" si="81"/>
        <v>0</v>
      </c>
      <c r="S523" s="10">
        <f t="shared" si="82"/>
        <v>0</v>
      </c>
      <c r="T523" s="10" t="s">
        <v>322</v>
      </c>
      <c r="U523" s="145">
        <v>0.33</v>
      </c>
      <c r="V523" s="10" t="str">
        <f>VLOOKUP(D523,A!B$1:T$1125,16,FALSE)</f>
        <v/>
      </c>
      <c r="W523" s="10">
        <f t="shared" si="83"/>
        <v>0</v>
      </c>
      <c r="X523" s="29"/>
      <c r="Y523" s="29"/>
      <c r="Z523" s="29"/>
      <c r="AA523" s="29"/>
    </row>
    <row r="524" spans="1:252" s="3" customFormat="1" ht="13.5" hidden="1" customHeight="1" x14ac:dyDescent="0.25">
      <c r="A524" t="str">
        <f>IF(R524=0,"",COUNTIF(A$13:A523,"&gt;0")+1)</f>
        <v/>
      </c>
      <c r="B524" s="4"/>
      <c r="C524" s="5" t="s">
        <v>22</v>
      </c>
      <c r="D524" s="7" t="s">
        <v>502</v>
      </c>
      <c r="E524" s="31"/>
      <c r="F524" s="31"/>
      <c r="G524" s="6" t="s">
        <v>503</v>
      </c>
      <c r="H524" s="7">
        <f>VLOOKUP(D524,A!B$1:L$1126,3,FALSE)</f>
        <v>0</v>
      </c>
      <c r="I524" s="31">
        <f>VLOOKUP(D524,A!B$1:L$1126,3,FALSE)</f>
        <v>0</v>
      </c>
      <c r="J524" s="92"/>
      <c r="K524" s="63" t="str">
        <f>VLOOKUP(D524,A!B$1:L$1126,6,FALSE)</f>
        <v/>
      </c>
      <c r="L524" s="162"/>
      <c r="M524" s="41" t="s">
        <v>504</v>
      </c>
      <c r="N524" s="94">
        <f>VLOOKUP(D524,A!B$1:L$1125,2,FALSE)</f>
        <v>0</v>
      </c>
      <c r="O524" s="94">
        <f>VLOOKUP(D524,A!B$1:L$1126,4,FALSE)</f>
        <v>0</v>
      </c>
      <c r="P524" s="10">
        <v>10</v>
      </c>
      <c r="Q524" s="10">
        <v>2.69</v>
      </c>
      <c r="R524" s="10">
        <f t="shared" si="81"/>
        <v>0</v>
      </c>
      <c r="S524" s="10">
        <f t="shared" si="82"/>
        <v>0</v>
      </c>
      <c r="T524" s="10" t="s">
        <v>322</v>
      </c>
      <c r="U524" s="145">
        <v>0.33</v>
      </c>
      <c r="V524" s="10" t="str">
        <f>VLOOKUP(D524,A!B$1:T$1125,16,FALSE)</f>
        <v/>
      </c>
      <c r="W524" s="10">
        <f t="shared" si="83"/>
        <v>0</v>
      </c>
      <c r="X524" s="29"/>
      <c r="Y524" s="29"/>
      <c r="Z524" s="29"/>
      <c r="AA524" s="29"/>
      <c r="DV524" s="170"/>
      <c r="DW524" s="170"/>
      <c r="DX524" s="170"/>
      <c r="DY524" s="170"/>
      <c r="DZ524" s="170"/>
      <c r="EA524" s="170"/>
      <c r="EB524" s="170"/>
      <c r="EC524" s="170"/>
      <c r="ED524" s="170"/>
      <c r="EE524" s="170"/>
      <c r="EF524" s="170"/>
      <c r="EG524" s="170"/>
      <c r="EH524" s="170"/>
      <c r="EI524" s="170"/>
      <c r="EJ524" s="170"/>
      <c r="EK524" s="170"/>
      <c r="EL524" s="170"/>
      <c r="EM524" s="170"/>
      <c r="EN524" s="170"/>
      <c r="EO524" s="170"/>
      <c r="EP524" s="170"/>
      <c r="EQ524" s="170"/>
      <c r="ER524" s="170"/>
      <c r="ES524" s="170"/>
      <c r="ET524" s="170"/>
      <c r="EU524" s="170"/>
      <c r="EV524" s="170"/>
      <c r="EW524" s="170"/>
      <c r="EX524" s="170"/>
      <c r="EY524" s="170"/>
      <c r="EZ524" s="170"/>
      <c r="FA524" s="170"/>
      <c r="FB524" s="170"/>
      <c r="FC524" s="170"/>
      <c r="FD524" s="170"/>
      <c r="FE524" s="170"/>
      <c r="FF524" s="170"/>
      <c r="FG524" s="170"/>
      <c r="FH524" s="170"/>
      <c r="FI524" s="170"/>
      <c r="FJ524" s="170"/>
      <c r="FK524" s="170"/>
      <c r="FL524" s="170"/>
      <c r="FM524" s="170"/>
      <c r="FN524" s="170"/>
      <c r="FO524" s="170"/>
      <c r="FP524" s="170"/>
      <c r="FQ524" s="170"/>
      <c r="FR524" s="170"/>
      <c r="FS524" s="170"/>
      <c r="FT524" s="170"/>
      <c r="FU524" s="170"/>
      <c r="FV524" s="170"/>
      <c r="FW524" s="170"/>
      <c r="FX524" s="170"/>
      <c r="FY524" s="170"/>
      <c r="FZ524" s="170"/>
      <c r="GA524" s="170"/>
      <c r="GB524" s="170"/>
      <c r="GC524" s="170"/>
      <c r="GD524" s="170"/>
      <c r="GE524" s="170"/>
      <c r="GF524" s="170"/>
      <c r="GG524" s="170"/>
      <c r="GH524" s="170"/>
      <c r="GI524" s="170"/>
      <c r="GJ524" s="170"/>
      <c r="GK524" s="170"/>
      <c r="GL524" s="170"/>
      <c r="GM524" s="170"/>
      <c r="GN524" s="170"/>
      <c r="GO524" s="170"/>
      <c r="GP524" s="170"/>
      <c r="GQ524" s="170"/>
      <c r="GR524" s="170"/>
      <c r="GS524" s="170"/>
      <c r="GT524" s="170"/>
      <c r="GU524" s="170"/>
      <c r="GV524" s="170"/>
      <c r="GW524" s="170"/>
      <c r="GX524" s="170"/>
      <c r="GY524" s="170"/>
      <c r="GZ524" s="170"/>
      <c r="HA524" s="170"/>
      <c r="HB524" s="170"/>
      <c r="HC524" s="170"/>
      <c r="HD524" s="170"/>
      <c r="HE524" s="170"/>
      <c r="HF524" s="170"/>
      <c r="HG524" s="170"/>
      <c r="HH524" s="170"/>
      <c r="HI524" s="170"/>
      <c r="HJ524" s="170"/>
      <c r="HK524" s="170"/>
      <c r="HL524" s="170"/>
      <c r="HM524" s="170"/>
      <c r="HN524" s="170"/>
      <c r="HO524" s="170"/>
      <c r="HP524" s="170"/>
      <c r="HQ524" s="170"/>
      <c r="HR524" s="170"/>
      <c r="HS524" s="170"/>
      <c r="HT524" s="170"/>
      <c r="HU524" s="170"/>
      <c r="HV524" s="170"/>
      <c r="HW524" s="170"/>
      <c r="HX524" s="170"/>
      <c r="HY524" s="170"/>
      <c r="HZ524" s="170"/>
      <c r="IA524" s="170"/>
      <c r="IB524" s="170"/>
      <c r="IC524" s="170"/>
      <c r="ID524" s="170"/>
      <c r="IE524" s="170"/>
      <c r="IF524" s="170"/>
      <c r="IG524" s="170"/>
      <c r="IH524" s="170"/>
      <c r="II524" s="170"/>
      <c r="IJ524" s="170"/>
      <c r="IK524" s="170"/>
      <c r="IL524" s="170"/>
      <c r="IM524" s="170"/>
      <c r="IN524" s="170"/>
      <c r="IO524" s="170"/>
      <c r="IP524" s="170"/>
      <c r="IQ524" s="170"/>
      <c r="IR524" s="170"/>
    </row>
    <row r="525" spans="1:252" s="3" customFormat="1" ht="13.5" customHeight="1" x14ac:dyDescent="0.25">
      <c r="A525" t="str">
        <f>IF(R525=0,"",COUNTIF(A$13:A524,"&gt;0")+1)</f>
        <v/>
      </c>
      <c r="B525" s="4"/>
      <c r="C525" s="5" t="s">
        <v>22</v>
      </c>
      <c r="D525" s="7" t="s">
        <v>505</v>
      </c>
      <c r="E525" s="31"/>
      <c r="F525" s="31"/>
      <c r="G525" s="6" t="s">
        <v>506</v>
      </c>
      <c r="H525" s="7">
        <f>VLOOKUP(D525,A!B$1:L$1126,3,FALSE)</f>
        <v>1</v>
      </c>
      <c r="I525" s="31">
        <f>VLOOKUP(D525,A!B$1:L$1126,3,FALSE)</f>
        <v>1</v>
      </c>
      <c r="J525" s="92"/>
      <c r="K525" s="91" t="str">
        <f>VLOOKUP(D525,A!B$1:L$1126,6,FALSE)</f>
        <v/>
      </c>
      <c r="L525" s="162"/>
      <c r="M525" s="41" t="s">
        <v>507</v>
      </c>
      <c r="N525" s="94" t="str">
        <f>VLOOKUP(D525,A!B$1:L$1125,2,FALSE)</f>
        <v>y</v>
      </c>
      <c r="O525" s="94">
        <f>VLOOKUP(D525,A!B$1:L$1126,4,FALSE)</f>
        <v>0</v>
      </c>
      <c r="P525" s="10">
        <v>10</v>
      </c>
      <c r="Q525" s="10">
        <v>2.69</v>
      </c>
      <c r="R525" s="10">
        <f t="shared" si="81"/>
        <v>0</v>
      </c>
      <c r="S525" s="10">
        <f t="shared" si="82"/>
        <v>0</v>
      </c>
      <c r="T525" s="10" t="s">
        <v>322</v>
      </c>
      <c r="U525" s="145">
        <v>0.33</v>
      </c>
      <c r="V525" s="10" t="str">
        <f>VLOOKUP(D525,A!B$1:T$1125,16,FALSE)</f>
        <v/>
      </c>
      <c r="W525" s="10">
        <f t="shared" si="83"/>
        <v>0</v>
      </c>
      <c r="X525" s="29"/>
      <c r="Y525" s="29"/>
      <c r="Z525" s="29"/>
      <c r="AA525" s="29"/>
      <c r="DV525" s="170"/>
      <c r="DW525" s="170"/>
      <c r="DX525" s="170"/>
      <c r="DY525" s="170"/>
      <c r="DZ525" s="170"/>
      <c r="EA525" s="170"/>
      <c r="EB525" s="170"/>
      <c r="EC525" s="170"/>
      <c r="ED525" s="170"/>
      <c r="EE525" s="170"/>
      <c r="EF525" s="170"/>
      <c r="EG525" s="170"/>
      <c r="EH525" s="170"/>
      <c r="EI525" s="170"/>
      <c r="EJ525" s="170"/>
      <c r="EK525" s="170"/>
      <c r="EL525" s="170"/>
      <c r="EM525" s="170"/>
      <c r="EN525" s="170"/>
      <c r="EO525" s="170"/>
      <c r="EP525" s="170"/>
      <c r="EQ525" s="170"/>
      <c r="ER525" s="170"/>
      <c r="ES525" s="170"/>
      <c r="ET525" s="170"/>
      <c r="EU525" s="170"/>
      <c r="EV525" s="170"/>
      <c r="EW525" s="170"/>
      <c r="EX525" s="170"/>
      <c r="EY525" s="170"/>
      <c r="EZ525" s="170"/>
      <c r="FA525" s="170"/>
      <c r="FB525" s="170"/>
      <c r="FC525" s="170"/>
      <c r="FD525" s="170"/>
      <c r="FE525" s="170"/>
      <c r="FF525" s="170"/>
      <c r="FG525" s="170"/>
      <c r="FH525" s="170"/>
      <c r="FI525" s="170"/>
      <c r="FJ525" s="170"/>
      <c r="FK525" s="170"/>
      <c r="FL525" s="170"/>
      <c r="FM525" s="170"/>
      <c r="FN525" s="170"/>
      <c r="FO525" s="170"/>
      <c r="FP525" s="170"/>
      <c r="FQ525" s="170"/>
      <c r="FR525" s="170"/>
      <c r="FS525" s="170"/>
      <c r="FT525" s="170"/>
      <c r="FU525" s="170"/>
      <c r="FV525" s="170"/>
      <c r="FW525" s="170"/>
      <c r="FX525" s="170"/>
      <c r="FY525" s="170"/>
      <c r="FZ525" s="170"/>
      <c r="GA525" s="170"/>
      <c r="GB525" s="170"/>
      <c r="GC525" s="170"/>
      <c r="GD525" s="170"/>
      <c r="GE525" s="170"/>
      <c r="GF525" s="170"/>
      <c r="GG525" s="170"/>
      <c r="GH525" s="170"/>
      <c r="GI525" s="170"/>
      <c r="GJ525" s="170"/>
      <c r="GK525" s="170"/>
      <c r="GL525" s="170"/>
      <c r="GM525" s="170"/>
      <c r="GN525" s="170"/>
      <c r="GO525" s="170"/>
      <c r="GP525" s="170"/>
      <c r="GQ525" s="170"/>
      <c r="GR525" s="170"/>
      <c r="GS525" s="170"/>
      <c r="GT525" s="170"/>
      <c r="GU525" s="170"/>
      <c r="GV525" s="170"/>
      <c r="GW525" s="170"/>
      <c r="GX525" s="170"/>
      <c r="GY525" s="170"/>
      <c r="GZ525" s="170"/>
      <c r="HA525" s="170"/>
      <c r="HB525" s="170"/>
      <c r="HC525" s="170"/>
      <c r="HD525" s="170"/>
      <c r="HE525" s="170"/>
      <c r="HF525" s="170"/>
      <c r="HG525" s="170"/>
      <c r="HH525" s="170"/>
      <c r="HI525" s="170"/>
      <c r="HJ525" s="170"/>
      <c r="HK525" s="170"/>
      <c r="HL525" s="170"/>
      <c r="HM525" s="170"/>
      <c r="HN525" s="170"/>
      <c r="HO525" s="170"/>
      <c r="HP525" s="170"/>
      <c r="HQ525" s="170"/>
      <c r="HR525" s="170"/>
      <c r="HS525" s="170"/>
      <c r="HT525" s="170"/>
      <c r="HU525" s="170"/>
      <c r="HV525" s="170"/>
      <c r="HW525" s="170"/>
      <c r="HX525" s="170"/>
      <c r="HY525" s="170"/>
      <c r="HZ525" s="170"/>
      <c r="IA525" s="170"/>
      <c r="IB525" s="170"/>
      <c r="IC525" s="170"/>
      <c r="ID525" s="170"/>
      <c r="IE525" s="170"/>
      <c r="IF525" s="170"/>
      <c r="IG525" s="170"/>
      <c r="IH525" s="170"/>
      <c r="II525" s="170"/>
      <c r="IJ525" s="170"/>
      <c r="IK525" s="170"/>
      <c r="IL525" s="170"/>
      <c r="IM525" s="170"/>
      <c r="IN525" s="170"/>
      <c r="IO525" s="170"/>
      <c r="IP525" s="170"/>
      <c r="IQ525" s="170"/>
      <c r="IR525" s="170"/>
    </row>
    <row r="526" spans="1:252" s="3" customFormat="1" ht="13.5" hidden="1" customHeight="1" x14ac:dyDescent="0.25">
      <c r="A526" t="str">
        <f>IF(R526=0,"",COUNTIF(A$13:A525,"&gt;0")+1)</f>
        <v/>
      </c>
      <c r="B526" s="4"/>
      <c r="C526" s="5" t="s">
        <v>22</v>
      </c>
      <c r="D526" s="7" t="s">
        <v>508</v>
      </c>
      <c r="E526" s="31"/>
      <c r="F526" s="31"/>
      <c r="G526" s="6" t="s">
        <v>509</v>
      </c>
      <c r="H526" s="7">
        <f>VLOOKUP(D526,A!B$1:L$1126,3,FALSE)</f>
        <v>0</v>
      </c>
      <c r="I526" s="31">
        <f>VLOOKUP(D526,A!B$1:L$1126,3,FALSE)</f>
        <v>0</v>
      </c>
      <c r="J526" s="92"/>
      <c r="K526" s="91" t="str">
        <f>VLOOKUP(D526,A!B$1:L$1126,6,FALSE)</f>
        <v/>
      </c>
      <c r="L526" s="162"/>
      <c r="M526" s="41" t="s">
        <v>510</v>
      </c>
      <c r="N526" s="94">
        <f>VLOOKUP(D526,A!B$1:L$1125,2,FALSE)</f>
        <v>0</v>
      </c>
      <c r="O526" s="94">
        <f>VLOOKUP(D526,A!B$1:L$1126,4,FALSE)</f>
        <v>0</v>
      </c>
      <c r="P526" s="10">
        <v>10</v>
      </c>
      <c r="Q526" s="10">
        <v>2.69</v>
      </c>
      <c r="R526" s="10">
        <f t="shared" si="81"/>
        <v>0</v>
      </c>
      <c r="S526" s="10">
        <f t="shared" si="82"/>
        <v>0</v>
      </c>
      <c r="T526" s="10" t="s">
        <v>322</v>
      </c>
      <c r="U526" s="145">
        <v>0.33</v>
      </c>
      <c r="V526" s="10" t="str">
        <f>VLOOKUP(D526,A!B$1:T$1125,16,FALSE)</f>
        <v/>
      </c>
      <c r="W526" s="10">
        <f t="shared" si="83"/>
        <v>0</v>
      </c>
      <c r="X526" s="227"/>
      <c r="Y526" s="227"/>
      <c r="Z526" s="227"/>
      <c r="AA526" s="227"/>
      <c r="AB526" s="170"/>
      <c r="AC526" s="170"/>
      <c r="AD526" s="170"/>
      <c r="AE526" s="170"/>
      <c r="AF526" s="170"/>
      <c r="AG526" s="170"/>
      <c r="AH526" s="170"/>
      <c r="AI526" s="170"/>
      <c r="AJ526" s="170"/>
      <c r="AK526" s="170"/>
      <c r="AL526" s="170"/>
      <c r="AM526" s="170"/>
      <c r="AN526" s="170"/>
      <c r="AO526" s="170"/>
      <c r="AP526" s="170"/>
      <c r="AQ526" s="170"/>
      <c r="AR526" s="170"/>
      <c r="AS526" s="170"/>
      <c r="AT526" s="170"/>
      <c r="AU526" s="170"/>
      <c r="AV526" s="170"/>
      <c r="AW526" s="170"/>
      <c r="AX526" s="170"/>
      <c r="AY526" s="170"/>
      <c r="AZ526" s="170"/>
      <c r="BA526" s="170"/>
      <c r="BB526" s="170"/>
      <c r="BC526" s="170"/>
      <c r="BD526" s="170"/>
      <c r="BE526" s="170"/>
      <c r="BF526" s="170"/>
      <c r="BG526" s="170"/>
      <c r="BH526" s="170"/>
      <c r="BI526" s="170"/>
      <c r="BJ526" s="170"/>
      <c r="BK526" s="170"/>
      <c r="BL526" s="170"/>
      <c r="BM526" s="170"/>
      <c r="BN526" s="170"/>
      <c r="BO526" s="170"/>
      <c r="BP526" s="170"/>
      <c r="BQ526" s="170"/>
      <c r="BR526" s="170"/>
      <c r="BS526" s="170"/>
      <c r="BT526" s="170"/>
      <c r="BU526" s="170"/>
      <c r="BV526" s="170"/>
      <c r="BW526" s="170"/>
      <c r="BX526" s="170"/>
      <c r="BY526" s="170"/>
      <c r="BZ526" s="170"/>
      <c r="CA526" s="170"/>
      <c r="CB526" s="170"/>
      <c r="CC526" s="170"/>
      <c r="CD526" s="170"/>
      <c r="CE526" s="170"/>
      <c r="CF526" s="170"/>
      <c r="CG526" s="170"/>
      <c r="CH526" s="170"/>
      <c r="CI526" s="170"/>
      <c r="CJ526" s="170"/>
      <c r="CK526" s="170"/>
      <c r="CL526" s="170"/>
      <c r="CM526" s="170"/>
      <c r="CN526" s="170"/>
      <c r="CO526" s="170"/>
      <c r="CP526" s="170"/>
      <c r="CQ526" s="170"/>
      <c r="CR526" s="170"/>
      <c r="CS526" s="170"/>
      <c r="CT526" s="170"/>
      <c r="CU526" s="170"/>
      <c r="CV526" s="170"/>
      <c r="CW526" s="170"/>
      <c r="CX526" s="170"/>
      <c r="CY526" s="170"/>
      <c r="CZ526" s="170"/>
      <c r="DA526" s="170"/>
      <c r="DB526" s="170"/>
      <c r="DC526" s="170"/>
      <c r="DD526" s="170"/>
      <c r="DE526" s="170"/>
      <c r="DF526" s="170"/>
      <c r="DG526" s="170"/>
      <c r="DH526" s="170"/>
      <c r="DI526" s="170"/>
      <c r="DJ526" s="170"/>
      <c r="DK526" s="170"/>
      <c r="DL526" s="170"/>
      <c r="DM526" s="170"/>
      <c r="DN526" s="170"/>
      <c r="DO526" s="170"/>
      <c r="DP526" s="170"/>
      <c r="DQ526" s="170"/>
      <c r="DR526" s="170"/>
      <c r="DS526" s="170"/>
      <c r="DT526" s="170"/>
      <c r="DU526" s="170"/>
    </row>
    <row r="527" spans="1:252" s="3" customFormat="1" ht="13.5" hidden="1" customHeight="1" x14ac:dyDescent="0.25">
      <c r="A527" t="str">
        <f>IF(R527=0,"",COUNTIF(A$13:A526,"&gt;0")+1)</f>
        <v/>
      </c>
      <c r="B527" s="4"/>
      <c r="C527" s="5" t="s">
        <v>22</v>
      </c>
      <c r="D527" s="7" t="s">
        <v>511</v>
      </c>
      <c r="E527" s="31"/>
      <c r="F527" s="31"/>
      <c r="G527" s="6" t="s">
        <v>512</v>
      </c>
      <c r="H527" s="7">
        <f>VLOOKUP(D527,A!B$1:L$1126,3,FALSE)</f>
        <v>0</v>
      </c>
      <c r="I527" s="31">
        <f>VLOOKUP(D527,A!B$1:L$1126,3,FALSE)</f>
        <v>0</v>
      </c>
      <c r="J527" s="92"/>
      <c r="K527" s="91" t="str">
        <f>VLOOKUP(D527,A!B$1:L$1126,6,FALSE)</f>
        <v/>
      </c>
      <c r="L527" s="162"/>
      <c r="M527" s="41" t="s">
        <v>513</v>
      </c>
      <c r="N527" s="94">
        <f>VLOOKUP(D527,A!B$1:L$1125,2,FALSE)</f>
        <v>0</v>
      </c>
      <c r="O527" s="94">
        <f>VLOOKUP(D527,A!B$1:L$1126,4,FALSE)</f>
        <v>0</v>
      </c>
      <c r="P527" s="10">
        <v>10</v>
      </c>
      <c r="Q527" s="10">
        <v>2.69</v>
      </c>
      <c r="R527" s="10">
        <f t="shared" si="81"/>
        <v>0</v>
      </c>
      <c r="S527" s="10">
        <f t="shared" si="82"/>
        <v>0</v>
      </c>
      <c r="T527" s="10" t="s">
        <v>322</v>
      </c>
      <c r="U527" s="145">
        <v>0.33</v>
      </c>
      <c r="V527" s="10" t="str">
        <f>VLOOKUP(D527,A!B$1:T$1125,16,FALSE)</f>
        <v/>
      </c>
      <c r="W527" s="10">
        <f t="shared" si="83"/>
        <v>0</v>
      </c>
      <c r="X527" s="227"/>
      <c r="Y527" s="227"/>
      <c r="Z527" s="227"/>
      <c r="AA527" s="227"/>
      <c r="AB527" s="170"/>
      <c r="AC527" s="170"/>
      <c r="AD527" s="170"/>
      <c r="AE527" s="170"/>
      <c r="AF527" s="170"/>
      <c r="AG527" s="170"/>
      <c r="AH527" s="170"/>
      <c r="AI527" s="170"/>
      <c r="AJ527" s="170"/>
      <c r="AK527" s="170"/>
      <c r="AL527" s="170"/>
      <c r="AM527" s="170"/>
      <c r="AN527" s="170"/>
      <c r="AO527" s="170"/>
      <c r="AP527" s="170"/>
      <c r="AQ527" s="170"/>
      <c r="AR527" s="170"/>
      <c r="AS527" s="170"/>
      <c r="AT527" s="170"/>
      <c r="AU527" s="170"/>
      <c r="AV527" s="170"/>
      <c r="AW527" s="170"/>
      <c r="AX527" s="170"/>
      <c r="AY527" s="170"/>
      <c r="AZ527" s="170"/>
      <c r="BA527" s="170"/>
      <c r="BB527" s="170"/>
      <c r="BC527" s="170"/>
      <c r="BD527" s="170"/>
      <c r="BE527" s="170"/>
      <c r="BF527" s="170"/>
      <c r="BG527" s="170"/>
      <c r="BH527" s="170"/>
      <c r="BI527" s="170"/>
      <c r="BJ527" s="170"/>
      <c r="BK527" s="170"/>
      <c r="BL527" s="170"/>
      <c r="BM527" s="170"/>
      <c r="BN527" s="170"/>
      <c r="BO527" s="170"/>
      <c r="BP527" s="170"/>
      <c r="BQ527" s="170"/>
      <c r="BR527" s="170"/>
      <c r="BS527" s="170"/>
      <c r="BT527" s="170"/>
      <c r="BU527" s="170"/>
      <c r="BV527" s="170"/>
      <c r="BW527" s="170"/>
      <c r="BX527" s="170"/>
      <c r="BY527" s="170"/>
      <c r="BZ527" s="170"/>
      <c r="CA527" s="170"/>
      <c r="CB527" s="170"/>
      <c r="CC527" s="170"/>
      <c r="CD527" s="170"/>
      <c r="CE527" s="170"/>
      <c r="CF527" s="170"/>
      <c r="CG527" s="170"/>
      <c r="CH527" s="170"/>
      <c r="CI527" s="170"/>
      <c r="CJ527" s="170"/>
      <c r="CK527" s="170"/>
      <c r="CL527" s="170"/>
      <c r="CM527" s="170"/>
      <c r="CN527" s="170"/>
      <c r="CO527" s="170"/>
      <c r="CP527" s="170"/>
      <c r="CQ527" s="170"/>
      <c r="CR527" s="170"/>
      <c r="CS527" s="170"/>
      <c r="CT527" s="170"/>
      <c r="CU527" s="170"/>
      <c r="CV527" s="170"/>
      <c r="CW527" s="170"/>
      <c r="CX527" s="170"/>
      <c r="CY527" s="170"/>
      <c r="CZ527" s="170"/>
      <c r="DA527" s="170"/>
      <c r="DB527" s="170"/>
      <c r="DC527" s="170"/>
      <c r="DD527" s="170"/>
      <c r="DE527" s="170"/>
      <c r="DF527" s="170"/>
      <c r="DG527" s="170"/>
      <c r="DH527" s="170"/>
      <c r="DI527" s="170"/>
      <c r="DJ527" s="170"/>
      <c r="DK527" s="170"/>
      <c r="DL527" s="170"/>
      <c r="DM527" s="170"/>
      <c r="DN527" s="170"/>
      <c r="DO527" s="170"/>
      <c r="DP527" s="170"/>
      <c r="DQ527" s="170"/>
      <c r="DR527" s="170"/>
      <c r="DS527" s="170"/>
      <c r="DT527" s="170"/>
      <c r="DU527" s="170"/>
    </row>
    <row r="528" spans="1:252" s="3" customFormat="1" ht="13.5" hidden="1" customHeight="1" x14ac:dyDescent="0.25">
      <c r="A528" t="str">
        <f>IF(R528=0,"",COUNTIF(A$13:A527,"&gt;0")+1)</f>
        <v/>
      </c>
      <c r="B528" s="4"/>
      <c r="C528" s="5" t="s">
        <v>22</v>
      </c>
      <c r="D528" s="7" t="s">
        <v>514</v>
      </c>
      <c r="E528" s="31"/>
      <c r="F528" s="31"/>
      <c r="G528" s="6" t="s">
        <v>515</v>
      </c>
      <c r="H528" s="7">
        <f>VLOOKUP(D528,A!B$1:L$1126,3,FALSE)</f>
        <v>0</v>
      </c>
      <c r="I528" s="31">
        <f>VLOOKUP(D528,A!B$1:L$1126,3,FALSE)</f>
        <v>0</v>
      </c>
      <c r="J528" s="92"/>
      <c r="K528" s="91" t="str">
        <f>VLOOKUP(D528,A!B$1:L$1126,6,FALSE)</f>
        <v/>
      </c>
      <c r="L528" s="162"/>
      <c r="M528" s="41" t="s">
        <v>516</v>
      </c>
      <c r="N528" s="94">
        <f>VLOOKUP(D528,A!B$1:L$1125,2,FALSE)</f>
        <v>0</v>
      </c>
      <c r="O528" s="94">
        <f>VLOOKUP(D528,A!B$1:L$1126,4,FALSE)</f>
        <v>0</v>
      </c>
      <c r="P528" s="10">
        <v>10</v>
      </c>
      <c r="Q528" s="10">
        <v>2.69</v>
      </c>
      <c r="R528" s="10">
        <f t="shared" si="81"/>
        <v>0</v>
      </c>
      <c r="S528" s="10">
        <f t="shared" si="82"/>
        <v>0</v>
      </c>
      <c r="T528" s="10" t="s">
        <v>322</v>
      </c>
      <c r="U528" s="145">
        <v>0.33</v>
      </c>
      <c r="V528" s="10" t="str">
        <f>VLOOKUP(D528,A!B$1:T$1125,16,FALSE)</f>
        <v/>
      </c>
      <c r="W528" s="10">
        <f t="shared" si="83"/>
        <v>0</v>
      </c>
      <c r="X528" s="29"/>
      <c r="Y528" s="29"/>
      <c r="Z528" s="29"/>
      <c r="AA528" s="29"/>
    </row>
    <row r="529" spans="1:126" s="171" customFormat="1" ht="13.5" customHeight="1" x14ac:dyDescent="0.25">
      <c r="A529" t="str">
        <f>IF(R529=0,"",COUNTIF(A$13:A528,"&gt;0")+1)</f>
        <v/>
      </c>
      <c r="B529" s="4"/>
      <c r="C529" s="5" t="s">
        <v>22</v>
      </c>
      <c r="D529" s="7" t="s">
        <v>517</v>
      </c>
      <c r="E529" s="31"/>
      <c r="F529" s="31"/>
      <c r="G529" s="6" t="s">
        <v>518</v>
      </c>
      <c r="H529" s="7">
        <f>VLOOKUP(D529,A!B$1:L$1126,3,FALSE)</f>
        <v>1</v>
      </c>
      <c r="I529" s="31">
        <f>VLOOKUP(D529,A!B$1:L$1126,3,FALSE)</f>
        <v>1</v>
      </c>
      <c r="J529" s="92"/>
      <c r="K529" s="91" t="str">
        <f>VLOOKUP(D529,A!B$1:L$1126,6,FALSE)</f>
        <v/>
      </c>
      <c r="L529" s="162"/>
      <c r="M529" s="41" t="s">
        <v>519</v>
      </c>
      <c r="N529" s="94" t="str">
        <f>VLOOKUP(D529,A!B$1:L$1125,2,FALSE)</f>
        <v>y</v>
      </c>
      <c r="O529" s="94">
        <f>VLOOKUP(D529,A!B$1:L$1126,4,FALSE)</f>
        <v>0</v>
      </c>
      <c r="P529" s="10">
        <v>10</v>
      </c>
      <c r="Q529" s="10">
        <v>2.69</v>
      </c>
      <c r="R529" s="10">
        <f t="shared" si="81"/>
        <v>0</v>
      </c>
      <c r="S529" s="10">
        <f t="shared" si="82"/>
        <v>0</v>
      </c>
      <c r="T529" s="10" t="s">
        <v>322</v>
      </c>
      <c r="U529" s="145">
        <v>0.33</v>
      </c>
      <c r="V529" s="10" t="str">
        <f>VLOOKUP(D529,A!B$1:T$1125,16,FALSE)</f>
        <v/>
      </c>
      <c r="W529" s="10">
        <f t="shared" si="83"/>
        <v>0</v>
      </c>
      <c r="X529" s="29"/>
      <c r="Y529" s="29"/>
      <c r="Z529" s="29"/>
      <c r="AA529" s="29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</row>
    <row r="530" spans="1:126" s="171" customFormat="1" ht="13.5" hidden="1" customHeight="1" x14ac:dyDescent="0.25">
      <c r="A530" t="str">
        <f>IF(R530=0,"",COUNTIF(A$13:A529,"&gt;0")+1)</f>
        <v/>
      </c>
      <c r="B530" s="4"/>
      <c r="C530" s="5" t="s">
        <v>22</v>
      </c>
      <c r="D530" s="7" t="s">
        <v>520</v>
      </c>
      <c r="E530" s="31"/>
      <c r="F530" s="31"/>
      <c r="G530" s="6" t="s">
        <v>521</v>
      </c>
      <c r="H530" s="7">
        <f>VLOOKUP(D530,A!B$1:L$1126,3,FALSE)</f>
        <v>0</v>
      </c>
      <c r="I530" s="31">
        <f>VLOOKUP(D530,A!B$1:L$1126,3,FALSE)</f>
        <v>0</v>
      </c>
      <c r="J530" s="92"/>
      <c r="K530" s="91" t="str">
        <f>VLOOKUP(D530,A!B$1:L$1126,6,FALSE)</f>
        <v/>
      </c>
      <c r="L530" s="162"/>
      <c r="M530" s="43" t="s">
        <v>522</v>
      </c>
      <c r="N530" s="94">
        <f>VLOOKUP(D530,A!B$1:L$1125,2,FALSE)</f>
        <v>0</v>
      </c>
      <c r="O530" s="94">
        <f>VLOOKUP(D530,A!B$1:L$1126,4,FALSE)</f>
        <v>0</v>
      </c>
      <c r="P530" s="10">
        <v>10</v>
      </c>
      <c r="Q530" s="10">
        <v>2.69</v>
      </c>
      <c r="R530" s="10">
        <f t="shared" si="81"/>
        <v>0</v>
      </c>
      <c r="S530" s="10">
        <f t="shared" si="82"/>
        <v>0</v>
      </c>
      <c r="T530" s="10" t="s">
        <v>322</v>
      </c>
      <c r="U530" s="145">
        <v>0.33</v>
      </c>
      <c r="V530" s="10" t="str">
        <f>VLOOKUP(D530,A!B$1:T$1125,16,FALSE)</f>
        <v/>
      </c>
      <c r="W530" s="10">
        <f t="shared" si="83"/>
        <v>0</v>
      </c>
      <c r="X530" s="29"/>
      <c r="Y530" s="29"/>
      <c r="Z530" s="29"/>
      <c r="AA530" s="29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</row>
    <row r="531" spans="1:126" s="3" customFormat="1" ht="13.5" hidden="1" customHeight="1" x14ac:dyDescent="0.25">
      <c r="A531" t="str">
        <f>IF(R531=0,"",COUNTIF(A$13:A530,"&gt;0")+1)</f>
        <v/>
      </c>
      <c r="B531" s="4"/>
      <c r="C531" s="5" t="s">
        <v>22</v>
      </c>
      <c r="D531" s="7" t="s">
        <v>526</v>
      </c>
      <c r="E531" s="31"/>
      <c r="F531" s="31"/>
      <c r="G531" s="6" t="s">
        <v>527</v>
      </c>
      <c r="H531" s="7">
        <f>VLOOKUP(D531,A!B$1:L$1126,3,FALSE)</f>
        <v>0</v>
      </c>
      <c r="I531" s="31">
        <f>VLOOKUP(D531,A!B$1:L$1126,3,FALSE)</f>
        <v>0</v>
      </c>
      <c r="J531" s="92"/>
      <c r="K531" s="91" t="str">
        <f>VLOOKUP(D531,A!B$1:L$1126,6,FALSE)</f>
        <v/>
      </c>
      <c r="L531" s="162"/>
      <c r="M531" s="41" t="s">
        <v>528</v>
      </c>
      <c r="N531" s="94">
        <f>VLOOKUP(D531,A!B$1:L$1125,2,FALSE)</f>
        <v>0</v>
      </c>
      <c r="O531" s="94">
        <f>VLOOKUP(D531,A!B$1:L$1126,4,FALSE)</f>
        <v>0</v>
      </c>
      <c r="P531" s="10">
        <v>10</v>
      </c>
      <c r="Q531" s="10">
        <v>2.69</v>
      </c>
      <c r="R531" s="10">
        <f t="shared" si="81"/>
        <v>0</v>
      </c>
      <c r="S531" s="10">
        <f t="shared" si="82"/>
        <v>0</v>
      </c>
      <c r="T531" s="10" t="s">
        <v>322</v>
      </c>
      <c r="U531" s="145">
        <v>0.33</v>
      </c>
      <c r="V531" s="10" t="str">
        <f>VLOOKUP(D531,A!B$1:T$1125,16,FALSE)</f>
        <v/>
      </c>
      <c r="W531" s="10">
        <f t="shared" si="83"/>
        <v>0</v>
      </c>
      <c r="X531" s="228"/>
      <c r="Y531" s="228"/>
      <c r="Z531" s="228"/>
      <c r="AA531" s="228"/>
      <c r="AB531" s="171"/>
      <c r="AC531" s="171"/>
      <c r="AD531" s="171"/>
      <c r="AE531" s="171"/>
      <c r="AF531" s="171"/>
      <c r="AG531" s="171"/>
      <c r="AH531" s="171"/>
      <c r="AI531" s="171"/>
      <c r="AJ531" s="171"/>
      <c r="AK531" s="171"/>
      <c r="AL531" s="171"/>
      <c r="AM531" s="171"/>
      <c r="AN531" s="171"/>
      <c r="AO531" s="171"/>
      <c r="AP531" s="171"/>
      <c r="AQ531" s="171"/>
      <c r="AR531" s="171"/>
      <c r="AS531" s="171"/>
      <c r="AT531" s="171"/>
      <c r="AU531" s="171"/>
      <c r="AV531" s="171"/>
      <c r="AW531" s="171"/>
      <c r="AX531" s="171"/>
      <c r="AY531" s="171"/>
      <c r="AZ531" s="171"/>
      <c r="BA531" s="171"/>
      <c r="BB531" s="171"/>
      <c r="BC531" s="171"/>
      <c r="BD531" s="171"/>
      <c r="BE531" s="171"/>
      <c r="BF531" s="171"/>
      <c r="BG531" s="171"/>
      <c r="BH531" s="171"/>
      <c r="BI531" s="171"/>
      <c r="BJ531" s="171"/>
      <c r="BK531" s="171"/>
      <c r="BL531" s="171"/>
      <c r="BM531" s="171"/>
      <c r="BN531" s="171"/>
      <c r="BO531" s="171"/>
      <c r="BP531" s="171"/>
      <c r="BQ531" s="171"/>
      <c r="BR531" s="171"/>
      <c r="BS531" s="171"/>
      <c r="BT531" s="171"/>
      <c r="BU531" s="171"/>
      <c r="BV531" s="171"/>
      <c r="BW531" s="171"/>
      <c r="BX531" s="171"/>
      <c r="BY531" s="171"/>
      <c r="BZ531" s="171"/>
      <c r="CA531" s="171"/>
      <c r="CB531" s="171"/>
      <c r="CC531" s="171"/>
      <c r="CD531" s="171"/>
      <c r="CE531" s="171"/>
      <c r="CF531" s="171"/>
      <c r="CG531" s="171"/>
      <c r="CH531" s="171"/>
      <c r="CI531" s="171"/>
      <c r="CJ531" s="171"/>
      <c r="CK531" s="171"/>
      <c r="CL531" s="171"/>
      <c r="CM531" s="171"/>
      <c r="CN531" s="171"/>
      <c r="CO531" s="171"/>
      <c r="CP531" s="171"/>
      <c r="CQ531" s="171"/>
      <c r="CR531" s="171"/>
      <c r="CS531" s="171"/>
      <c r="CT531" s="171"/>
      <c r="CU531" s="171"/>
      <c r="CV531" s="171"/>
      <c r="CW531" s="171"/>
      <c r="CX531" s="171"/>
      <c r="CY531" s="171"/>
      <c r="CZ531" s="171"/>
      <c r="DA531" s="171"/>
      <c r="DB531" s="171"/>
      <c r="DC531" s="171"/>
      <c r="DD531" s="171"/>
      <c r="DE531" s="171"/>
      <c r="DF531" s="171"/>
      <c r="DG531" s="171"/>
      <c r="DH531" s="171"/>
      <c r="DI531" s="171"/>
      <c r="DJ531" s="171"/>
      <c r="DK531" s="171"/>
      <c r="DL531" s="171"/>
      <c r="DM531" s="171"/>
      <c r="DN531" s="171"/>
      <c r="DO531" s="171"/>
      <c r="DP531" s="171"/>
      <c r="DQ531" s="171"/>
      <c r="DR531" s="171"/>
      <c r="DS531" s="171"/>
      <c r="DT531" s="171"/>
      <c r="DU531" s="171"/>
    </row>
    <row r="532" spans="1:126" s="3" customFormat="1" ht="13.5" hidden="1" customHeight="1" x14ac:dyDescent="0.25">
      <c r="A532" t="str">
        <f>IF(R532=0,"",COUNTIF(A$13:A531,"&gt;0")+1)</f>
        <v/>
      </c>
      <c r="B532" s="4"/>
      <c r="C532" s="5" t="s">
        <v>22</v>
      </c>
      <c r="D532" s="7" t="s">
        <v>529</v>
      </c>
      <c r="E532" s="31"/>
      <c r="F532" s="31"/>
      <c r="G532" s="6" t="s">
        <v>530</v>
      </c>
      <c r="H532" s="7">
        <f>VLOOKUP(D532,A!B$1:L$1126,3,FALSE)</f>
        <v>0</v>
      </c>
      <c r="I532" s="31">
        <f>VLOOKUP(D532,A!B$1:L$1126,3,FALSE)</f>
        <v>0</v>
      </c>
      <c r="J532" s="92"/>
      <c r="K532" s="91" t="str">
        <f>VLOOKUP(D532,A!B$1:L$1126,6,FALSE)</f>
        <v/>
      </c>
      <c r="L532" s="162"/>
      <c r="M532" s="41" t="s">
        <v>531</v>
      </c>
      <c r="N532" s="94">
        <f>VLOOKUP(D532,A!B$1:L$1125,2,FALSE)</f>
        <v>0</v>
      </c>
      <c r="O532" s="94">
        <f>VLOOKUP(D532,A!B$1:L$1126,4,FALSE)</f>
        <v>0</v>
      </c>
      <c r="P532" s="10">
        <v>10</v>
      </c>
      <c r="Q532" s="10">
        <v>2.69</v>
      </c>
      <c r="R532" s="10">
        <f t="shared" si="81"/>
        <v>0</v>
      </c>
      <c r="S532" s="10">
        <f t="shared" si="82"/>
        <v>0</v>
      </c>
      <c r="T532" s="10" t="s">
        <v>322</v>
      </c>
      <c r="U532" s="145">
        <v>0.33</v>
      </c>
      <c r="V532" s="10" t="str">
        <f>VLOOKUP(D532,A!B$1:T$1125,16,FALSE)</f>
        <v/>
      </c>
      <c r="W532" s="10">
        <f t="shared" si="83"/>
        <v>0</v>
      </c>
      <c r="X532" s="29"/>
      <c r="Y532" s="29"/>
      <c r="Z532" s="29"/>
      <c r="AA532" s="29"/>
      <c r="DV532" s="171"/>
    </row>
    <row r="533" spans="1:126" s="3" customFormat="1" ht="13.5" hidden="1" customHeight="1" x14ac:dyDescent="0.25">
      <c r="A533" t="str">
        <f>IF(R533=0,"",COUNTIF(A$13:A532,"&gt;0")+1)</f>
        <v/>
      </c>
      <c r="B533" s="4"/>
      <c r="C533" s="5" t="s">
        <v>22</v>
      </c>
      <c r="D533" s="7" t="s">
        <v>532</v>
      </c>
      <c r="E533" s="31"/>
      <c r="F533" s="31"/>
      <c r="G533" s="6" t="s">
        <v>527</v>
      </c>
      <c r="H533" s="7">
        <f>VLOOKUP(D533,A!B$1:L$1126,3,FALSE)</f>
        <v>0</v>
      </c>
      <c r="I533" s="31">
        <f>VLOOKUP(D533,A!B$1:L$1126,3,FALSE)</f>
        <v>0</v>
      </c>
      <c r="J533" s="92"/>
      <c r="K533" s="91" t="str">
        <f>VLOOKUP(D533,A!B$1:L$1126,6,FALSE)</f>
        <v/>
      </c>
      <c r="L533" s="162"/>
      <c r="M533" s="41" t="s">
        <v>533</v>
      </c>
      <c r="N533" s="94">
        <f>VLOOKUP(D533,A!B$1:L$1125,2,FALSE)</f>
        <v>0</v>
      </c>
      <c r="O533" s="94">
        <f>VLOOKUP(D533,A!B$1:L$1126,4,FALSE)</f>
        <v>0</v>
      </c>
      <c r="P533" s="10">
        <v>10</v>
      </c>
      <c r="Q533" s="10">
        <v>2.69</v>
      </c>
      <c r="R533" s="10">
        <f t="shared" si="81"/>
        <v>0</v>
      </c>
      <c r="S533" s="10">
        <f t="shared" si="82"/>
        <v>0</v>
      </c>
      <c r="T533" s="10" t="s">
        <v>322</v>
      </c>
      <c r="U533" s="145">
        <v>0.33</v>
      </c>
      <c r="V533" s="10" t="str">
        <f>VLOOKUP(D533,A!B$1:T$1125,16,FALSE)</f>
        <v/>
      </c>
      <c r="W533" s="10">
        <f t="shared" si="83"/>
        <v>0</v>
      </c>
      <c r="X533" s="29"/>
      <c r="Y533" s="29"/>
      <c r="Z533" s="29"/>
      <c r="AA533" s="29"/>
    </row>
    <row r="534" spans="1:126" s="3" customFormat="1" ht="13.5" hidden="1" customHeight="1" x14ac:dyDescent="0.25">
      <c r="A534" t="str">
        <f>IF(R534=0,"",COUNTIF(A$13:A533,"&gt;0")+1)</f>
        <v/>
      </c>
      <c r="B534" s="4"/>
      <c r="C534" s="5" t="s">
        <v>22</v>
      </c>
      <c r="D534" s="7" t="s">
        <v>523</v>
      </c>
      <c r="E534" s="31"/>
      <c r="F534" s="31"/>
      <c r="G534" s="6" t="s">
        <v>524</v>
      </c>
      <c r="H534" s="7">
        <f>VLOOKUP(D534,A!B$1:L$1126,3,FALSE)</f>
        <v>0</v>
      </c>
      <c r="I534" s="31">
        <f>VLOOKUP(D534,A!B$1:L$1126,3,FALSE)</f>
        <v>0</v>
      </c>
      <c r="J534" s="92"/>
      <c r="K534" s="91" t="str">
        <f>VLOOKUP(D534,A!B$1:L$1126,6,FALSE)</f>
        <v/>
      </c>
      <c r="L534" s="162"/>
      <c r="M534" s="41" t="s">
        <v>525</v>
      </c>
      <c r="N534" s="94">
        <f>VLOOKUP(D534,A!B$1:L$1125,2,FALSE)</f>
        <v>0</v>
      </c>
      <c r="O534" s="94">
        <f>VLOOKUP(D534,A!B$1:L$1126,4,FALSE)</f>
        <v>0</v>
      </c>
      <c r="P534" s="10">
        <v>10</v>
      </c>
      <c r="Q534" s="10">
        <v>2.69</v>
      </c>
      <c r="R534" s="10">
        <f t="shared" si="81"/>
        <v>0</v>
      </c>
      <c r="S534" s="10">
        <f t="shared" si="82"/>
        <v>0</v>
      </c>
      <c r="T534" s="10" t="s">
        <v>322</v>
      </c>
      <c r="U534" s="145">
        <v>0.33</v>
      </c>
      <c r="V534" s="10" t="str">
        <f>VLOOKUP(D534,A!B$1:T$1125,16,FALSE)</f>
        <v/>
      </c>
      <c r="W534" s="10">
        <f t="shared" si="83"/>
        <v>0</v>
      </c>
      <c r="X534" s="228"/>
      <c r="Y534" s="228"/>
      <c r="Z534" s="228"/>
      <c r="AA534" s="228"/>
      <c r="AB534" s="171"/>
      <c r="AC534" s="171"/>
      <c r="AD534" s="171"/>
      <c r="AE534" s="171"/>
      <c r="AF534" s="171"/>
      <c r="AG534" s="171"/>
      <c r="AH534" s="171"/>
      <c r="AI534" s="171"/>
      <c r="AJ534" s="171"/>
      <c r="AK534" s="171"/>
      <c r="AL534" s="171"/>
      <c r="AM534" s="171"/>
      <c r="AN534" s="171"/>
      <c r="AO534" s="171"/>
      <c r="AP534" s="171"/>
      <c r="AQ534" s="171"/>
      <c r="AR534" s="171"/>
      <c r="AS534" s="171"/>
      <c r="AT534" s="171"/>
      <c r="AU534" s="171"/>
      <c r="AV534" s="171"/>
      <c r="AW534" s="171"/>
      <c r="AX534" s="171"/>
      <c r="AY534" s="171"/>
      <c r="AZ534" s="171"/>
      <c r="BA534" s="171"/>
      <c r="BB534" s="171"/>
      <c r="BC534" s="171"/>
      <c r="BD534" s="171"/>
      <c r="BE534" s="171"/>
      <c r="BF534" s="171"/>
      <c r="BG534" s="171"/>
      <c r="BH534" s="171"/>
      <c r="BI534" s="171"/>
      <c r="BJ534" s="171"/>
      <c r="BK534" s="171"/>
      <c r="BL534" s="171"/>
      <c r="BM534" s="171"/>
      <c r="BN534" s="171"/>
      <c r="BO534" s="171"/>
      <c r="BP534" s="171"/>
      <c r="BQ534" s="171"/>
      <c r="BR534" s="171"/>
      <c r="BS534" s="171"/>
      <c r="BT534" s="171"/>
      <c r="BU534" s="171"/>
      <c r="BV534" s="171"/>
      <c r="BW534" s="171"/>
      <c r="BX534" s="171"/>
      <c r="BY534" s="171"/>
      <c r="BZ534" s="171"/>
      <c r="CA534" s="171"/>
      <c r="CB534" s="171"/>
      <c r="CC534" s="171"/>
      <c r="CD534" s="171"/>
      <c r="CE534" s="171"/>
      <c r="CF534" s="171"/>
      <c r="CG534" s="171"/>
      <c r="CH534" s="171"/>
      <c r="CI534" s="171"/>
      <c r="CJ534" s="171"/>
      <c r="CK534" s="171"/>
      <c r="CL534" s="171"/>
      <c r="CM534" s="171"/>
      <c r="CN534" s="171"/>
      <c r="CO534" s="171"/>
      <c r="CP534" s="171"/>
      <c r="CQ534" s="171"/>
      <c r="CR534" s="171"/>
      <c r="CS534" s="171"/>
      <c r="CT534" s="171"/>
      <c r="CU534" s="171"/>
      <c r="CV534" s="171"/>
      <c r="CW534" s="171"/>
      <c r="CX534" s="171"/>
      <c r="CY534" s="171"/>
      <c r="CZ534" s="171"/>
      <c r="DA534" s="171"/>
      <c r="DB534" s="171"/>
      <c r="DC534" s="171"/>
      <c r="DD534" s="171"/>
      <c r="DE534" s="171"/>
      <c r="DF534" s="171"/>
      <c r="DG534" s="171"/>
      <c r="DH534" s="171"/>
      <c r="DI534" s="171"/>
      <c r="DJ534" s="171"/>
      <c r="DK534" s="171"/>
      <c r="DL534" s="171"/>
      <c r="DM534" s="171"/>
      <c r="DN534" s="171"/>
      <c r="DO534" s="171"/>
      <c r="DP534" s="171"/>
      <c r="DQ534" s="171"/>
      <c r="DR534" s="171"/>
      <c r="DS534" s="171"/>
      <c r="DT534" s="171"/>
      <c r="DU534" s="171"/>
    </row>
    <row r="535" spans="1:126" s="3" customFormat="1" ht="13.5" hidden="1" customHeight="1" x14ac:dyDescent="0.25">
      <c r="A535" t="str">
        <f>IF(R535=0,"",COUNTIF(A$13:A534,"&gt;0")+1)</f>
        <v/>
      </c>
      <c r="B535" s="4"/>
      <c r="C535" s="5" t="s">
        <v>22</v>
      </c>
      <c r="D535" s="7" t="s">
        <v>92</v>
      </c>
      <c r="E535" s="31"/>
      <c r="F535" s="31"/>
      <c r="G535" s="6" t="s">
        <v>93</v>
      </c>
      <c r="H535" s="7">
        <f>VLOOKUP(D535,A!B$1:L$1126,3,FALSE)</f>
        <v>0</v>
      </c>
      <c r="I535" s="31">
        <f>VLOOKUP(D535,A!B$1:L$1126,3,FALSE)</f>
        <v>0</v>
      </c>
      <c r="J535" s="92"/>
      <c r="K535" s="91" t="str">
        <f>VLOOKUP(D535,A!B$1:L$1126,6,FALSE)</f>
        <v/>
      </c>
      <c r="L535" s="2"/>
      <c r="M535" s="42" t="s">
        <v>96</v>
      </c>
      <c r="N535" s="94">
        <f>VLOOKUP(D535,A!B$1:L$1125,2,FALSE)</f>
        <v>0</v>
      </c>
      <c r="O535" s="94">
        <f>VLOOKUP(D535,A!B$1:L$1126,4,FALSE)</f>
        <v>0</v>
      </c>
      <c r="P535" s="10">
        <v>10</v>
      </c>
      <c r="Q535" s="10">
        <v>2.69</v>
      </c>
      <c r="R535" s="10">
        <f t="shared" si="81"/>
        <v>0</v>
      </c>
      <c r="S535" s="10">
        <f t="shared" si="82"/>
        <v>0</v>
      </c>
      <c r="T535" s="10" t="s">
        <v>322</v>
      </c>
      <c r="U535" s="145">
        <v>0.33</v>
      </c>
      <c r="V535" s="10" t="str">
        <f>VLOOKUP(D535,A!B$1:T$1125,16,FALSE)</f>
        <v/>
      </c>
      <c r="W535" s="10">
        <f t="shared" si="83"/>
        <v>0</v>
      </c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</row>
    <row r="536" spans="1:126" s="3" customFormat="1" ht="13.5" hidden="1" customHeight="1" x14ac:dyDescent="0.25">
      <c r="A536" t="str">
        <f>IF(R536=0,"",COUNTIF(A$13:A535,"&gt;0")+1)</f>
        <v/>
      </c>
      <c r="B536" s="4"/>
      <c r="C536" s="5" t="s">
        <v>22</v>
      </c>
      <c r="D536" s="7" t="s">
        <v>534</v>
      </c>
      <c r="E536" s="31"/>
      <c r="F536" s="31"/>
      <c r="G536" s="6" t="s">
        <v>535</v>
      </c>
      <c r="H536" s="7">
        <f>VLOOKUP(D536,A!B$1:L$1126,3,FALSE)</f>
        <v>0</v>
      </c>
      <c r="I536" s="31">
        <f>VLOOKUP(D536,A!B$1:L$1126,3,FALSE)</f>
        <v>0</v>
      </c>
      <c r="J536" s="92"/>
      <c r="K536" s="91" t="str">
        <f>VLOOKUP(D536,A!B$1:L$1126,6,FALSE)</f>
        <v/>
      </c>
      <c r="L536" s="162"/>
      <c r="M536" s="41" t="s">
        <v>536</v>
      </c>
      <c r="N536" s="94">
        <f>VLOOKUP(D536,A!B$1:L$1125,2,FALSE)</f>
        <v>0</v>
      </c>
      <c r="O536" s="94">
        <f>VLOOKUP(D536,A!B$1:L$1126,4,FALSE)</f>
        <v>0</v>
      </c>
      <c r="P536" s="10">
        <v>10</v>
      </c>
      <c r="Q536" s="10">
        <v>2.69</v>
      </c>
      <c r="R536" s="10">
        <f t="shared" si="81"/>
        <v>0</v>
      </c>
      <c r="S536" s="10">
        <f t="shared" si="82"/>
        <v>0</v>
      </c>
      <c r="T536" s="10" t="s">
        <v>322</v>
      </c>
      <c r="U536" s="145">
        <v>0.33</v>
      </c>
      <c r="V536" s="10" t="str">
        <f>VLOOKUP(D536,A!B$1:T$1125,16,FALSE)</f>
        <v/>
      </c>
      <c r="W536" s="10">
        <f t="shared" si="83"/>
        <v>0</v>
      </c>
      <c r="X536" s="29"/>
      <c r="Y536" s="29"/>
      <c r="Z536" s="29"/>
      <c r="AA536" s="29"/>
    </row>
    <row r="537" spans="1:126" s="3" customFormat="1" ht="13.5" hidden="1" customHeight="1" x14ac:dyDescent="0.25">
      <c r="A537" t="str">
        <f>IF(R537=0,"",COUNTIF(A$13:A536,"&gt;0")+1)</f>
        <v/>
      </c>
      <c r="B537" s="4"/>
      <c r="C537" s="5" t="s">
        <v>22</v>
      </c>
      <c r="D537" s="7" t="s">
        <v>537</v>
      </c>
      <c r="E537" s="31"/>
      <c r="F537" s="31"/>
      <c r="G537" s="6" t="s">
        <v>538</v>
      </c>
      <c r="H537" s="7">
        <f>VLOOKUP(D537,A!B$1:L$1126,3,FALSE)</f>
        <v>0</v>
      </c>
      <c r="I537" s="31">
        <f>VLOOKUP(D537,A!B$1:L$1126,3,FALSE)</f>
        <v>0</v>
      </c>
      <c r="J537" s="92"/>
      <c r="K537" s="91" t="str">
        <f>VLOOKUP(D537,A!B$1:L$1126,6,FALSE)</f>
        <v/>
      </c>
      <c r="L537" s="162"/>
      <c r="M537" s="43" t="s">
        <v>539</v>
      </c>
      <c r="N537" s="94">
        <f>VLOOKUP(D537,A!B$1:L$1125,2,FALSE)</f>
        <v>0</v>
      </c>
      <c r="O537" s="94">
        <f>VLOOKUP(D537,A!B$1:L$1126,4,FALSE)</f>
        <v>0</v>
      </c>
      <c r="P537" s="10">
        <v>10</v>
      </c>
      <c r="Q537" s="10">
        <v>2.69</v>
      </c>
      <c r="R537" s="10">
        <f t="shared" si="81"/>
        <v>0</v>
      </c>
      <c r="S537" s="10">
        <f t="shared" si="82"/>
        <v>0</v>
      </c>
      <c r="T537" s="10" t="s">
        <v>322</v>
      </c>
      <c r="U537" s="145">
        <v>0.33</v>
      </c>
      <c r="V537" s="10" t="str">
        <f>VLOOKUP(D537,A!B$1:T$1125,16,FALSE)</f>
        <v/>
      </c>
      <c r="W537" s="10">
        <f t="shared" si="83"/>
        <v>0</v>
      </c>
      <c r="X537" s="29"/>
      <c r="Y537" s="29"/>
      <c r="Z537" s="29"/>
      <c r="AA537" s="29"/>
    </row>
    <row r="538" spans="1:126" s="3" customFormat="1" ht="13.5" hidden="1" customHeight="1" x14ac:dyDescent="0.25">
      <c r="A538" t="str">
        <f>IF(R538=0,"",COUNTIF(A$13:A537,"&gt;0")+1)</f>
        <v/>
      </c>
      <c r="B538" s="4"/>
      <c r="C538" s="5" t="s">
        <v>22</v>
      </c>
      <c r="D538" s="7" t="s">
        <v>540</v>
      </c>
      <c r="E538" s="31"/>
      <c r="F538" s="31"/>
      <c r="G538" s="6" t="s">
        <v>541</v>
      </c>
      <c r="H538" s="7">
        <f>VLOOKUP(D538,A!B$1:L$1126,3,FALSE)</f>
        <v>0</v>
      </c>
      <c r="I538" s="31">
        <f>VLOOKUP(D538,A!B$1:L$1126,3,FALSE)</f>
        <v>0</v>
      </c>
      <c r="J538" s="92"/>
      <c r="K538" s="91" t="str">
        <f>VLOOKUP(D538,A!B$1:L$1126,6,FALSE)</f>
        <v/>
      </c>
      <c r="L538" s="162"/>
      <c r="M538" s="43" t="s">
        <v>542</v>
      </c>
      <c r="N538" s="94">
        <f>VLOOKUP(D538,A!B$1:L$1125,2,FALSE)</f>
        <v>0</v>
      </c>
      <c r="O538" s="94">
        <f>VLOOKUP(D538,A!B$1:L$1126,4,FALSE)</f>
        <v>0</v>
      </c>
      <c r="P538" s="10">
        <v>10</v>
      </c>
      <c r="Q538" s="10">
        <v>2.69</v>
      </c>
      <c r="R538" s="10">
        <f t="shared" si="81"/>
        <v>0</v>
      </c>
      <c r="S538" s="10">
        <f t="shared" si="82"/>
        <v>0</v>
      </c>
      <c r="T538" s="10" t="s">
        <v>322</v>
      </c>
      <c r="U538" s="145">
        <v>0.33</v>
      </c>
      <c r="V538" s="10" t="str">
        <f>VLOOKUP(D538,A!B$1:T$1125,16,FALSE)</f>
        <v/>
      </c>
      <c r="W538" s="10">
        <f t="shared" si="83"/>
        <v>0</v>
      </c>
      <c r="X538" s="29"/>
      <c r="Y538" s="29"/>
      <c r="Z538" s="29"/>
      <c r="AA538" s="29"/>
    </row>
    <row r="539" spans="1:126" s="3" customFormat="1" ht="13.5" hidden="1" customHeight="1" x14ac:dyDescent="0.25">
      <c r="A539" t="str">
        <f>IF(R539=0,"",COUNTIF(A$13:A538,"&gt;0")+1)</f>
        <v/>
      </c>
      <c r="B539" s="4"/>
      <c r="C539" s="5" t="s">
        <v>22</v>
      </c>
      <c r="D539" s="7" t="s">
        <v>543</v>
      </c>
      <c r="E539" s="31"/>
      <c r="F539" s="31"/>
      <c r="G539" s="6" t="s">
        <v>237</v>
      </c>
      <c r="H539" s="7">
        <f>VLOOKUP(D539,A!B$1:L$1126,3,FALSE)</f>
        <v>0</v>
      </c>
      <c r="I539" s="31">
        <f>VLOOKUP(D539,A!B$1:L$1126,3,FALSE)</f>
        <v>0</v>
      </c>
      <c r="J539" s="92"/>
      <c r="K539" s="91" t="str">
        <f>VLOOKUP(D539,A!B$1:L$1126,6,FALSE)</f>
        <v/>
      </c>
      <c r="L539" s="162"/>
      <c r="M539" s="43" t="s">
        <v>544</v>
      </c>
      <c r="N539" s="94">
        <f>VLOOKUP(D539,A!B$1:L$1125,2,FALSE)</f>
        <v>0</v>
      </c>
      <c r="O539" s="94">
        <f>VLOOKUP(D539,A!B$1:L$1126,4,FALSE)</f>
        <v>0</v>
      </c>
      <c r="P539" s="10">
        <v>10</v>
      </c>
      <c r="Q539" s="10">
        <v>2.69</v>
      </c>
      <c r="R539" s="10">
        <f t="shared" si="81"/>
        <v>0</v>
      </c>
      <c r="S539" s="10">
        <f t="shared" si="82"/>
        <v>0</v>
      </c>
      <c r="T539" s="10" t="s">
        <v>322</v>
      </c>
      <c r="U539" s="145">
        <v>0.33</v>
      </c>
      <c r="V539" s="10" t="str">
        <f>VLOOKUP(D539,A!B$1:T$1125,16,FALSE)</f>
        <v/>
      </c>
      <c r="W539" s="10">
        <f t="shared" si="83"/>
        <v>0</v>
      </c>
      <c r="X539" s="29"/>
      <c r="Y539" s="29"/>
      <c r="Z539" s="29"/>
      <c r="AA539" s="29"/>
    </row>
    <row r="540" spans="1:126" s="3" customFormat="1" ht="13.5" customHeight="1" x14ac:dyDescent="0.25">
      <c r="A540" t="str">
        <f>IF(R540=0,"",COUNTIF(A$13:A539,"&gt;0")+1)</f>
        <v/>
      </c>
      <c r="B540" s="4"/>
      <c r="C540" s="5" t="s">
        <v>22</v>
      </c>
      <c r="D540" s="7" t="s">
        <v>236</v>
      </c>
      <c r="E540" s="31"/>
      <c r="F540" s="31"/>
      <c r="G540" s="6" t="s">
        <v>237</v>
      </c>
      <c r="H540" s="7">
        <f>VLOOKUP(D540,A!B$1:L$1126,3,FALSE)</f>
        <v>1</v>
      </c>
      <c r="I540" s="31">
        <f>VLOOKUP(D540,A!B$1:L$1126,3,FALSE)</f>
        <v>1</v>
      </c>
      <c r="J540" s="92"/>
      <c r="K540" s="91" t="str">
        <f>VLOOKUP(D540,A!B$1:L$1126,6,FALSE)</f>
        <v/>
      </c>
      <c r="L540" s="2"/>
      <c r="M540" s="43" t="s">
        <v>238</v>
      </c>
      <c r="N540" s="94" t="str">
        <f>VLOOKUP(D540,A!B$1:L$1125,2,FALSE)</f>
        <v>y</v>
      </c>
      <c r="O540" s="94">
        <f>VLOOKUP(D540,A!B$1:L$1126,4,FALSE)</f>
        <v>0</v>
      </c>
      <c r="P540" s="10">
        <v>10</v>
      </c>
      <c r="Q540" s="10">
        <v>2.69</v>
      </c>
      <c r="R540" s="10">
        <f t="shared" si="81"/>
        <v>0</v>
      </c>
      <c r="S540" s="10">
        <f t="shared" si="82"/>
        <v>0</v>
      </c>
      <c r="T540" s="10" t="s">
        <v>322</v>
      </c>
      <c r="U540" s="145">
        <v>0.33</v>
      </c>
      <c r="V540" s="10" t="str">
        <f>VLOOKUP(D540,A!B$1:T$1125,16,FALSE)</f>
        <v/>
      </c>
      <c r="W540" s="10">
        <f t="shared" si="83"/>
        <v>0</v>
      </c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</row>
    <row r="541" spans="1:126" s="3" customFormat="1" ht="13.5" hidden="1" customHeight="1" x14ac:dyDescent="0.25">
      <c r="A541" t="str">
        <f>IF(R541=0,"",COUNTIF(A$13:A540,"&gt;0")+1)</f>
        <v/>
      </c>
      <c r="B541" s="4"/>
      <c r="C541" s="5" t="s">
        <v>22</v>
      </c>
      <c r="D541" s="7" t="s">
        <v>545</v>
      </c>
      <c r="E541" s="31"/>
      <c r="F541" s="31"/>
      <c r="G541" s="6" t="s">
        <v>237</v>
      </c>
      <c r="H541" s="7">
        <f>VLOOKUP(D541,A!B$1:L$1126,3,FALSE)</f>
        <v>0</v>
      </c>
      <c r="I541" s="31">
        <f>VLOOKUP(D541,A!B$1:L$1126,3,FALSE)</f>
        <v>0</v>
      </c>
      <c r="J541" s="92"/>
      <c r="K541" s="63" t="str">
        <f>VLOOKUP(D541,A!B$1:L$1126,6,FALSE)</f>
        <v/>
      </c>
      <c r="L541" s="162"/>
      <c r="M541" s="43" t="s">
        <v>544</v>
      </c>
      <c r="N541" s="94">
        <f>VLOOKUP(D541,A!B$1:L$1125,2,FALSE)</f>
        <v>0</v>
      </c>
      <c r="O541" s="94">
        <f>VLOOKUP(D541,A!B$1:L$1126,4,FALSE)</f>
        <v>0</v>
      </c>
      <c r="P541" s="10">
        <v>10</v>
      </c>
      <c r="Q541" s="10">
        <v>2.69</v>
      </c>
      <c r="R541" s="10">
        <f t="shared" si="81"/>
        <v>0</v>
      </c>
      <c r="S541" s="10">
        <f t="shared" si="82"/>
        <v>0</v>
      </c>
      <c r="T541" s="10" t="s">
        <v>322</v>
      </c>
      <c r="U541" s="145">
        <v>0.33</v>
      </c>
      <c r="V541" s="10" t="str">
        <f>VLOOKUP(D541,A!B$1:T$1125,16,FALSE)</f>
        <v/>
      </c>
      <c r="W541" s="10">
        <f t="shared" si="83"/>
        <v>0</v>
      </c>
      <c r="X541" s="29"/>
      <c r="Y541" s="29"/>
      <c r="Z541" s="29"/>
      <c r="AA541" s="29"/>
    </row>
    <row r="542" spans="1:126" s="3" customFormat="1" ht="13.5" hidden="1" customHeight="1" x14ac:dyDescent="0.25">
      <c r="A542" t="str">
        <f>IF(R542=0,"",COUNTIF(A$13:A541,"&gt;0")+1)</f>
        <v/>
      </c>
      <c r="B542" s="4"/>
      <c r="C542" s="5" t="s">
        <v>22</v>
      </c>
      <c r="D542" s="7" t="s">
        <v>546</v>
      </c>
      <c r="E542" s="31"/>
      <c r="F542" s="31"/>
      <c r="G542" s="6" t="s">
        <v>547</v>
      </c>
      <c r="H542" s="7">
        <f>VLOOKUP(D542,A!B$1:L$1126,3,FALSE)</f>
        <v>0</v>
      </c>
      <c r="I542" s="31">
        <f>VLOOKUP(D542,A!B$1:L$1126,3,FALSE)</f>
        <v>0</v>
      </c>
      <c r="J542" s="92"/>
      <c r="K542" s="63" t="str">
        <f>VLOOKUP(D542,A!B$1:L$1126,6,FALSE)</f>
        <v/>
      </c>
      <c r="L542" s="162"/>
      <c r="M542" s="43" t="s">
        <v>548</v>
      </c>
      <c r="N542" s="94">
        <f>VLOOKUP(D542,A!B$1:L$1125,2,FALSE)</f>
        <v>0</v>
      </c>
      <c r="O542" s="94">
        <f>VLOOKUP(D542,A!B$1:L$1126,4,FALSE)</f>
        <v>0</v>
      </c>
      <c r="P542" s="10">
        <v>10</v>
      </c>
      <c r="Q542" s="10">
        <v>2.69</v>
      </c>
      <c r="R542" s="10">
        <f t="shared" si="81"/>
        <v>0</v>
      </c>
      <c r="S542" s="10">
        <f t="shared" si="82"/>
        <v>0</v>
      </c>
      <c r="T542" s="10" t="s">
        <v>322</v>
      </c>
      <c r="U542" s="145">
        <v>0.33</v>
      </c>
      <c r="V542" s="10" t="str">
        <f>VLOOKUP(D542,A!B$1:T$1125,16,FALSE)</f>
        <v/>
      </c>
      <c r="W542" s="10">
        <f t="shared" si="83"/>
        <v>0</v>
      </c>
      <c r="X542" s="29"/>
      <c r="Y542" s="29"/>
      <c r="Z542" s="29"/>
      <c r="AA542" s="29"/>
    </row>
    <row r="543" spans="1:126" s="3" customFormat="1" ht="13.5" customHeight="1" x14ac:dyDescent="0.25">
      <c r="A543" t="str">
        <f>IF(R543=0,"",COUNTIF(A$13:A542,"&gt;0")+1)</f>
        <v/>
      </c>
      <c r="B543" s="4"/>
      <c r="C543" s="5" t="s">
        <v>22</v>
      </c>
      <c r="D543" s="7" t="s">
        <v>549</v>
      </c>
      <c r="E543" s="31"/>
      <c r="F543" s="31"/>
      <c r="G543" s="6" t="s">
        <v>550</v>
      </c>
      <c r="H543" s="7">
        <f>VLOOKUP(D543,A!B$1:L$1126,3,FALSE)</f>
        <v>0</v>
      </c>
      <c r="I543" s="31">
        <f>VLOOKUP(D543,A!B$1:L$1126,3,FALSE)</f>
        <v>0</v>
      </c>
      <c r="J543" s="92"/>
      <c r="K543" s="63" t="str">
        <f>VLOOKUP(D543,A!B$1:L$1126,6,FALSE)</f>
        <v/>
      </c>
      <c r="L543" s="162"/>
      <c r="M543" s="41" t="s">
        <v>551</v>
      </c>
      <c r="N543" s="94" t="str">
        <f>VLOOKUP(D543,A!B$1:L$1125,2,FALSE)</f>
        <v>y</v>
      </c>
      <c r="O543" s="94">
        <f>VLOOKUP(D543,A!B$1:L$1126,4,FALSE)</f>
        <v>0</v>
      </c>
      <c r="P543" s="10">
        <v>10</v>
      </c>
      <c r="Q543" s="10">
        <v>2.69</v>
      </c>
      <c r="R543" s="10">
        <f t="shared" si="81"/>
        <v>0</v>
      </c>
      <c r="S543" s="10">
        <f t="shared" si="82"/>
        <v>0</v>
      </c>
      <c r="T543" s="10" t="s">
        <v>322</v>
      </c>
      <c r="U543" s="145">
        <v>0.33</v>
      </c>
      <c r="V543" s="10" t="str">
        <f>VLOOKUP(D543,A!B$1:T$1125,16,FALSE)</f>
        <v/>
      </c>
      <c r="W543" s="10">
        <f t="shared" si="83"/>
        <v>0</v>
      </c>
      <c r="X543" s="29"/>
      <c r="Y543" s="29"/>
      <c r="Z543" s="29"/>
      <c r="AA543" s="29"/>
    </row>
    <row r="544" spans="1:126" s="3" customFormat="1" ht="13.5" hidden="1" customHeight="1" x14ac:dyDescent="0.25">
      <c r="A544" t="str">
        <f>IF(R544=0,"",COUNTIF(A$13:A543,"&gt;0")+1)</f>
        <v/>
      </c>
      <c r="B544" s="4"/>
      <c r="C544" s="5" t="s">
        <v>22</v>
      </c>
      <c r="D544" s="7" t="s">
        <v>552</v>
      </c>
      <c r="E544" s="31"/>
      <c r="F544" s="31"/>
      <c r="G544" s="6" t="s">
        <v>553</v>
      </c>
      <c r="H544" s="7">
        <f>VLOOKUP(D544,A!B$1:L$1126,3,FALSE)</f>
        <v>0</v>
      </c>
      <c r="I544" s="31">
        <f>VLOOKUP(D544,A!B$1:L$1126,3,FALSE)</f>
        <v>0</v>
      </c>
      <c r="J544" s="92"/>
      <c r="K544" s="63" t="str">
        <f>VLOOKUP(D544,A!B$1:L$1126,6,FALSE)</f>
        <v/>
      </c>
      <c r="L544" s="162"/>
      <c r="M544" s="43" t="s">
        <v>554</v>
      </c>
      <c r="N544" s="94">
        <f>VLOOKUP(D544,A!B$1:L$1125,2,FALSE)</f>
        <v>0</v>
      </c>
      <c r="O544" s="94">
        <f>VLOOKUP(D544,A!B$1:L$1126,4,FALSE)</f>
        <v>0</v>
      </c>
      <c r="P544" s="10">
        <v>10</v>
      </c>
      <c r="Q544" s="10">
        <v>2.69</v>
      </c>
      <c r="R544" s="10">
        <f t="shared" si="81"/>
        <v>0</v>
      </c>
      <c r="S544" s="10">
        <f t="shared" si="82"/>
        <v>0</v>
      </c>
      <c r="T544" s="10" t="s">
        <v>322</v>
      </c>
      <c r="U544" s="145">
        <v>0.33</v>
      </c>
      <c r="V544" s="10" t="str">
        <f>VLOOKUP(D544,A!B$1:T$1125,16,FALSE)</f>
        <v/>
      </c>
      <c r="W544" s="10">
        <f t="shared" si="83"/>
        <v>0</v>
      </c>
      <c r="X544" s="29"/>
      <c r="Y544" s="29"/>
      <c r="Z544" s="29"/>
      <c r="AA544" s="29"/>
    </row>
    <row r="545" spans="1:27" s="3" customFormat="1" ht="13.5" hidden="1" customHeight="1" x14ac:dyDescent="0.25">
      <c r="A545" t="str">
        <f>IF(R545=0,"",COUNTIF(A$13:A544,"&gt;0")+1)</f>
        <v/>
      </c>
      <c r="B545" s="4"/>
      <c r="C545" s="5" t="s">
        <v>22</v>
      </c>
      <c r="D545" s="7" t="s">
        <v>555</v>
      </c>
      <c r="E545" s="31"/>
      <c r="F545" s="31"/>
      <c r="G545" s="6" t="s">
        <v>556</v>
      </c>
      <c r="H545" s="7">
        <f>VLOOKUP(D545,A!B$1:L$1126,3,FALSE)</f>
        <v>0</v>
      </c>
      <c r="I545" s="31">
        <f>VLOOKUP(D545,A!B$1:L$1126,3,FALSE)</f>
        <v>0</v>
      </c>
      <c r="J545" s="92"/>
      <c r="K545" s="63" t="str">
        <f>VLOOKUP(D545,A!B$1:L$1126,6,FALSE)</f>
        <v/>
      </c>
      <c r="L545" s="162"/>
      <c r="M545" s="43" t="s">
        <v>557</v>
      </c>
      <c r="N545" s="94">
        <f>VLOOKUP(D545,A!B$1:L$1125,2,FALSE)</f>
        <v>0</v>
      </c>
      <c r="O545" s="94">
        <f>VLOOKUP(D545,A!B$1:L$1126,4,FALSE)</f>
        <v>0</v>
      </c>
      <c r="P545" s="10">
        <v>10</v>
      </c>
      <c r="Q545" s="10">
        <v>2.69</v>
      </c>
      <c r="R545" s="10">
        <f t="shared" si="81"/>
        <v>0</v>
      </c>
      <c r="S545" s="10">
        <f t="shared" si="82"/>
        <v>0</v>
      </c>
      <c r="T545" s="10" t="s">
        <v>322</v>
      </c>
      <c r="U545" s="145">
        <v>0.33</v>
      </c>
      <c r="V545" s="10" t="str">
        <f>VLOOKUP(D545,A!B$1:T$1125,16,FALSE)</f>
        <v/>
      </c>
      <c r="W545" s="10">
        <f t="shared" si="83"/>
        <v>0</v>
      </c>
      <c r="X545" s="29"/>
      <c r="Y545" s="29"/>
      <c r="Z545" s="29"/>
      <c r="AA545" s="29"/>
    </row>
    <row r="546" spans="1:27" s="3" customFormat="1" ht="13.5" hidden="1" customHeight="1" x14ac:dyDescent="0.25">
      <c r="A546" t="str">
        <f>IF(R546=0,"",COUNTIF(A$13:A545,"&gt;0")+1)</f>
        <v/>
      </c>
      <c r="B546" s="4"/>
      <c r="C546" s="5" t="s">
        <v>22</v>
      </c>
      <c r="D546" s="7" t="s">
        <v>558</v>
      </c>
      <c r="E546" s="31"/>
      <c r="F546" s="31"/>
      <c r="G546" s="6" t="s">
        <v>559</v>
      </c>
      <c r="H546" s="7">
        <f>VLOOKUP(D546,A!B$1:L$1126,3,FALSE)</f>
        <v>0</v>
      </c>
      <c r="I546" s="31">
        <f>VLOOKUP(D546,A!B$1:L$1126,3,FALSE)</f>
        <v>0</v>
      </c>
      <c r="J546" s="92"/>
      <c r="K546" s="63" t="str">
        <f>VLOOKUP(D546,A!B$1:L$1126,6,FALSE)</f>
        <v/>
      </c>
      <c r="L546" s="162"/>
      <c r="M546" s="43" t="s">
        <v>560</v>
      </c>
      <c r="N546" s="94">
        <f>VLOOKUP(D546,A!B$1:L$1125,2,FALSE)</f>
        <v>0</v>
      </c>
      <c r="O546" s="94">
        <f>VLOOKUP(D546,A!B$1:L$1126,4,FALSE)</f>
        <v>0</v>
      </c>
      <c r="P546" s="10">
        <v>10</v>
      </c>
      <c r="Q546" s="10">
        <v>2.69</v>
      </c>
      <c r="R546" s="10">
        <f t="shared" si="81"/>
        <v>0</v>
      </c>
      <c r="S546" s="10">
        <f t="shared" si="82"/>
        <v>0</v>
      </c>
      <c r="T546" s="10" t="s">
        <v>322</v>
      </c>
      <c r="U546" s="145">
        <v>0.33</v>
      </c>
      <c r="V546" s="10" t="str">
        <f>VLOOKUP(D546,A!B$1:T$1125,16,FALSE)</f>
        <v/>
      </c>
      <c r="W546" s="10">
        <f t="shared" si="83"/>
        <v>0</v>
      </c>
      <c r="X546" s="29"/>
      <c r="Y546" s="29"/>
      <c r="Z546" s="29"/>
      <c r="AA546" s="29"/>
    </row>
    <row r="547" spans="1:27" s="3" customFormat="1" ht="13.5" hidden="1" customHeight="1" x14ac:dyDescent="0.25">
      <c r="A547" t="str">
        <f>IF(R547=0,"",COUNTIF(A$13:A546,"&gt;0")+1)</f>
        <v/>
      </c>
      <c r="B547" s="4"/>
      <c r="C547" s="5" t="s">
        <v>22</v>
      </c>
      <c r="D547" s="172" t="s">
        <v>561</v>
      </c>
      <c r="E547" s="173"/>
      <c r="F547" s="173"/>
      <c r="G547" s="6" t="s">
        <v>562</v>
      </c>
      <c r="H547" s="7">
        <f>VLOOKUP(D547,A!B$1:L$1126,3,FALSE)</f>
        <v>0</v>
      </c>
      <c r="I547" s="31">
        <f>VLOOKUP(D547,A!B$1:L$1126,3,FALSE)</f>
        <v>0</v>
      </c>
      <c r="J547" s="92"/>
      <c r="K547" s="63" t="str">
        <f>VLOOKUP(D547,A!B$1:L$1126,6,FALSE)</f>
        <v/>
      </c>
      <c r="L547" s="162"/>
      <c r="M547" s="41" t="s">
        <v>563</v>
      </c>
      <c r="N547" s="94">
        <f>VLOOKUP(D547,A!B$1:L$1125,2,FALSE)</f>
        <v>0</v>
      </c>
      <c r="O547" s="94">
        <f>VLOOKUP(D547,A!B$1:L$1126,4,FALSE)</f>
        <v>0</v>
      </c>
      <c r="P547" s="10">
        <v>10</v>
      </c>
      <c r="Q547" s="10">
        <v>2.69</v>
      </c>
      <c r="R547" s="10">
        <f t="shared" si="81"/>
        <v>0</v>
      </c>
      <c r="S547" s="10">
        <f t="shared" si="82"/>
        <v>0</v>
      </c>
      <c r="T547" s="10" t="s">
        <v>322</v>
      </c>
      <c r="U547" s="145">
        <v>0.33</v>
      </c>
      <c r="V547" s="10" t="str">
        <f>VLOOKUP(D547,A!B$1:T$1125,16,FALSE)</f>
        <v/>
      </c>
      <c r="W547" s="10">
        <f t="shared" si="83"/>
        <v>0</v>
      </c>
      <c r="X547" s="29"/>
      <c r="Y547" s="29"/>
      <c r="Z547" s="29"/>
      <c r="AA547" s="29"/>
    </row>
    <row r="548" spans="1:27" s="3" customFormat="1" ht="13.5" hidden="1" customHeight="1" x14ac:dyDescent="0.25">
      <c r="A548" t="str">
        <f>IF(R548=0,"",COUNTIF(A$13:A547,"&gt;0")+1)</f>
        <v/>
      </c>
      <c r="B548" s="4"/>
      <c r="C548" s="5" t="s">
        <v>22</v>
      </c>
      <c r="D548" s="7" t="s">
        <v>564</v>
      </c>
      <c r="E548" s="31"/>
      <c r="F548" s="31"/>
      <c r="G548" s="6" t="s">
        <v>565</v>
      </c>
      <c r="H548" s="7">
        <f>VLOOKUP(D548,A!B$1:L$1126,3,FALSE)</f>
        <v>0</v>
      </c>
      <c r="I548" s="31">
        <f>VLOOKUP(D548,A!B$1:L$1126,3,FALSE)</f>
        <v>0</v>
      </c>
      <c r="J548" s="92"/>
      <c r="K548" s="63" t="str">
        <f>VLOOKUP(D548,A!B$1:L$1126,6,FALSE)</f>
        <v/>
      </c>
      <c r="L548" s="162"/>
      <c r="M548" s="42" t="s">
        <v>566</v>
      </c>
      <c r="N548" s="94">
        <f>VLOOKUP(D548,A!B$1:L$1125,2,FALSE)</f>
        <v>0</v>
      </c>
      <c r="O548" s="94">
        <f>VLOOKUP(D548,A!B$1:L$1126,4,FALSE)</f>
        <v>0</v>
      </c>
      <c r="P548" s="10">
        <v>10</v>
      </c>
      <c r="Q548" s="10">
        <v>2.69</v>
      </c>
      <c r="R548" s="10">
        <f t="shared" si="81"/>
        <v>0</v>
      </c>
      <c r="S548" s="10">
        <f t="shared" si="82"/>
        <v>0</v>
      </c>
      <c r="T548" s="10" t="s">
        <v>322</v>
      </c>
      <c r="U548" s="145">
        <v>0.33</v>
      </c>
      <c r="V548" s="10" t="str">
        <f>VLOOKUP(D548,A!B$1:T$1125,16,FALSE)</f>
        <v/>
      </c>
      <c r="W548" s="10">
        <f t="shared" si="83"/>
        <v>0</v>
      </c>
      <c r="X548" s="29"/>
      <c r="Y548" s="29"/>
      <c r="Z548" s="29"/>
      <c r="AA548" s="29"/>
    </row>
    <row r="549" spans="1:27" s="3" customFormat="1" ht="13.5" hidden="1" customHeight="1" x14ac:dyDescent="0.25">
      <c r="A549" t="str">
        <f>IF(R549=0,"",COUNTIF(A$13:A548,"&gt;0")+1)</f>
        <v/>
      </c>
      <c r="B549" s="4"/>
      <c r="C549" s="5" t="s">
        <v>22</v>
      </c>
      <c r="D549" s="7" t="s">
        <v>567</v>
      </c>
      <c r="E549" s="31"/>
      <c r="F549" s="31"/>
      <c r="G549" s="6" t="s">
        <v>568</v>
      </c>
      <c r="H549" s="7">
        <f>VLOOKUP(D549,A!B$1:L$1126,3,FALSE)</f>
        <v>0</v>
      </c>
      <c r="I549" s="31">
        <f>VLOOKUP(D549,A!B$1:L$1126,3,FALSE)</f>
        <v>0</v>
      </c>
      <c r="J549" s="92"/>
      <c r="K549" s="63" t="str">
        <f>VLOOKUP(D549,A!B$1:L$1126,6,FALSE)</f>
        <v/>
      </c>
      <c r="L549" s="162"/>
      <c r="M549" s="42" t="s">
        <v>569</v>
      </c>
      <c r="N549" s="94">
        <f>VLOOKUP(D549,A!B$1:L$1125,2,FALSE)</f>
        <v>0</v>
      </c>
      <c r="O549" s="94">
        <f>VLOOKUP(D549,A!B$1:L$1126,4,FALSE)</f>
        <v>0</v>
      </c>
      <c r="P549" s="10">
        <v>10</v>
      </c>
      <c r="Q549" s="10">
        <v>2.69</v>
      </c>
      <c r="R549" s="10">
        <f t="shared" si="81"/>
        <v>0</v>
      </c>
      <c r="S549" s="10">
        <f t="shared" si="82"/>
        <v>0</v>
      </c>
      <c r="T549" s="10" t="s">
        <v>322</v>
      </c>
      <c r="U549" s="145">
        <v>0.33</v>
      </c>
      <c r="V549" s="10" t="str">
        <f>VLOOKUP(D549,A!B$1:T$1125,16,FALSE)</f>
        <v/>
      </c>
      <c r="W549" s="10">
        <f t="shared" si="83"/>
        <v>0</v>
      </c>
      <c r="X549" s="29"/>
      <c r="Y549" s="29"/>
      <c r="Z549" s="29"/>
      <c r="AA549" s="29"/>
    </row>
    <row r="550" spans="1:27" s="3" customFormat="1" ht="13.5" hidden="1" customHeight="1" x14ac:dyDescent="0.25">
      <c r="A550" t="str">
        <f>IF(R550=0,"",COUNTIF(A$13:A549,"&gt;0")+1)</f>
        <v/>
      </c>
      <c r="B550" s="4"/>
      <c r="C550" s="5" t="s">
        <v>22</v>
      </c>
      <c r="D550" s="7" t="s">
        <v>570</v>
      </c>
      <c r="E550" s="31"/>
      <c r="F550" s="31"/>
      <c r="G550" s="6" t="s">
        <v>571</v>
      </c>
      <c r="H550" s="7">
        <f>VLOOKUP(D550,A!B$1:L$1126,3,FALSE)</f>
        <v>0</v>
      </c>
      <c r="I550" s="31">
        <f>VLOOKUP(D550,A!B$1:L$1126,3,FALSE)</f>
        <v>0</v>
      </c>
      <c r="J550" s="92"/>
      <c r="K550" s="63" t="str">
        <f>VLOOKUP(D550,A!B$1:L$1126,6,FALSE)</f>
        <v/>
      </c>
      <c r="L550" s="162"/>
      <c r="M550" s="41" t="s">
        <v>572</v>
      </c>
      <c r="N550" s="94">
        <f>VLOOKUP(D550,A!B$1:L$1125,2,FALSE)</f>
        <v>0</v>
      </c>
      <c r="O550" s="94">
        <f>VLOOKUP(D550,A!B$1:L$1126,4,FALSE)</f>
        <v>0</v>
      </c>
      <c r="P550" s="10">
        <v>10</v>
      </c>
      <c r="Q550" s="10">
        <v>2.69</v>
      </c>
      <c r="R550" s="10">
        <f t="shared" si="81"/>
        <v>0</v>
      </c>
      <c r="S550" s="10">
        <f t="shared" si="82"/>
        <v>0</v>
      </c>
      <c r="T550" s="10" t="s">
        <v>322</v>
      </c>
      <c r="U550" s="145">
        <v>0.33</v>
      </c>
      <c r="V550" s="10" t="str">
        <f>VLOOKUP(D550,A!B$1:T$1125,16,FALSE)</f>
        <v/>
      </c>
      <c r="W550" s="10">
        <f t="shared" si="83"/>
        <v>0</v>
      </c>
      <c r="X550" s="29"/>
      <c r="Y550" s="29"/>
      <c r="Z550" s="29"/>
      <c r="AA550" s="29"/>
    </row>
    <row r="551" spans="1:27" s="3" customFormat="1" ht="13.5" hidden="1" customHeight="1" x14ac:dyDescent="0.25">
      <c r="A551" t="str">
        <f>IF(R551=0,"",COUNTIF(A$13:A550,"&gt;0")+1)</f>
        <v/>
      </c>
      <c r="B551" s="4"/>
      <c r="C551" s="5" t="s">
        <v>22</v>
      </c>
      <c r="D551" s="7" t="s">
        <v>573</v>
      </c>
      <c r="E551" s="31"/>
      <c r="F551" s="31"/>
      <c r="G551" s="6" t="s">
        <v>265</v>
      </c>
      <c r="H551" s="7">
        <f>VLOOKUP(D551,A!B$1:L$1126,3,FALSE)</f>
        <v>0</v>
      </c>
      <c r="I551" s="31">
        <f>VLOOKUP(D551,A!B$1:L$1126,3,FALSE)</f>
        <v>0</v>
      </c>
      <c r="J551" s="92"/>
      <c r="K551" s="63" t="str">
        <f>VLOOKUP(D551,A!B$1:L$1126,6,FALSE)</f>
        <v/>
      </c>
      <c r="L551" s="162"/>
      <c r="M551" s="41" t="s">
        <v>574</v>
      </c>
      <c r="N551" s="94">
        <f>VLOOKUP(D551,A!B$1:L$1125,2,FALSE)</f>
        <v>0</v>
      </c>
      <c r="O551" s="94">
        <f>VLOOKUP(D551,A!B$1:L$1126,4,FALSE)</f>
        <v>0</v>
      </c>
      <c r="P551" s="10">
        <v>10</v>
      </c>
      <c r="Q551" s="10">
        <v>2.69</v>
      </c>
      <c r="R551" s="10">
        <f t="shared" si="81"/>
        <v>0</v>
      </c>
      <c r="S551" s="10">
        <f t="shared" si="82"/>
        <v>0</v>
      </c>
      <c r="T551" s="10" t="s">
        <v>322</v>
      </c>
      <c r="U551" s="145">
        <v>0.33</v>
      </c>
      <c r="V551" s="10" t="str">
        <f>VLOOKUP(D551,A!B$1:T$1125,16,FALSE)</f>
        <v/>
      </c>
      <c r="W551" s="10">
        <f t="shared" si="83"/>
        <v>0</v>
      </c>
      <c r="X551" s="29"/>
      <c r="Y551" s="29"/>
      <c r="Z551" s="29"/>
      <c r="AA551" s="29"/>
    </row>
    <row r="552" spans="1:27" s="3" customFormat="1" ht="13.5" hidden="1" customHeight="1" x14ac:dyDescent="0.25">
      <c r="A552" t="str">
        <f>IF(R552=0,"",COUNTIF(A$13:A551,"&gt;0")+1)</f>
        <v/>
      </c>
      <c r="B552" s="4"/>
      <c r="C552" s="5" t="s">
        <v>22</v>
      </c>
      <c r="D552" s="7" t="s">
        <v>575</v>
      </c>
      <c r="E552" s="31"/>
      <c r="F552" s="31"/>
      <c r="G552" s="6" t="s">
        <v>265</v>
      </c>
      <c r="H552" s="7">
        <f>VLOOKUP(D552,A!B$1:L$1126,3,FALSE)</f>
        <v>0</v>
      </c>
      <c r="I552" s="31">
        <f>VLOOKUP(D552,A!B$1:L$1126,3,FALSE)</f>
        <v>0</v>
      </c>
      <c r="J552" s="92"/>
      <c r="K552" s="63" t="str">
        <f>VLOOKUP(D552,A!B$1:L$1126,6,FALSE)</f>
        <v/>
      </c>
      <c r="L552" s="162"/>
      <c r="M552" s="41" t="s">
        <v>574</v>
      </c>
      <c r="N552" s="94">
        <f>VLOOKUP(D552,A!B$1:L$1125,2,FALSE)</f>
        <v>0</v>
      </c>
      <c r="O552" s="94">
        <f>VLOOKUP(D552,A!B$1:L$1126,4,FALSE)</f>
        <v>0</v>
      </c>
      <c r="P552" s="10">
        <v>10</v>
      </c>
      <c r="Q552" s="10">
        <v>2.69</v>
      </c>
      <c r="R552" s="10">
        <f t="shared" si="81"/>
        <v>0</v>
      </c>
      <c r="S552" s="10">
        <f t="shared" si="82"/>
        <v>0</v>
      </c>
      <c r="T552" s="10" t="s">
        <v>322</v>
      </c>
      <c r="U552" s="145">
        <v>0.33</v>
      </c>
      <c r="V552" s="10" t="str">
        <f>VLOOKUP(D552,A!B$1:T$1125,16,FALSE)</f>
        <v/>
      </c>
      <c r="W552" s="10">
        <f t="shared" si="83"/>
        <v>0</v>
      </c>
      <c r="X552" s="29"/>
      <c r="Y552" s="29"/>
      <c r="Z552" s="29"/>
      <c r="AA552" s="29"/>
    </row>
    <row r="553" spans="1:27" s="3" customFormat="1" ht="13.5" hidden="1" customHeight="1" x14ac:dyDescent="0.25">
      <c r="A553" t="str">
        <f>IF(R553=0,"",COUNTIF(A$13:A552,"&gt;0")+1)</f>
        <v/>
      </c>
      <c r="B553" s="4"/>
      <c r="C553" s="5" t="s">
        <v>22</v>
      </c>
      <c r="D553" s="7" t="s">
        <v>576</v>
      </c>
      <c r="E553" s="31"/>
      <c r="F553" s="31"/>
      <c r="G553" s="6" t="s">
        <v>577</v>
      </c>
      <c r="H553" s="7">
        <f>VLOOKUP(D553,A!B$1:L$1126,3,FALSE)</f>
        <v>0</v>
      </c>
      <c r="I553" s="31">
        <f>VLOOKUP(D553,A!B$1:L$1126,3,FALSE)</f>
        <v>0</v>
      </c>
      <c r="J553" s="92"/>
      <c r="K553" s="63" t="str">
        <f>VLOOKUP(D553,A!B$1:L$1126,6,FALSE)</f>
        <v/>
      </c>
      <c r="L553" s="162"/>
      <c r="M553" s="41" t="s">
        <v>578</v>
      </c>
      <c r="N553" s="94">
        <f>VLOOKUP(D553,A!B$1:L$1125,2,FALSE)</f>
        <v>0</v>
      </c>
      <c r="O553" s="94">
        <f>VLOOKUP(D553,A!B$1:L$1126,4,FALSE)</f>
        <v>0</v>
      </c>
      <c r="P553" s="10">
        <v>10</v>
      </c>
      <c r="Q553" s="10">
        <v>2.69</v>
      </c>
      <c r="R553" s="10">
        <f t="shared" si="81"/>
        <v>0</v>
      </c>
      <c r="S553" s="10">
        <f t="shared" si="82"/>
        <v>0</v>
      </c>
      <c r="T553" s="10" t="s">
        <v>322</v>
      </c>
      <c r="U553" s="145">
        <v>0.33</v>
      </c>
      <c r="V553" s="10" t="str">
        <f>VLOOKUP(D553,A!B$1:T$1125,16,FALSE)</f>
        <v/>
      </c>
      <c r="W553" s="10">
        <f t="shared" si="83"/>
        <v>0</v>
      </c>
      <c r="X553" s="29"/>
      <c r="Y553" s="29"/>
      <c r="Z553" s="29"/>
      <c r="AA553" s="29"/>
    </row>
    <row r="554" spans="1:27" s="3" customFormat="1" ht="13.5" hidden="1" customHeight="1" x14ac:dyDescent="0.25">
      <c r="A554" t="str">
        <f>IF(R554=0,"",COUNTIF(A$13:A553,"&gt;0")+1)</f>
        <v/>
      </c>
      <c r="B554" s="4"/>
      <c r="C554" s="5" t="s">
        <v>22</v>
      </c>
      <c r="D554" s="7" t="s">
        <v>579</v>
      </c>
      <c r="E554" s="31"/>
      <c r="F554" s="31"/>
      <c r="G554" s="6" t="s">
        <v>580</v>
      </c>
      <c r="H554" s="7">
        <f>VLOOKUP(D554,A!B$1:L$1126,3,FALSE)</f>
        <v>0</v>
      </c>
      <c r="I554" s="31">
        <f>VLOOKUP(D554,A!B$1:L$1126,3,FALSE)</f>
        <v>0</v>
      </c>
      <c r="J554" s="92"/>
      <c r="K554" s="63" t="str">
        <f>VLOOKUP(D554,A!B$1:L$1126,6,FALSE)</f>
        <v/>
      </c>
      <c r="L554" s="162"/>
      <c r="M554" s="41" t="s">
        <v>581</v>
      </c>
      <c r="N554" s="94">
        <f>VLOOKUP(D554,A!B$1:L$1125,2,FALSE)</f>
        <v>0</v>
      </c>
      <c r="O554" s="94">
        <f>VLOOKUP(D554,A!B$1:L$1126,4,FALSE)</f>
        <v>0</v>
      </c>
      <c r="P554" s="10">
        <v>10</v>
      </c>
      <c r="Q554" s="10">
        <v>2.69</v>
      </c>
      <c r="R554" s="10">
        <f t="shared" si="81"/>
        <v>0</v>
      </c>
      <c r="S554" s="10">
        <f t="shared" si="82"/>
        <v>0</v>
      </c>
      <c r="T554" s="10" t="s">
        <v>322</v>
      </c>
      <c r="U554" s="145">
        <v>0.33</v>
      </c>
      <c r="V554" s="10" t="str">
        <f>VLOOKUP(D554,A!B$1:T$1125,16,FALSE)</f>
        <v/>
      </c>
      <c r="W554" s="10">
        <f t="shared" si="83"/>
        <v>0</v>
      </c>
      <c r="X554" s="29"/>
      <c r="Y554" s="29"/>
      <c r="Z554" s="29"/>
      <c r="AA554" s="29"/>
    </row>
    <row r="555" spans="1:27" s="3" customFormat="1" ht="13.5" hidden="1" customHeight="1" x14ac:dyDescent="0.25">
      <c r="A555" t="str">
        <f>IF(R555=0,"",COUNTIF(A$13:A554,"&gt;0")+1)</f>
        <v/>
      </c>
      <c r="B555" s="4"/>
      <c r="C555" s="5" t="s">
        <v>22</v>
      </c>
      <c r="D555" s="7" t="s">
        <v>582</v>
      </c>
      <c r="E555" s="31"/>
      <c r="F555" s="31"/>
      <c r="G555" s="6" t="s">
        <v>265</v>
      </c>
      <c r="H555" s="7">
        <f>VLOOKUP(D555,A!B$1:L$1126,3,FALSE)</f>
        <v>0</v>
      </c>
      <c r="I555" s="31">
        <f>VLOOKUP(D555,A!B$1:L$1126,3,FALSE)</f>
        <v>0</v>
      </c>
      <c r="J555" s="92"/>
      <c r="K555" s="63" t="str">
        <f>VLOOKUP(D555,A!B$1:L$1126,6,FALSE)</f>
        <v/>
      </c>
      <c r="L555" s="162"/>
      <c r="M555" s="41" t="s">
        <v>583</v>
      </c>
      <c r="N555" s="94">
        <f>VLOOKUP(D555,A!B$1:L$1125,2,FALSE)</f>
        <v>0</v>
      </c>
      <c r="O555" s="94">
        <f>VLOOKUP(D555,A!B$1:L$1126,4,FALSE)</f>
        <v>0</v>
      </c>
      <c r="P555" s="10">
        <v>10</v>
      </c>
      <c r="Q555" s="10">
        <v>2.69</v>
      </c>
      <c r="R555" s="10">
        <f t="shared" si="81"/>
        <v>0</v>
      </c>
      <c r="S555" s="10">
        <f t="shared" si="82"/>
        <v>0</v>
      </c>
      <c r="T555" s="10" t="s">
        <v>322</v>
      </c>
      <c r="U555" s="145">
        <v>0.33</v>
      </c>
      <c r="V555" s="10" t="str">
        <f>VLOOKUP(D555,A!B$1:T$1125,16,FALSE)</f>
        <v/>
      </c>
      <c r="W555" s="10">
        <f t="shared" si="83"/>
        <v>0</v>
      </c>
      <c r="X555" s="29"/>
      <c r="Y555" s="29"/>
      <c r="Z555" s="29"/>
      <c r="AA555" s="29"/>
    </row>
    <row r="556" spans="1:27" s="3" customFormat="1" ht="13.5" hidden="1" customHeight="1" x14ac:dyDescent="0.25">
      <c r="A556" t="str">
        <f>IF(R556=0,"",COUNTIF(A$13:A555,"&gt;0")+1)</f>
        <v/>
      </c>
      <c r="B556" s="4"/>
      <c r="C556" s="5" t="s">
        <v>22</v>
      </c>
      <c r="D556" s="7" t="s">
        <v>584</v>
      </c>
      <c r="E556" s="31"/>
      <c r="F556" s="31"/>
      <c r="G556" s="6" t="s">
        <v>265</v>
      </c>
      <c r="H556" s="7">
        <f>VLOOKUP(D556,A!B$1:L$1126,3,FALSE)</f>
        <v>0</v>
      </c>
      <c r="I556" s="31">
        <f>VLOOKUP(D556,A!B$1:L$1126,3,FALSE)</f>
        <v>0</v>
      </c>
      <c r="J556" s="92"/>
      <c r="K556" s="63" t="str">
        <f>VLOOKUP(D556,A!B$1:L$1126,6,FALSE)</f>
        <v/>
      </c>
      <c r="L556" s="162"/>
      <c r="M556" s="41" t="s">
        <v>585</v>
      </c>
      <c r="N556" s="94">
        <f>VLOOKUP(D556,A!B$1:L$1125,2,FALSE)</f>
        <v>0</v>
      </c>
      <c r="O556" s="94">
        <f>VLOOKUP(D556,A!B$1:L$1126,4,FALSE)</f>
        <v>0</v>
      </c>
      <c r="P556" s="10">
        <v>10</v>
      </c>
      <c r="Q556" s="10">
        <v>2.69</v>
      </c>
      <c r="R556" s="10">
        <f t="shared" si="81"/>
        <v>0</v>
      </c>
      <c r="S556" s="10">
        <f t="shared" si="82"/>
        <v>0</v>
      </c>
      <c r="T556" s="10" t="s">
        <v>322</v>
      </c>
      <c r="U556" s="145">
        <v>0.33</v>
      </c>
      <c r="V556" s="10" t="str">
        <f>VLOOKUP(D556,A!B$1:T$1125,16,FALSE)</f>
        <v/>
      </c>
      <c r="W556" s="10">
        <f t="shared" si="83"/>
        <v>0</v>
      </c>
      <c r="X556" s="29"/>
      <c r="Y556" s="29"/>
      <c r="Z556" s="29"/>
      <c r="AA556" s="29"/>
    </row>
    <row r="557" spans="1:27" s="3" customFormat="1" ht="13.5" hidden="1" customHeight="1" x14ac:dyDescent="0.25">
      <c r="A557" t="str">
        <f>IF(R557=0,"",COUNTIF(A$13:A556,"&gt;0")+1)</f>
        <v/>
      </c>
      <c r="B557" s="4"/>
      <c r="C557" s="5" t="s">
        <v>22</v>
      </c>
      <c r="D557" s="7" t="s">
        <v>586</v>
      </c>
      <c r="E557" s="31"/>
      <c r="F557" s="31"/>
      <c r="G557" s="6" t="s">
        <v>587</v>
      </c>
      <c r="H557" s="7">
        <f>VLOOKUP(D557,A!B$1:L$1126,3,FALSE)</f>
        <v>0</v>
      </c>
      <c r="I557" s="31">
        <f>VLOOKUP(D557,A!B$1:L$1126,3,FALSE)</f>
        <v>0</v>
      </c>
      <c r="J557" s="92"/>
      <c r="K557" s="63" t="str">
        <f>VLOOKUP(D557,A!B$1:L$1126,6,FALSE)</f>
        <v/>
      </c>
      <c r="L557" s="162"/>
      <c r="M557" s="41" t="s">
        <v>588</v>
      </c>
      <c r="N557" s="94">
        <f>VLOOKUP(D557,A!B$1:L$1125,2,FALSE)</f>
        <v>0</v>
      </c>
      <c r="O557" s="94">
        <f>VLOOKUP(D557,A!B$1:L$1126,4,FALSE)</f>
        <v>0</v>
      </c>
      <c r="P557" s="10">
        <v>10</v>
      </c>
      <c r="Q557" s="10">
        <v>2.69</v>
      </c>
      <c r="R557" s="10">
        <f t="shared" si="81"/>
        <v>0</v>
      </c>
      <c r="S557" s="10">
        <f t="shared" si="82"/>
        <v>0</v>
      </c>
      <c r="T557" s="10" t="s">
        <v>322</v>
      </c>
      <c r="U557" s="145">
        <v>0.33</v>
      </c>
      <c r="V557" s="10" t="str">
        <f>VLOOKUP(D557,A!B$1:T$1125,16,FALSE)</f>
        <v/>
      </c>
      <c r="W557" s="10">
        <f t="shared" si="83"/>
        <v>0</v>
      </c>
      <c r="X557" s="29"/>
      <c r="Y557" s="29"/>
      <c r="Z557" s="29"/>
      <c r="AA557" s="29"/>
    </row>
    <row r="558" spans="1:27" s="3" customFormat="1" ht="13.5" hidden="1" customHeight="1" x14ac:dyDescent="0.25">
      <c r="A558" t="str">
        <f>IF(R558=0,"",COUNTIF(A$13:A557,"&gt;0")+1)</f>
        <v/>
      </c>
      <c r="B558" s="4"/>
      <c r="C558" s="5" t="s">
        <v>22</v>
      </c>
      <c r="D558" s="7" t="s">
        <v>589</v>
      </c>
      <c r="E558" s="31"/>
      <c r="F558" s="31"/>
      <c r="G558" s="6" t="s">
        <v>265</v>
      </c>
      <c r="H558" s="7">
        <f>VLOOKUP(D558,A!B$1:L$1126,3,FALSE)</f>
        <v>0</v>
      </c>
      <c r="I558" s="31">
        <f>VLOOKUP(D558,A!B$1:L$1126,3,FALSE)</f>
        <v>0</v>
      </c>
      <c r="J558" s="92"/>
      <c r="K558" s="63" t="str">
        <f>VLOOKUP(D558,A!B$1:L$1126,6,FALSE)</f>
        <v/>
      </c>
      <c r="L558" s="162"/>
      <c r="M558" s="41" t="s">
        <v>590</v>
      </c>
      <c r="N558" s="94">
        <f>VLOOKUP(D558,A!B$1:L$1125,2,FALSE)</f>
        <v>0</v>
      </c>
      <c r="O558" s="94">
        <f>VLOOKUP(D558,A!B$1:L$1126,4,FALSE)</f>
        <v>0</v>
      </c>
      <c r="P558" s="10">
        <v>10</v>
      </c>
      <c r="Q558" s="10">
        <v>2.69</v>
      </c>
      <c r="R558" s="10">
        <f t="shared" si="81"/>
        <v>0</v>
      </c>
      <c r="S558" s="10">
        <f t="shared" si="82"/>
        <v>0</v>
      </c>
      <c r="T558" s="10" t="s">
        <v>322</v>
      </c>
      <c r="U558" s="145">
        <v>0.33</v>
      </c>
      <c r="V558" s="10" t="str">
        <f>VLOOKUP(D558,A!B$1:T$1125,16,FALSE)</f>
        <v/>
      </c>
      <c r="W558" s="10">
        <f t="shared" si="83"/>
        <v>0</v>
      </c>
      <c r="X558" s="29"/>
      <c r="Y558" s="29"/>
      <c r="Z558" s="29"/>
      <c r="AA558" s="29"/>
    </row>
    <row r="559" spans="1:27" s="3" customFormat="1" ht="13.5" customHeight="1" x14ac:dyDescent="0.25">
      <c r="A559" t="str">
        <f>IF(R559=0,"",COUNTIF(A$13:A558,"&gt;0")+1)</f>
        <v/>
      </c>
      <c r="B559" s="4"/>
      <c r="C559" s="5" t="s">
        <v>22</v>
      </c>
      <c r="D559" s="7" t="s">
        <v>591</v>
      </c>
      <c r="E559" s="31"/>
      <c r="F559" s="31"/>
      <c r="G559" s="6" t="s">
        <v>592</v>
      </c>
      <c r="H559" s="7">
        <f>VLOOKUP(D559,A!B$1:L$1126,3,FALSE)</f>
        <v>1</v>
      </c>
      <c r="I559" s="31">
        <f>VLOOKUP(D559,A!B$1:L$1126,3,FALSE)</f>
        <v>1</v>
      </c>
      <c r="J559" s="92"/>
      <c r="K559" s="63" t="str">
        <f>VLOOKUP(D559,A!B$1:L$1126,6,FALSE)</f>
        <v/>
      </c>
      <c r="L559" s="162"/>
      <c r="M559" s="41" t="s">
        <v>593</v>
      </c>
      <c r="N559" s="94" t="str">
        <f>VLOOKUP(D559,A!B$1:L$1125,2,FALSE)</f>
        <v>y</v>
      </c>
      <c r="O559" s="94">
        <f>VLOOKUP(D559,A!B$1:L$1126,4,FALSE)</f>
        <v>1</v>
      </c>
      <c r="P559" s="10">
        <v>10</v>
      </c>
      <c r="Q559" s="10">
        <v>2.69</v>
      </c>
      <c r="R559" s="10">
        <f t="shared" si="81"/>
        <v>0</v>
      </c>
      <c r="S559" s="10">
        <f t="shared" si="82"/>
        <v>0</v>
      </c>
      <c r="T559" s="10" t="s">
        <v>322</v>
      </c>
      <c r="U559" s="145">
        <v>0.33</v>
      </c>
      <c r="V559" s="10" t="str">
        <f>VLOOKUP(D559,A!B$1:T$1125,16,FALSE)</f>
        <v/>
      </c>
      <c r="W559" s="10">
        <f t="shared" si="83"/>
        <v>0</v>
      </c>
      <c r="X559" s="29"/>
      <c r="Y559" s="29"/>
      <c r="Z559" s="29"/>
      <c r="AA559" s="29"/>
    </row>
    <row r="560" spans="1:27" s="3" customFormat="1" ht="13.5" customHeight="1" x14ac:dyDescent="0.25">
      <c r="A560" t="str">
        <f>IF(R560=0,"",COUNTIF(A$13:A559,"&gt;0")+1)</f>
        <v/>
      </c>
      <c r="B560" s="4"/>
      <c r="C560" s="5" t="s">
        <v>22</v>
      </c>
      <c r="D560" s="7" t="s">
        <v>594</v>
      </c>
      <c r="E560" s="31"/>
      <c r="F560" s="31"/>
      <c r="G560" s="6" t="s">
        <v>595</v>
      </c>
      <c r="H560" s="7">
        <f>VLOOKUP(D560,A!B$1:L$1126,3,FALSE)</f>
        <v>1</v>
      </c>
      <c r="I560" s="31">
        <f>VLOOKUP(D560,A!B$1:L$1126,3,FALSE)</f>
        <v>1</v>
      </c>
      <c r="J560" s="92"/>
      <c r="K560" s="63" t="str">
        <f>VLOOKUP(D560,A!B$1:L$1126,6,FALSE)</f>
        <v/>
      </c>
      <c r="L560" s="162"/>
      <c r="M560" s="41" t="s">
        <v>596</v>
      </c>
      <c r="N560" s="94" t="str">
        <f>VLOOKUP(D560,A!B$1:L$1125,2,FALSE)</f>
        <v>y</v>
      </c>
      <c r="O560" s="94">
        <f>VLOOKUP(D560,A!B$1:L$1126,4,FALSE)</f>
        <v>0</v>
      </c>
      <c r="P560" s="10">
        <v>10</v>
      </c>
      <c r="Q560" s="10">
        <v>2.69</v>
      </c>
      <c r="R560" s="10">
        <f t="shared" si="81"/>
        <v>0</v>
      </c>
      <c r="S560" s="10">
        <f t="shared" si="82"/>
        <v>0</v>
      </c>
      <c r="T560" s="10" t="s">
        <v>322</v>
      </c>
      <c r="U560" s="145">
        <v>0.33</v>
      </c>
      <c r="V560" s="10" t="str">
        <f>VLOOKUP(D560,A!B$1:T$1125,16,FALSE)</f>
        <v/>
      </c>
      <c r="W560" s="10">
        <f t="shared" si="83"/>
        <v>0</v>
      </c>
      <c r="X560" s="29"/>
      <c r="Y560" s="29"/>
      <c r="Z560" s="29"/>
      <c r="AA560" s="29"/>
    </row>
    <row r="561" spans="1:27" s="3" customFormat="1" ht="13.5" hidden="1" customHeight="1" x14ac:dyDescent="0.25">
      <c r="A561" t="str">
        <f>IF(R561=0,"",COUNTIF(A$13:A560,"&gt;0")+1)</f>
        <v/>
      </c>
      <c r="B561" s="4"/>
      <c r="C561" s="5" t="s">
        <v>22</v>
      </c>
      <c r="D561" s="7" t="s">
        <v>597</v>
      </c>
      <c r="E561" s="31"/>
      <c r="F561" s="31"/>
      <c r="G561" s="6" t="s">
        <v>592</v>
      </c>
      <c r="H561" s="7">
        <f>VLOOKUP(D561,A!B$1:L$1126,3,FALSE)</f>
        <v>0</v>
      </c>
      <c r="I561" s="31">
        <f>VLOOKUP(D561,A!B$1:L$1126,3,FALSE)</f>
        <v>0</v>
      </c>
      <c r="J561" s="92"/>
      <c r="K561" s="63" t="str">
        <f>VLOOKUP(D561,A!B$1:L$1126,6,FALSE)</f>
        <v/>
      </c>
      <c r="L561" s="162"/>
      <c r="M561" s="41" t="s">
        <v>598</v>
      </c>
      <c r="N561" s="94">
        <f>VLOOKUP(D561,A!B$1:L$1125,2,FALSE)</f>
        <v>0</v>
      </c>
      <c r="O561" s="94">
        <f>VLOOKUP(D561,A!B$1:L$1126,4,FALSE)</f>
        <v>0</v>
      </c>
      <c r="P561" s="10">
        <v>10</v>
      </c>
      <c r="Q561" s="10">
        <v>2.69</v>
      </c>
      <c r="R561" s="10">
        <f t="shared" si="81"/>
        <v>0</v>
      </c>
      <c r="S561" s="10">
        <f t="shared" si="82"/>
        <v>0</v>
      </c>
      <c r="T561" s="10" t="s">
        <v>322</v>
      </c>
      <c r="U561" s="145">
        <v>0.33</v>
      </c>
      <c r="V561" s="10" t="str">
        <f>VLOOKUP(D561,A!B$1:T$1125,16,FALSE)</f>
        <v/>
      </c>
      <c r="W561" s="10">
        <f t="shared" si="83"/>
        <v>0</v>
      </c>
      <c r="X561" s="29"/>
      <c r="Y561" s="29"/>
      <c r="Z561" s="29"/>
      <c r="AA561" s="29"/>
    </row>
    <row r="562" spans="1:27" s="3" customFormat="1" ht="13.5" hidden="1" customHeight="1" x14ac:dyDescent="0.25">
      <c r="A562" t="str">
        <f>IF(R562=0,"",COUNTIF(A$13:A561,"&gt;0")+1)</f>
        <v/>
      </c>
      <c r="B562" s="4"/>
      <c r="C562" s="5" t="s">
        <v>22</v>
      </c>
      <c r="D562" s="7" t="s">
        <v>599</v>
      </c>
      <c r="E562" s="31"/>
      <c r="F562" s="31"/>
      <c r="G562" s="6" t="s">
        <v>600</v>
      </c>
      <c r="H562" s="7">
        <f>VLOOKUP(D562,A!B$1:L$1126,3,FALSE)</f>
        <v>0</v>
      </c>
      <c r="I562" s="31">
        <f>VLOOKUP(D562,A!B$1:L$1126,3,FALSE)</f>
        <v>0</v>
      </c>
      <c r="J562" s="92"/>
      <c r="K562" s="63" t="str">
        <f>VLOOKUP(D562,A!B$1:L$1126,6,FALSE)</f>
        <v/>
      </c>
      <c r="L562" s="162"/>
      <c r="M562" s="41" t="s">
        <v>601</v>
      </c>
      <c r="N562" s="94">
        <f>VLOOKUP(D562,A!B$1:L$1125,2,FALSE)</f>
        <v>0</v>
      </c>
      <c r="O562" s="94">
        <f>VLOOKUP(D562,A!B$1:L$1126,4,FALSE)</f>
        <v>0</v>
      </c>
      <c r="P562" s="10">
        <v>10</v>
      </c>
      <c r="Q562" s="10">
        <v>2.69</v>
      </c>
      <c r="R562" s="10">
        <f t="shared" si="81"/>
        <v>0</v>
      </c>
      <c r="S562" s="10">
        <f t="shared" si="82"/>
        <v>0</v>
      </c>
      <c r="T562" s="10" t="s">
        <v>322</v>
      </c>
      <c r="U562" s="145">
        <v>0.33</v>
      </c>
      <c r="V562" s="10" t="str">
        <f>VLOOKUP(D562,A!B$1:T$1125,16,FALSE)</f>
        <v/>
      </c>
      <c r="W562" s="10">
        <f t="shared" si="83"/>
        <v>0</v>
      </c>
      <c r="X562" s="29"/>
      <c r="Y562" s="29"/>
      <c r="Z562" s="29"/>
      <c r="AA562" s="29"/>
    </row>
    <row r="563" spans="1:27" s="3" customFormat="1" ht="13.5" hidden="1" customHeight="1" x14ac:dyDescent="0.25">
      <c r="A563" t="str">
        <f>IF(R563=0,"",COUNTIF(A$13:A562,"&gt;0")+1)</f>
        <v/>
      </c>
      <c r="B563" s="4"/>
      <c r="C563" s="5" t="s">
        <v>22</v>
      </c>
      <c r="D563" s="7" t="s">
        <v>602</v>
      </c>
      <c r="E563" s="31"/>
      <c r="F563" s="31"/>
      <c r="G563" s="6" t="s">
        <v>603</v>
      </c>
      <c r="H563" s="7">
        <f>VLOOKUP(D563,A!B$1:L$1126,3,FALSE)</f>
        <v>0</v>
      </c>
      <c r="I563" s="31">
        <f>VLOOKUP(D563,A!B$1:L$1126,3,FALSE)</f>
        <v>0</v>
      </c>
      <c r="J563" s="92"/>
      <c r="K563" s="63" t="str">
        <f>VLOOKUP(D563,A!B$1:L$1126,6,FALSE)</f>
        <v/>
      </c>
      <c r="L563" s="162"/>
      <c r="M563" s="41" t="s">
        <v>604</v>
      </c>
      <c r="N563" s="94">
        <f>VLOOKUP(D563,A!B$1:L$1125,2,FALSE)</f>
        <v>0</v>
      </c>
      <c r="O563" s="94">
        <f>VLOOKUP(D563,A!B$1:L$1126,4,FALSE)</f>
        <v>0</v>
      </c>
      <c r="P563" s="10">
        <v>10</v>
      </c>
      <c r="Q563" s="10">
        <v>2.69</v>
      </c>
      <c r="R563" s="10">
        <f t="shared" si="81"/>
        <v>0</v>
      </c>
      <c r="S563" s="10">
        <f t="shared" si="82"/>
        <v>0</v>
      </c>
      <c r="T563" s="10" t="s">
        <v>322</v>
      </c>
      <c r="U563" s="145">
        <v>0.33</v>
      </c>
      <c r="V563" s="10" t="str">
        <f>VLOOKUP(D563,A!B$1:T$1125,16,FALSE)</f>
        <v/>
      </c>
      <c r="W563" s="10">
        <f t="shared" si="83"/>
        <v>0</v>
      </c>
      <c r="X563" s="29"/>
      <c r="Y563" s="29"/>
      <c r="Z563" s="29"/>
      <c r="AA563" s="29"/>
    </row>
    <row r="564" spans="1:27" s="3" customFormat="1" ht="13.5" hidden="1" customHeight="1" x14ac:dyDescent="0.25">
      <c r="A564" t="str">
        <f>IF(R564=0,"",COUNTIF(A$13:A563,"&gt;0")+1)</f>
        <v/>
      </c>
      <c r="B564" s="4"/>
      <c r="C564" s="5" t="s">
        <v>22</v>
      </c>
      <c r="D564" s="7" t="s">
        <v>605</v>
      </c>
      <c r="E564" s="31"/>
      <c r="F564" s="31"/>
      <c r="G564" s="6" t="s">
        <v>606</v>
      </c>
      <c r="H564" s="7">
        <f>VLOOKUP(D564,A!B$1:L$1126,3,FALSE)</f>
        <v>0</v>
      </c>
      <c r="I564" s="31">
        <f>VLOOKUP(D564,A!B$1:L$1126,3,FALSE)</f>
        <v>0</v>
      </c>
      <c r="J564" s="92"/>
      <c r="K564" s="63" t="str">
        <f>VLOOKUP(D564,A!B$1:L$1126,6,FALSE)</f>
        <v/>
      </c>
      <c r="L564" s="162"/>
      <c r="M564" s="41" t="s">
        <v>607</v>
      </c>
      <c r="N564" s="94">
        <f>VLOOKUP(D564,A!B$1:L$1125,2,FALSE)</f>
        <v>0</v>
      </c>
      <c r="O564" s="94">
        <f>VLOOKUP(D564,A!B$1:L$1126,4,FALSE)</f>
        <v>0</v>
      </c>
      <c r="P564" s="10">
        <v>10</v>
      </c>
      <c r="Q564" s="10">
        <v>2.69</v>
      </c>
      <c r="R564" s="10">
        <f t="shared" si="81"/>
        <v>0</v>
      </c>
      <c r="S564" s="10">
        <f t="shared" si="82"/>
        <v>0</v>
      </c>
      <c r="T564" s="10" t="s">
        <v>322</v>
      </c>
      <c r="U564" s="145">
        <v>0.33</v>
      </c>
      <c r="V564" s="10" t="str">
        <f>VLOOKUP(D564,A!B$1:T$1125,16,FALSE)</f>
        <v/>
      </c>
      <c r="W564" s="10">
        <f t="shared" si="83"/>
        <v>0</v>
      </c>
      <c r="X564" s="29"/>
      <c r="Y564" s="29"/>
      <c r="Z564" s="29"/>
      <c r="AA564" s="29"/>
    </row>
    <row r="565" spans="1:27" s="3" customFormat="1" ht="13.5" hidden="1" customHeight="1" x14ac:dyDescent="0.25">
      <c r="A565" t="str">
        <f>IF(R565=0,"",COUNTIF(A$13:A564,"&gt;0")+1)</f>
        <v/>
      </c>
      <c r="B565" s="4"/>
      <c r="C565" s="5" t="s">
        <v>22</v>
      </c>
      <c r="D565" s="7" t="s">
        <v>608</v>
      </c>
      <c r="E565" s="31"/>
      <c r="F565" s="31"/>
      <c r="G565" s="6" t="s">
        <v>600</v>
      </c>
      <c r="H565" s="7">
        <f>VLOOKUP(D565,A!B$1:L$1126,3,FALSE)</f>
        <v>0</v>
      </c>
      <c r="I565" s="31">
        <f>VLOOKUP(D565,A!B$1:L$1126,3,FALSE)</f>
        <v>0</v>
      </c>
      <c r="J565" s="92"/>
      <c r="K565" s="63" t="str">
        <f>VLOOKUP(D565,A!B$1:L$1126,6,FALSE)</f>
        <v/>
      </c>
      <c r="L565" s="162"/>
      <c r="M565" s="41" t="s">
        <v>609</v>
      </c>
      <c r="N565" s="94">
        <f>VLOOKUP(D565,A!B$1:L$1125,2,FALSE)</f>
        <v>0</v>
      </c>
      <c r="O565" s="94">
        <f>VLOOKUP(D565,A!B$1:L$1126,4,FALSE)</f>
        <v>0</v>
      </c>
      <c r="P565" s="10">
        <v>10</v>
      </c>
      <c r="Q565" s="10">
        <v>2.69</v>
      </c>
      <c r="R565" s="10">
        <f t="shared" si="81"/>
        <v>0</v>
      </c>
      <c r="S565" s="10">
        <f t="shared" si="82"/>
        <v>0</v>
      </c>
      <c r="T565" s="10" t="s">
        <v>322</v>
      </c>
      <c r="U565" s="145">
        <v>0.33</v>
      </c>
      <c r="V565" s="10" t="str">
        <f>VLOOKUP(D565,A!B$1:T$1125,16,FALSE)</f>
        <v/>
      </c>
      <c r="W565" s="10">
        <f t="shared" si="83"/>
        <v>0</v>
      </c>
      <c r="X565" s="29"/>
      <c r="Y565" s="29"/>
      <c r="Z565" s="29"/>
      <c r="AA565" s="29"/>
    </row>
    <row r="566" spans="1:27" s="3" customFormat="1" ht="13.5" customHeight="1" x14ac:dyDescent="0.25">
      <c r="A566" t="str">
        <f>IF(R566=0,"",COUNTIF(A$13:A565,"&gt;0")+1)</f>
        <v/>
      </c>
      <c r="B566" s="4"/>
      <c r="C566" s="5" t="s">
        <v>22</v>
      </c>
      <c r="D566" s="7" t="s">
        <v>264</v>
      </c>
      <c r="E566" s="31"/>
      <c r="F566" s="31"/>
      <c r="G566" s="6" t="s">
        <v>265</v>
      </c>
      <c r="H566" s="7">
        <f>VLOOKUP(D566,A!B$1:L$1126,3,FALSE)</f>
        <v>1</v>
      </c>
      <c r="I566" s="31">
        <f>VLOOKUP(D566,A!B$1:L$1126,3,FALSE)</f>
        <v>1</v>
      </c>
      <c r="J566" s="92"/>
      <c r="K566" s="63" t="str">
        <f>VLOOKUP(D566,A!B$1:L$1126,6,FALSE)</f>
        <v/>
      </c>
      <c r="L566" s="162"/>
      <c r="M566" s="41" t="s">
        <v>266</v>
      </c>
      <c r="N566" s="94" t="str">
        <f>VLOOKUP(D566,A!B$1:L$1125,2,FALSE)</f>
        <v>y</v>
      </c>
      <c r="O566" s="94">
        <f>VLOOKUP(D566,A!B$1:L$1126,4,FALSE)</f>
        <v>1</v>
      </c>
      <c r="P566" s="10">
        <v>10</v>
      </c>
      <c r="Q566" s="10">
        <v>2.69</v>
      </c>
      <c r="R566" s="10">
        <f t="shared" si="81"/>
        <v>0</v>
      </c>
      <c r="S566" s="10">
        <f t="shared" si="82"/>
        <v>0</v>
      </c>
      <c r="T566" s="10" t="s">
        <v>322</v>
      </c>
      <c r="U566" s="145">
        <v>0.33</v>
      </c>
      <c r="V566" s="10" t="str">
        <f>VLOOKUP(D566,A!B$1:T$1125,16,FALSE)</f>
        <v/>
      </c>
      <c r="W566" s="10">
        <f t="shared" si="83"/>
        <v>0</v>
      </c>
      <c r="X566" s="29"/>
      <c r="Y566" s="29"/>
      <c r="Z566" s="29"/>
      <c r="AA566" s="29"/>
    </row>
    <row r="567" spans="1:27" s="3" customFormat="1" ht="13.5" hidden="1" customHeight="1" x14ac:dyDescent="0.25">
      <c r="A567" t="str">
        <f>IF(R567=0,"",COUNTIF(A$13:A566,"&gt;0")+1)</f>
        <v/>
      </c>
      <c r="B567" s="4"/>
      <c r="C567" s="5" t="s">
        <v>22</v>
      </c>
      <c r="D567" s="7" t="s">
        <v>610</v>
      </c>
      <c r="E567" s="31"/>
      <c r="F567" s="31"/>
      <c r="G567" s="6" t="s">
        <v>265</v>
      </c>
      <c r="H567" s="7">
        <f>VLOOKUP(D567,A!B$1:L$1126,3,FALSE)</f>
        <v>0</v>
      </c>
      <c r="I567" s="31">
        <f>VLOOKUP(D567,A!B$1:L$1126,3,FALSE)</f>
        <v>0</v>
      </c>
      <c r="J567" s="92"/>
      <c r="K567" s="63" t="str">
        <f>VLOOKUP(D567,A!B$1:L$1126,6,FALSE)</f>
        <v/>
      </c>
      <c r="L567" s="162"/>
      <c r="M567" s="41" t="s">
        <v>611</v>
      </c>
      <c r="N567" s="94">
        <f>VLOOKUP(D567,A!B$1:L$1125,2,FALSE)</f>
        <v>0</v>
      </c>
      <c r="O567" s="94">
        <f>VLOOKUP(D567,A!B$1:L$1126,4,FALSE)</f>
        <v>0</v>
      </c>
      <c r="P567" s="10">
        <v>10</v>
      </c>
      <c r="Q567" s="10">
        <v>2.69</v>
      </c>
      <c r="R567" s="10">
        <f t="shared" ref="R567:R580" si="84">B567*P567</f>
        <v>0</v>
      </c>
      <c r="S567" s="10">
        <f t="shared" ref="S567:S580" si="85">R567*Q567</f>
        <v>0</v>
      </c>
      <c r="T567" s="10" t="s">
        <v>322</v>
      </c>
      <c r="U567" s="145">
        <v>0.33</v>
      </c>
      <c r="V567" s="10" t="str">
        <f>VLOOKUP(D567,A!B$1:T$1125,16,FALSE)</f>
        <v/>
      </c>
      <c r="W567" s="10">
        <f t="shared" ref="W567:W580" si="86">U567*B567</f>
        <v>0</v>
      </c>
      <c r="X567" s="29"/>
      <c r="Y567" s="29"/>
      <c r="Z567" s="29"/>
      <c r="AA567" s="29"/>
    </row>
    <row r="568" spans="1:27" s="3" customFormat="1" ht="13.5" hidden="1" customHeight="1" x14ac:dyDescent="0.25">
      <c r="A568" t="str">
        <f>IF(R568=0,"",COUNTIF(A$13:A567,"&gt;0")+1)</f>
        <v/>
      </c>
      <c r="B568" s="4"/>
      <c r="C568" s="5" t="s">
        <v>22</v>
      </c>
      <c r="D568" s="7" t="s">
        <v>612</v>
      </c>
      <c r="E568" s="31"/>
      <c r="F568" s="31"/>
      <c r="G568" s="6" t="s">
        <v>613</v>
      </c>
      <c r="H568" s="7">
        <f>VLOOKUP(D568,A!B$1:L$1126,3,FALSE)</f>
        <v>1</v>
      </c>
      <c r="I568" s="31">
        <f>VLOOKUP(D568,A!B$1:L$1126,3,FALSE)</f>
        <v>1</v>
      </c>
      <c r="J568" s="92"/>
      <c r="K568" s="63" t="str">
        <f>VLOOKUP(D568,A!B$1:L$1126,6,FALSE)</f>
        <v/>
      </c>
      <c r="L568" s="162"/>
      <c r="M568" s="41" t="s">
        <v>614</v>
      </c>
      <c r="N568" s="94" t="str">
        <f>VLOOKUP(D568,A!B$1:L$1125,2,FALSE)</f>
        <v>y</v>
      </c>
      <c r="O568" s="94">
        <f>VLOOKUP(D568,A!B$1:L$1126,4,FALSE)</f>
        <v>0</v>
      </c>
      <c r="P568" s="10">
        <v>10</v>
      </c>
      <c r="Q568" s="10">
        <v>2.69</v>
      </c>
      <c r="R568" s="10">
        <f t="shared" si="84"/>
        <v>0</v>
      </c>
      <c r="S568" s="10">
        <f t="shared" si="85"/>
        <v>0</v>
      </c>
      <c r="T568" s="10" t="s">
        <v>322</v>
      </c>
      <c r="U568" s="145">
        <v>0.33</v>
      </c>
      <c r="V568" s="10" t="str">
        <f>VLOOKUP(D568,A!B$1:T$1125,16,FALSE)</f>
        <v/>
      </c>
      <c r="W568" s="10">
        <f t="shared" si="86"/>
        <v>0</v>
      </c>
      <c r="X568" s="29"/>
      <c r="Y568" s="29"/>
      <c r="Z568" s="29"/>
      <c r="AA568" s="29"/>
    </row>
    <row r="569" spans="1:27" s="3" customFormat="1" ht="13.5" hidden="1" customHeight="1" x14ac:dyDescent="0.25">
      <c r="A569" t="str">
        <f>IF(R569=0,"",COUNTIF(A$13:A568,"&gt;0")+1)</f>
        <v/>
      </c>
      <c r="B569" s="4"/>
      <c r="C569" s="5" t="s">
        <v>22</v>
      </c>
      <c r="D569" s="7" t="s">
        <v>615</v>
      </c>
      <c r="E569" s="31"/>
      <c r="F569" s="31"/>
      <c r="G569" s="6" t="s">
        <v>616</v>
      </c>
      <c r="H569" s="7">
        <f>VLOOKUP(D569,A!B$1:L$1126,3,FALSE)</f>
        <v>0</v>
      </c>
      <c r="I569" s="31">
        <f>VLOOKUP(D569,A!B$1:L$1126,3,FALSE)</f>
        <v>0</v>
      </c>
      <c r="J569" s="92"/>
      <c r="K569" s="63" t="str">
        <f>VLOOKUP(D569,A!B$1:L$1126,6,FALSE)</f>
        <v/>
      </c>
      <c r="L569" s="162"/>
      <c r="M569" s="41" t="s">
        <v>617</v>
      </c>
      <c r="N569" s="94">
        <f>VLOOKUP(D569,A!B$1:L$1125,2,FALSE)</f>
        <v>0</v>
      </c>
      <c r="O569" s="94">
        <f>VLOOKUP(D569,A!B$1:L$1126,4,FALSE)</f>
        <v>0</v>
      </c>
      <c r="P569" s="10">
        <v>10</v>
      </c>
      <c r="Q569" s="10">
        <v>2.69</v>
      </c>
      <c r="R569" s="10">
        <f t="shared" si="84"/>
        <v>0</v>
      </c>
      <c r="S569" s="10">
        <f t="shared" si="85"/>
        <v>0</v>
      </c>
      <c r="T569" s="10" t="s">
        <v>322</v>
      </c>
      <c r="U569" s="145">
        <v>0.33</v>
      </c>
      <c r="V569" s="10" t="str">
        <f>VLOOKUP(D569,A!B$1:T$1125,16,FALSE)</f>
        <v/>
      </c>
      <c r="W569" s="10">
        <f t="shared" si="86"/>
        <v>0</v>
      </c>
      <c r="X569" s="29"/>
      <c r="Y569" s="29"/>
      <c r="Z569" s="29"/>
      <c r="AA569" s="29"/>
    </row>
    <row r="570" spans="1:27" s="3" customFormat="1" ht="13.5" customHeight="1" x14ac:dyDescent="0.25">
      <c r="A570" t="str">
        <f>IF(R570=0,"",COUNTIF(A$13:A569,"&gt;0")+1)</f>
        <v/>
      </c>
      <c r="B570" s="4"/>
      <c r="C570" s="5" t="s">
        <v>22</v>
      </c>
      <c r="D570" s="7" t="s">
        <v>618</v>
      </c>
      <c r="E570" s="31"/>
      <c r="F570" s="31"/>
      <c r="G570" s="6" t="s">
        <v>587</v>
      </c>
      <c r="H570" s="7">
        <f>VLOOKUP(D570,A!B$1:L$1126,3,FALSE)</f>
        <v>1</v>
      </c>
      <c r="I570" s="31">
        <f>VLOOKUP(D570,A!B$1:L$1126,3,FALSE)</f>
        <v>1</v>
      </c>
      <c r="J570" s="92"/>
      <c r="K570" s="91" t="str">
        <f>VLOOKUP(D570,A!B$1:L$1126,6,FALSE)</f>
        <v/>
      </c>
      <c r="L570" s="162"/>
      <c r="M570" s="40" t="s">
        <v>619</v>
      </c>
      <c r="N570" s="94" t="str">
        <f>VLOOKUP(D570,A!B$1:L$1125,2,FALSE)</f>
        <v>y</v>
      </c>
      <c r="O570" s="94">
        <f>VLOOKUP(D570,A!B$1:L$1126,4,FALSE)</f>
        <v>0</v>
      </c>
      <c r="P570" s="10">
        <v>10</v>
      </c>
      <c r="Q570" s="10">
        <v>2.69</v>
      </c>
      <c r="R570" s="10">
        <f t="shared" si="84"/>
        <v>0</v>
      </c>
      <c r="S570" s="10">
        <f t="shared" si="85"/>
        <v>0</v>
      </c>
      <c r="T570" s="10" t="s">
        <v>322</v>
      </c>
      <c r="U570" s="145">
        <v>0.33</v>
      </c>
      <c r="V570" s="10" t="str">
        <f>VLOOKUP(D570,A!B$1:T$1125,16,FALSE)</f>
        <v/>
      </c>
      <c r="W570" s="10">
        <f t="shared" si="86"/>
        <v>0</v>
      </c>
      <c r="X570" s="29"/>
      <c r="Y570" s="29"/>
      <c r="Z570" s="29"/>
      <c r="AA570" s="29"/>
    </row>
    <row r="571" spans="1:27" s="3" customFormat="1" ht="13.5" hidden="1" customHeight="1" x14ac:dyDescent="0.25">
      <c r="A571" t="str">
        <f>IF(R571=0,"",COUNTIF(A$13:A570,"&gt;0")+1)</f>
        <v/>
      </c>
      <c r="B571" s="4"/>
      <c r="C571" s="5" t="s">
        <v>22</v>
      </c>
      <c r="D571" s="7" t="s">
        <v>620</v>
      </c>
      <c r="E571" s="31"/>
      <c r="F571" s="31"/>
      <c r="G571" s="6" t="s">
        <v>621</v>
      </c>
      <c r="H571" s="7">
        <f>VLOOKUP(D571,A!B$1:L$1126,3,FALSE)</f>
        <v>0</v>
      </c>
      <c r="I571" s="31">
        <f>VLOOKUP(D571,A!B$1:L$1126,3,FALSE)</f>
        <v>0</v>
      </c>
      <c r="J571" s="92"/>
      <c r="K571" s="91" t="str">
        <f>VLOOKUP(D571,A!B$1:L$1126,6,FALSE)</f>
        <v/>
      </c>
      <c r="L571" s="162"/>
      <c r="M571" s="41" t="s">
        <v>622</v>
      </c>
      <c r="N571" s="94">
        <f>VLOOKUP(D571,A!B$1:L$1125,2,FALSE)</f>
        <v>0</v>
      </c>
      <c r="O571" s="94">
        <f>VLOOKUP(D571,A!B$1:L$1126,4,FALSE)</f>
        <v>0</v>
      </c>
      <c r="P571" s="10">
        <v>10</v>
      </c>
      <c r="Q571" s="10">
        <v>2.69</v>
      </c>
      <c r="R571" s="10">
        <f t="shared" si="84"/>
        <v>0</v>
      </c>
      <c r="S571" s="10">
        <f t="shared" si="85"/>
        <v>0</v>
      </c>
      <c r="T571" s="10" t="s">
        <v>322</v>
      </c>
      <c r="U571" s="145">
        <v>0.33</v>
      </c>
      <c r="V571" s="10" t="str">
        <f>VLOOKUP(D571,A!B$1:T$1125,16,FALSE)</f>
        <v/>
      </c>
      <c r="W571" s="10">
        <f t="shared" si="86"/>
        <v>0</v>
      </c>
      <c r="X571" s="29"/>
      <c r="Y571" s="29"/>
      <c r="Z571" s="29"/>
      <c r="AA571" s="29"/>
    </row>
    <row r="572" spans="1:27" s="3" customFormat="1" ht="13.5" hidden="1" customHeight="1" x14ac:dyDescent="0.25">
      <c r="A572" t="str">
        <f>IF(R572=0,"",COUNTIF(A$13:A571,"&gt;0")+1)</f>
        <v/>
      </c>
      <c r="B572" s="4"/>
      <c r="C572" s="5" t="s">
        <v>22</v>
      </c>
      <c r="D572" s="7" t="s">
        <v>623</v>
      </c>
      <c r="E572" s="31"/>
      <c r="F572" s="31"/>
      <c r="G572" s="6" t="s">
        <v>624</v>
      </c>
      <c r="H572" s="7">
        <f>VLOOKUP(D572,A!B$1:L$1126,3,FALSE)</f>
        <v>0</v>
      </c>
      <c r="I572" s="31">
        <f>VLOOKUP(D572,A!B$1:L$1126,3,FALSE)</f>
        <v>0</v>
      </c>
      <c r="J572" s="92"/>
      <c r="K572" s="91" t="str">
        <f>VLOOKUP(D572,A!B$1:L$1126,6,FALSE)</f>
        <v/>
      </c>
      <c r="L572" s="162"/>
      <c r="M572" s="41" t="s">
        <v>625</v>
      </c>
      <c r="N572" s="94">
        <f>VLOOKUP(D572,A!B$1:L$1125,2,FALSE)</f>
        <v>0</v>
      </c>
      <c r="O572" s="94">
        <f>VLOOKUP(D572,A!B$1:L$1126,4,FALSE)</f>
        <v>0</v>
      </c>
      <c r="P572" s="10">
        <v>10</v>
      </c>
      <c r="Q572" s="10">
        <v>2.69</v>
      </c>
      <c r="R572" s="10">
        <f t="shared" si="84"/>
        <v>0</v>
      </c>
      <c r="S572" s="10">
        <f t="shared" si="85"/>
        <v>0</v>
      </c>
      <c r="T572" s="10" t="s">
        <v>322</v>
      </c>
      <c r="U572" s="145">
        <v>0.33</v>
      </c>
      <c r="V572" s="10" t="str">
        <f>VLOOKUP(D572,A!B$1:T$1125,16,FALSE)</f>
        <v/>
      </c>
      <c r="W572" s="10">
        <f t="shared" si="86"/>
        <v>0</v>
      </c>
      <c r="X572" s="29"/>
      <c r="Y572" s="29"/>
      <c r="Z572" s="29"/>
      <c r="AA572" s="29"/>
    </row>
    <row r="573" spans="1:27" s="3" customFormat="1" ht="13.5" hidden="1" customHeight="1" x14ac:dyDescent="0.25">
      <c r="A573" t="str">
        <f>IF(R573=0,"",COUNTIF(A$13:A572,"&gt;0")+1)</f>
        <v/>
      </c>
      <c r="B573" s="4"/>
      <c r="C573" s="5" t="s">
        <v>22</v>
      </c>
      <c r="D573" s="7" t="s">
        <v>626</v>
      </c>
      <c r="E573" s="31"/>
      <c r="F573" s="31"/>
      <c r="G573" s="6" t="s">
        <v>627</v>
      </c>
      <c r="H573" s="7">
        <f>VLOOKUP(D573,A!B$1:L$1126,3,FALSE)</f>
        <v>0</v>
      </c>
      <c r="I573" s="31">
        <f>VLOOKUP(D573,A!B$1:L$1126,3,FALSE)</f>
        <v>0</v>
      </c>
      <c r="J573" s="92"/>
      <c r="K573" s="91" t="str">
        <f>VLOOKUP(D573,A!B$1:L$1126,6,FALSE)</f>
        <v/>
      </c>
      <c r="L573" s="162"/>
      <c r="M573" s="41" t="s">
        <v>628</v>
      </c>
      <c r="N573" s="94">
        <f>VLOOKUP(D573,A!B$1:L$1125,2,FALSE)</f>
        <v>0</v>
      </c>
      <c r="O573" s="94">
        <f>VLOOKUP(D573,A!B$1:L$1126,4,FALSE)</f>
        <v>0</v>
      </c>
      <c r="P573" s="10">
        <v>10</v>
      </c>
      <c r="Q573" s="10">
        <v>2.69</v>
      </c>
      <c r="R573" s="10">
        <f t="shared" si="84"/>
        <v>0</v>
      </c>
      <c r="S573" s="10">
        <f t="shared" si="85"/>
        <v>0</v>
      </c>
      <c r="T573" s="10" t="s">
        <v>322</v>
      </c>
      <c r="U573" s="145">
        <v>0.33</v>
      </c>
      <c r="V573" s="10" t="str">
        <f>VLOOKUP(D573,A!B$1:T$1125,16,FALSE)</f>
        <v/>
      </c>
      <c r="W573" s="10">
        <f t="shared" si="86"/>
        <v>0</v>
      </c>
      <c r="X573" s="29"/>
      <c r="Y573" s="29"/>
      <c r="Z573" s="29"/>
      <c r="AA573" s="29"/>
    </row>
    <row r="574" spans="1:27" s="3" customFormat="1" ht="13.5" hidden="1" customHeight="1" x14ac:dyDescent="0.25">
      <c r="A574" t="str">
        <f>IF(R574=0,"",COUNTIF(A$13:A573,"&gt;0")+1)</f>
        <v/>
      </c>
      <c r="B574" s="4"/>
      <c r="C574" s="5" t="s">
        <v>22</v>
      </c>
      <c r="D574" s="7" t="s">
        <v>629</v>
      </c>
      <c r="E574" s="31"/>
      <c r="F574" s="31"/>
      <c r="G574" s="6" t="s">
        <v>630</v>
      </c>
      <c r="H574" s="7">
        <f>VLOOKUP(D574,A!B$1:L$1126,3,FALSE)</f>
        <v>0</v>
      </c>
      <c r="I574" s="31">
        <f>VLOOKUP(D574,A!B$1:L$1126,3,FALSE)</f>
        <v>0</v>
      </c>
      <c r="J574" s="92"/>
      <c r="K574" s="91" t="str">
        <f>VLOOKUP(D574,A!B$1:L$1126,6,FALSE)</f>
        <v/>
      </c>
      <c r="L574" s="162"/>
      <c r="M574" s="41" t="s">
        <v>631</v>
      </c>
      <c r="N574" s="94">
        <f>VLOOKUP(D574,A!B$1:L$1125,2,FALSE)</f>
        <v>0</v>
      </c>
      <c r="O574" s="94">
        <f>VLOOKUP(D574,A!B$1:L$1126,4,FALSE)</f>
        <v>0</v>
      </c>
      <c r="P574" s="10">
        <v>10</v>
      </c>
      <c r="Q574" s="10">
        <v>2.69</v>
      </c>
      <c r="R574" s="10">
        <f t="shared" si="84"/>
        <v>0</v>
      </c>
      <c r="S574" s="10">
        <f t="shared" si="85"/>
        <v>0</v>
      </c>
      <c r="T574" s="10" t="s">
        <v>322</v>
      </c>
      <c r="U574" s="145">
        <v>0.33</v>
      </c>
      <c r="V574" s="10" t="str">
        <f>VLOOKUP(D574,A!B$1:T$1125,16,FALSE)</f>
        <v/>
      </c>
      <c r="W574" s="10">
        <f t="shared" si="86"/>
        <v>0</v>
      </c>
      <c r="X574" s="29"/>
      <c r="Y574" s="29"/>
      <c r="Z574" s="29"/>
      <c r="AA574" s="29"/>
    </row>
    <row r="575" spans="1:27" s="3" customFormat="1" ht="13.5" hidden="1" customHeight="1" x14ac:dyDescent="0.25">
      <c r="A575" t="str">
        <f>IF(R575=0,"",COUNTIF(A$13:A574,"&gt;0")+1)</f>
        <v/>
      </c>
      <c r="B575" s="4"/>
      <c r="C575" s="5" t="s">
        <v>22</v>
      </c>
      <c r="D575" s="7" t="s">
        <v>632</v>
      </c>
      <c r="E575" s="31"/>
      <c r="F575" s="31"/>
      <c r="G575" s="6" t="s">
        <v>82</v>
      </c>
      <c r="H575" s="7">
        <f>VLOOKUP(D575,A!B$1:L$1126,3,FALSE)</f>
        <v>0</v>
      </c>
      <c r="I575" s="31">
        <f>VLOOKUP(D575,A!B$1:L$1126,3,FALSE)</f>
        <v>0</v>
      </c>
      <c r="J575" s="92"/>
      <c r="K575" s="91" t="str">
        <f>VLOOKUP(D575,A!B$1:L$1126,6,FALSE)</f>
        <v/>
      </c>
      <c r="L575" s="162"/>
      <c r="M575" s="40" t="s">
        <v>633</v>
      </c>
      <c r="N575" s="94">
        <f>VLOOKUP(D575,A!B$1:L$1125,2,FALSE)</f>
        <v>0</v>
      </c>
      <c r="O575" s="94">
        <f>VLOOKUP(D575,A!B$1:L$1126,4,FALSE)</f>
        <v>0</v>
      </c>
      <c r="P575" s="10">
        <v>10</v>
      </c>
      <c r="Q575" s="10">
        <v>2.69</v>
      </c>
      <c r="R575" s="10">
        <f t="shared" si="84"/>
        <v>0</v>
      </c>
      <c r="S575" s="10">
        <f t="shared" si="85"/>
        <v>0</v>
      </c>
      <c r="T575" s="10" t="s">
        <v>322</v>
      </c>
      <c r="U575" s="145">
        <v>0.33</v>
      </c>
      <c r="V575" s="10" t="str">
        <f>VLOOKUP(D575,A!B$1:T$1125,16,FALSE)</f>
        <v/>
      </c>
      <c r="W575" s="10">
        <f t="shared" si="86"/>
        <v>0</v>
      </c>
      <c r="X575" s="29"/>
      <c r="Y575" s="29"/>
      <c r="Z575" s="29"/>
      <c r="AA575" s="29"/>
    </row>
    <row r="576" spans="1:27" s="3" customFormat="1" ht="13.5" hidden="1" customHeight="1" x14ac:dyDescent="0.25">
      <c r="A576" t="str">
        <f>IF(R576=0,"",COUNTIF(A$13:A575,"&gt;0")+1)</f>
        <v/>
      </c>
      <c r="B576" s="4"/>
      <c r="C576" s="5" t="s">
        <v>22</v>
      </c>
      <c r="D576" s="7" t="s">
        <v>634</v>
      </c>
      <c r="E576" s="31"/>
      <c r="F576" s="31"/>
      <c r="G576" s="6" t="s">
        <v>82</v>
      </c>
      <c r="H576" s="7">
        <f>VLOOKUP(D576,A!B$1:L$1126,3,FALSE)</f>
        <v>0</v>
      </c>
      <c r="I576" s="31">
        <f>VLOOKUP(D576,A!B$1:L$1126,3,FALSE)</f>
        <v>0</v>
      </c>
      <c r="J576" s="92"/>
      <c r="K576" s="91" t="str">
        <f>VLOOKUP(D576,A!B$1:L$1126,6,FALSE)</f>
        <v/>
      </c>
      <c r="L576" s="162"/>
      <c r="M576" s="40" t="s">
        <v>635</v>
      </c>
      <c r="N576" s="94">
        <f>VLOOKUP(D576,A!B$1:L$1125,2,FALSE)</f>
        <v>0</v>
      </c>
      <c r="O576" s="94">
        <f>VLOOKUP(D576,A!B$1:L$1126,4,FALSE)</f>
        <v>0</v>
      </c>
      <c r="P576" s="10">
        <v>10</v>
      </c>
      <c r="Q576" s="10">
        <v>2.69</v>
      </c>
      <c r="R576" s="10">
        <f t="shared" si="84"/>
        <v>0</v>
      </c>
      <c r="S576" s="10">
        <f t="shared" si="85"/>
        <v>0</v>
      </c>
      <c r="T576" s="10" t="s">
        <v>322</v>
      </c>
      <c r="U576" s="145">
        <v>0.33</v>
      </c>
      <c r="V576" s="10" t="str">
        <f>VLOOKUP(D576,A!B$1:T$1125,16,FALSE)</f>
        <v/>
      </c>
      <c r="W576" s="10">
        <f t="shared" si="86"/>
        <v>0</v>
      </c>
      <c r="X576" s="29"/>
      <c r="Y576" s="29"/>
      <c r="Z576" s="29"/>
      <c r="AA576" s="29"/>
    </row>
    <row r="577" spans="1:67" s="3" customFormat="1" ht="13.5" hidden="1" customHeight="1" x14ac:dyDescent="0.25">
      <c r="A577" t="str">
        <f>IF(R577=0,"",COUNTIF(A$13:A576,"&gt;0")+1)</f>
        <v/>
      </c>
      <c r="B577" s="4"/>
      <c r="C577" s="5" t="s">
        <v>22</v>
      </c>
      <c r="D577" s="7" t="s">
        <v>636</v>
      </c>
      <c r="E577" s="31"/>
      <c r="F577" s="31"/>
      <c r="G577" s="6" t="s">
        <v>82</v>
      </c>
      <c r="H577" s="7">
        <f>VLOOKUP(D577,A!B$1:L$1126,3,FALSE)</f>
        <v>0</v>
      </c>
      <c r="I577" s="31">
        <f>VLOOKUP(D577,A!B$1:L$1126,3,FALSE)</f>
        <v>0</v>
      </c>
      <c r="J577" s="92"/>
      <c r="K577" s="91" t="str">
        <f>VLOOKUP(D577,A!B$1:L$1126,6,FALSE)</f>
        <v/>
      </c>
      <c r="L577" s="162"/>
      <c r="M577" s="40" t="s">
        <v>637</v>
      </c>
      <c r="N577" s="94">
        <f>VLOOKUP(D577,A!B$1:L$1125,2,FALSE)</f>
        <v>0</v>
      </c>
      <c r="O577" s="94">
        <f>VLOOKUP(D577,A!B$1:L$1126,4,FALSE)</f>
        <v>0</v>
      </c>
      <c r="P577" s="10">
        <v>10</v>
      </c>
      <c r="Q577" s="10">
        <v>2.69</v>
      </c>
      <c r="R577" s="10">
        <f t="shared" si="84"/>
        <v>0</v>
      </c>
      <c r="S577" s="10">
        <f t="shared" si="85"/>
        <v>0</v>
      </c>
      <c r="T577" s="10" t="s">
        <v>322</v>
      </c>
      <c r="U577" s="145">
        <v>0.33</v>
      </c>
      <c r="V577" s="10" t="str">
        <f>VLOOKUP(D577,A!B$1:T$1125,16,FALSE)</f>
        <v/>
      </c>
      <c r="W577" s="10">
        <f t="shared" si="86"/>
        <v>0</v>
      </c>
      <c r="X577" s="29"/>
      <c r="Y577" s="29"/>
      <c r="Z577" s="29"/>
      <c r="AA577" s="29"/>
    </row>
    <row r="578" spans="1:67" s="3" customFormat="1" ht="13.5" hidden="1" customHeight="1" x14ac:dyDescent="0.25">
      <c r="A578" t="str">
        <f>IF(R578=0,"",COUNTIF(A$13:A577,"&gt;0")+1)</f>
        <v/>
      </c>
      <c r="B578" s="4"/>
      <c r="C578" s="5" t="s">
        <v>22</v>
      </c>
      <c r="D578" s="7" t="s">
        <v>638</v>
      </c>
      <c r="E578" s="31"/>
      <c r="F578" s="31"/>
      <c r="G578" s="6" t="s">
        <v>82</v>
      </c>
      <c r="H578" s="7">
        <f>VLOOKUP(D578,A!B$1:L$1126,3,FALSE)</f>
        <v>0</v>
      </c>
      <c r="I578" s="31">
        <f>VLOOKUP(D578,A!B$1:L$1126,3,FALSE)</f>
        <v>0</v>
      </c>
      <c r="J578" s="92"/>
      <c r="K578" s="91" t="str">
        <f>VLOOKUP(D578,A!B$1:L$1126,6,FALSE)</f>
        <v/>
      </c>
      <c r="L578" s="162"/>
      <c r="M578" s="40" t="s">
        <v>639</v>
      </c>
      <c r="N578" s="94">
        <f>VLOOKUP(D578,A!B$1:L$1125,2,FALSE)</f>
        <v>0</v>
      </c>
      <c r="O578" s="94">
        <f>VLOOKUP(D578,A!B$1:L$1126,4,FALSE)</f>
        <v>0</v>
      </c>
      <c r="P578" s="10">
        <v>10</v>
      </c>
      <c r="Q578" s="10">
        <v>2.69</v>
      </c>
      <c r="R578" s="10">
        <f t="shared" si="84"/>
        <v>0</v>
      </c>
      <c r="S578" s="10">
        <f t="shared" si="85"/>
        <v>0</v>
      </c>
      <c r="T578" s="10" t="s">
        <v>322</v>
      </c>
      <c r="U578" s="145">
        <v>0.33</v>
      </c>
      <c r="V578" s="10" t="str">
        <f>VLOOKUP(D578,A!B$1:T$1125,16,FALSE)</f>
        <v/>
      </c>
      <c r="W578" s="10">
        <f t="shared" si="86"/>
        <v>0</v>
      </c>
      <c r="X578" s="29"/>
      <c r="Y578" s="29"/>
      <c r="Z578" s="29"/>
      <c r="AA578" s="29"/>
    </row>
    <row r="579" spans="1:67" s="3" customFormat="1" ht="13.5" hidden="1" customHeight="1" x14ac:dyDescent="0.25">
      <c r="A579" t="str">
        <f>IF(R579=0,"",COUNTIF(A$13:A578,"&gt;0")+1)</f>
        <v/>
      </c>
      <c r="B579" s="4"/>
      <c r="C579" s="5" t="s">
        <v>22</v>
      </c>
      <c r="D579" s="7" t="s">
        <v>81</v>
      </c>
      <c r="E579" s="31"/>
      <c r="F579" s="31"/>
      <c r="G579" s="6" t="s">
        <v>82</v>
      </c>
      <c r="H579" s="7">
        <f>VLOOKUP(D579,A!B$1:L$1126,3,FALSE)</f>
        <v>0</v>
      </c>
      <c r="I579" s="31">
        <f>VLOOKUP(D579,A!B$1:L$1126,3,FALSE)</f>
        <v>0</v>
      </c>
      <c r="J579" s="92"/>
      <c r="K579" s="91" t="str">
        <f>VLOOKUP(D579,A!B$1:L$1126,6,FALSE)</f>
        <v/>
      </c>
      <c r="L579" s="162"/>
      <c r="M579" s="40" t="s">
        <v>640</v>
      </c>
      <c r="N579" s="94">
        <f>VLOOKUP(D579,A!B$1:L$1125,2,FALSE)</f>
        <v>0</v>
      </c>
      <c r="O579" s="94">
        <f>VLOOKUP(D579,A!B$1:L$1126,4,FALSE)</f>
        <v>0</v>
      </c>
      <c r="P579" s="10">
        <v>10</v>
      </c>
      <c r="Q579" s="10">
        <v>2.69</v>
      </c>
      <c r="R579" s="10">
        <f t="shared" si="84"/>
        <v>0</v>
      </c>
      <c r="S579" s="10">
        <f t="shared" si="85"/>
        <v>0</v>
      </c>
      <c r="T579" s="10" t="s">
        <v>322</v>
      </c>
      <c r="U579" s="145">
        <v>0.33</v>
      </c>
      <c r="V579" s="10" t="str">
        <f>VLOOKUP(D579,A!B$1:T$1125,16,FALSE)</f>
        <v/>
      </c>
      <c r="W579" s="10">
        <f t="shared" si="86"/>
        <v>0</v>
      </c>
      <c r="X579" s="29"/>
      <c r="Y579" s="29"/>
      <c r="Z579" s="29"/>
      <c r="AA579" s="29"/>
    </row>
    <row r="580" spans="1:67" s="3" customFormat="1" ht="13.5" customHeight="1" x14ac:dyDescent="0.25">
      <c r="A580" t="str">
        <f>IF(R580=0,"",COUNTIF(A$13:A579,"&gt;0")+1)</f>
        <v/>
      </c>
      <c r="B580" s="4"/>
      <c r="C580" s="5" t="s">
        <v>22</v>
      </c>
      <c r="D580" s="7" t="s">
        <v>1815</v>
      </c>
      <c r="E580" s="31"/>
      <c r="F580" s="31"/>
      <c r="G580" s="6" t="s">
        <v>82</v>
      </c>
      <c r="H580" s="7">
        <f>VLOOKUP(D580,A!B$1:L$1126,3,FALSE)</f>
        <v>1</v>
      </c>
      <c r="I580" s="31">
        <f>VLOOKUP(D580,A!B$1:L$1126,3,FALSE)</f>
        <v>1</v>
      </c>
      <c r="J580" s="92"/>
      <c r="K580" s="91" t="str">
        <f>VLOOKUP(D580,A!B$1:L$1126,6,FALSE)</f>
        <v/>
      </c>
      <c r="L580" s="162"/>
      <c r="M580" s="39" t="s">
        <v>1816</v>
      </c>
      <c r="N580" s="94" t="str">
        <f>VLOOKUP(D580,A!B$1:L$1125,2,FALSE)</f>
        <v>y</v>
      </c>
      <c r="O580" s="94">
        <f>VLOOKUP(D580,A!B$1:L$1126,4,FALSE)</f>
        <v>1</v>
      </c>
      <c r="P580" s="10">
        <v>10</v>
      </c>
      <c r="Q580" s="10">
        <v>2.69</v>
      </c>
      <c r="R580" s="10">
        <f t="shared" si="84"/>
        <v>0</v>
      </c>
      <c r="S580" s="10">
        <f t="shared" si="85"/>
        <v>0</v>
      </c>
      <c r="T580" s="10" t="s">
        <v>322</v>
      </c>
      <c r="U580" s="145">
        <v>0.33</v>
      </c>
      <c r="V580" s="10" t="str">
        <f>VLOOKUP(D580,A!B$1:T$1125,16,FALSE)</f>
        <v/>
      </c>
      <c r="W580" s="10">
        <f t="shared" si="86"/>
        <v>0</v>
      </c>
      <c r="X580" s="29"/>
      <c r="Y580" s="29"/>
      <c r="Z580" s="29"/>
      <c r="AA580" s="29"/>
    </row>
    <row r="581" spans="1:67" s="3" customFormat="1" ht="13.5" customHeight="1" x14ac:dyDescent="0.25">
      <c r="A581" t="str">
        <f>IF(R581=0,"",COUNTIF(A$13:A580,"&gt;0")+1)</f>
        <v/>
      </c>
      <c r="B581" s="4"/>
      <c r="C581" s="5" t="s">
        <v>22</v>
      </c>
      <c r="D581" s="7" t="s">
        <v>69</v>
      </c>
      <c r="E581" s="31"/>
      <c r="F581" s="31"/>
      <c r="G581" s="6" t="s">
        <v>70</v>
      </c>
      <c r="H581" s="7">
        <f>VLOOKUP(D581,A!B$1:L$1126,3,FALSE)</f>
        <v>1</v>
      </c>
      <c r="I581" s="31">
        <f>VLOOKUP(D581,A!B$1:L$1126,3,FALSE)</f>
        <v>1</v>
      </c>
      <c r="J581" s="92"/>
      <c r="K581" s="91" t="str">
        <f>VLOOKUP(D581,A!B$1:L$1126,6,FALSE)</f>
        <v/>
      </c>
      <c r="L581" s="2"/>
      <c r="M581" s="39" t="s">
        <v>71</v>
      </c>
      <c r="N581" s="94" t="str">
        <f>VLOOKUP(D581,A!B$1:L$1125,2,FALSE)</f>
        <v>y</v>
      </c>
      <c r="O581" s="94">
        <f>VLOOKUP(D581,A!B$1:L$1126,4,FALSE)</f>
        <v>1</v>
      </c>
      <c r="P581" s="10">
        <v>10</v>
      </c>
      <c r="Q581" s="10">
        <v>2.69</v>
      </c>
      <c r="R581" s="10">
        <f>B581*P581</f>
        <v>0</v>
      </c>
      <c r="S581" s="10">
        <f>R581*Q581</f>
        <v>0</v>
      </c>
      <c r="T581" s="10" t="s">
        <v>322</v>
      </c>
      <c r="U581" s="145">
        <v>0.33</v>
      </c>
      <c r="V581" s="10" t="str">
        <f>VLOOKUP(D581,A!B$1:T$1125,16,FALSE)</f>
        <v/>
      </c>
      <c r="W581" s="10">
        <f>U581*B581</f>
        <v>0</v>
      </c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</row>
    <row r="582" spans="1:67" s="3" customFormat="1" ht="13.5" customHeight="1" x14ac:dyDescent="0.25">
      <c r="A582" t="str">
        <f>IF(R582=0,"",COUNTIF(A$13:A581,"&gt;0")+1)</f>
        <v/>
      </c>
      <c r="B582" s="4"/>
      <c r="C582" s="5" t="s">
        <v>22</v>
      </c>
      <c r="D582" s="7" t="s">
        <v>1783</v>
      </c>
      <c r="E582" s="31"/>
      <c r="F582" s="31"/>
      <c r="G582" s="6" t="s">
        <v>70</v>
      </c>
      <c r="H582" s="7">
        <f>VLOOKUP(D582,A!B$1:L$1126,3,FALSE)</f>
        <v>1</v>
      </c>
      <c r="I582" s="31">
        <f>VLOOKUP(D582,A!B$1:L$1126,3,FALSE)</f>
        <v>1</v>
      </c>
      <c r="J582" s="92"/>
      <c r="K582" s="91" t="str">
        <f>VLOOKUP(D582,A!B$1:L$1126,6,FALSE)</f>
        <v/>
      </c>
      <c r="L582" s="2"/>
      <c r="M582" s="39" t="s">
        <v>1792</v>
      </c>
      <c r="N582" s="94" t="str">
        <f>VLOOKUP(D582,A!B$1:L$1125,2,FALSE)</f>
        <v>y</v>
      </c>
      <c r="O582" s="94">
        <f>VLOOKUP(D582,A!B$1:L$1126,4,FALSE)</f>
        <v>1</v>
      </c>
      <c r="P582" s="10">
        <v>10</v>
      </c>
      <c r="Q582" s="10">
        <v>2.69</v>
      </c>
      <c r="R582" s="10">
        <f>B582*P582</f>
        <v>0</v>
      </c>
      <c r="S582" s="10">
        <f>R582*Q582</f>
        <v>0</v>
      </c>
      <c r="T582" s="10" t="s">
        <v>322</v>
      </c>
      <c r="U582" s="145">
        <v>0.33</v>
      </c>
      <c r="V582" s="10">
        <f>VLOOKUP(D582,A!B$1:T$1125,16,FALSE)</f>
        <v>0</v>
      </c>
      <c r="W582" s="10">
        <f>U582*B582</f>
        <v>0</v>
      </c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</row>
    <row r="583" spans="1:67" s="3" customFormat="1" ht="13.5" hidden="1" customHeight="1" x14ac:dyDescent="0.25">
      <c r="A583" t="str">
        <f>IF(R583=0,"",COUNTIF(A$13:A582,"&gt;0")+1)</f>
        <v/>
      </c>
      <c r="B583" s="4"/>
      <c r="C583" s="5" t="s">
        <v>22</v>
      </c>
      <c r="D583" s="7" t="s">
        <v>642</v>
      </c>
      <c r="E583" s="31"/>
      <c r="F583" s="31"/>
      <c r="G583" s="6" t="s">
        <v>70</v>
      </c>
      <c r="H583" s="7">
        <f>VLOOKUP(D583,A!B$1:L$1126,3,FALSE)</f>
        <v>0</v>
      </c>
      <c r="I583" s="31">
        <f>VLOOKUP(D583,A!B$1:L$1126,3,FALSE)</f>
        <v>0</v>
      </c>
      <c r="J583" s="92"/>
      <c r="K583" s="91" t="str">
        <f>VLOOKUP(D583,A!B$1:L$1126,6,FALSE)</f>
        <v/>
      </c>
      <c r="L583" s="162"/>
      <c r="M583" s="40" t="s">
        <v>643</v>
      </c>
      <c r="N583" s="94">
        <f>VLOOKUP(D583,A!B$1:L$1125,2,FALSE)</f>
        <v>0</v>
      </c>
      <c r="O583" s="94">
        <f>VLOOKUP(D583,A!B$1:L$1126,4,FALSE)</f>
        <v>0</v>
      </c>
      <c r="P583" s="10">
        <v>10</v>
      </c>
      <c r="Q583" s="10">
        <v>2.69</v>
      </c>
      <c r="R583" s="10">
        <f t="shared" ref="R583:R604" si="87">B583*P583</f>
        <v>0</v>
      </c>
      <c r="S583" s="10">
        <f t="shared" ref="S583:S604" si="88">R583*Q583</f>
        <v>0</v>
      </c>
      <c r="T583" s="10" t="s">
        <v>322</v>
      </c>
      <c r="U583" s="145">
        <v>0.33</v>
      </c>
      <c r="V583" s="10" t="str">
        <f>VLOOKUP(D583,A!B$1:T$1125,16,FALSE)</f>
        <v/>
      </c>
      <c r="W583" s="10">
        <f t="shared" ref="W583:W604" si="89">U583*B583</f>
        <v>0</v>
      </c>
      <c r="X583" s="29"/>
      <c r="Y583" s="29"/>
      <c r="Z583" s="29"/>
      <c r="AA583" s="29"/>
    </row>
    <row r="584" spans="1:67" s="3" customFormat="1" ht="13.5" hidden="1" customHeight="1" x14ac:dyDescent="0.25">
      <c r="A584" t="str">
        <f>IF(R584=0,"",COUNTIF(A$13:A583,"&gt;0")+1)</f>
        <v/>
      </c>
      <c r="B584" s="4"/>
      <c r="C584" s="5" t="s">
        <v>22</v>
      </c>
      <c r="D584" s="7" t="s">
        <v>644</v>
      </c>
      <c r="E584" s="31"/>
      <c r="F584" s="31"/>
      <c r="G584" s="6" t="s">
        <v>70</v>
      </c>
      <c r="H584" s="7">
        <f>VLOOKUP(D584,A!B$1:L$1126,3,FALSE)</f>
        <v>0</v>
      </c>
      <c r="I584" s="31">
        <f>VLOOKUP(D584,A!B$1:L$1126,3,FALSE)</f>
        <v>0</v>
      </c>
      <c r="J584" s="92"/>
      <c r="K584" s="91" t="str">
        <f>VLOOKUP(D584,A!B$1:L$1126,6,FALSE)</f>
        <v/>
      </c>
      <c r="L584" s="162"/>
      <c r="M584" s="40" t="s">
        <v>645</v>
      </c>
      <c r="N584" s="94">
        <f>VLOOKUP(D584,A!B$1:L$1125,2,FALSE)</f>
        <v>0</v>
      </c>
      <c r="O584" s="94">
        <f>VLOOKUP(D584,A!B$1:L$1126,4,FALSE)</f>
        <v>0</v>
      </c>
      <c r="P584" s="10">
        <v>10</v>
      </c>
      <c r="Q584" s="10">
        <v>2.69</v>
      </c>
      <c r="R584" s="10">
        <f t="shared" si="87"/>
        <v>0</v>
      </c>
      <c r="S584" s="10">
        <f t="shared" si="88"/>
        <v>0</v>
      </c>
      <c r="T584" s="10" t="s">
        <v>322</v>
      </c>
      <c r="U584" s="145">
        <v>0.33</v>
      </c>
      <c r="V584" s="10" t="str">
        <f>VLOOKUP(D584,A!B$1:T$1125,16,FALSE)</f>
        <v/>
      </c>
      <c r="W584" s="10">
        <f t="shared" si="89"/>
        <v>0</v>
      </c>
      <c r="X584" s="29"/>
      <c r="Y584" s="29"/>
      <c r="Z584" s="29"/>
      <c r="AA584" s="29"/>
    </row>
    <row r="585" spans="1:67" s="3" customFormat="1" ht="13.5" hidden="1" customHeight="1" x14ac:dyDescent="0.25">
      <c r="A585" t="str">
        <f>IF(R585=0,"",COUNTIF(A$13:A584,"&gt;0")+1)</f>
        <v/>
      </c>
      <c r="B585" s="4"/>
      <c r="C585" s="5" t="s">
        <v>22</v>
      </c>
      <c r="D585" s="7" t="s">
        <v>646</v>
      </c>
      <c r="E585" s="31"/>
      <c r="F585" s="31"/>
      <c r="G585" s="6" t="s">
        <v>70</v>
      </c>
      <c r="H585" s="7">
        <f>VLOOKUP(D585,A!B$1:L$1126,3,FALSE)</f>
        <v>0</v>
      </c>
      <c r="I585" s="31">
        <f>VLOOKUP(D585,A!B$1:L$1126,3,FALSE)</f>
        <v>0</v>
      </c>
      <c r="J585" s="92"/>
      <c r="K585" s="91" t="str">
        <f>VLOOKUP(D585,A!B$1:L$1126,6,FALSE)</f>
        <v/>
      </c>
      <c r="L585" s="162"/>
      <c r="M585" s="40" t="s">
        <v>647</v>
      </c>
      <c r="N585" s="94">
        <f>VLOOKUP(D585,A!B$1:L$1125,2,FALSE)</f>
        <v>0</v>
      </c>
      <c r="O585" s="94">
        <f>VLOOKUP(D585,A!B$1:L$1126,4,FALSE)</f>
        <v>0</v>
      </c>
      <c r="P585" s="10">
        <v>10</v>
      </c>
      <c r="Q585" s="10">
        <v>2.69</v>
      </c>
      <c r="R585" s="10">
        <f t="shared" si="87"/>
        <v>0</v>
      </c>
      <c r="S585" s="10">
        <f t="shared" si="88"/>
        <v>0</v>
      </c>
      <c r="T585" s="10" t="s">
        <v>322</v>
      </c>
      <c r="U585" s="145">
        <v>0.33</v>
      </c>
      <c r="V585" s="10" t="str">
        <f>VLOOKUP(D585,A!B$1:T$1125,16,FALSE)</f>
        <v/>
      </c>
      <c r="W585" s="10">
        <f t="shared" si="89"/>
        <v>0</v>
      </c>
      <c r="X585" s="29"/>
      <c r="Y585" s="29"/>
      <c r="Z585" s="29"/>
      <c r="AA585" s="29"/>
    </row>
    <row r="586" spans="1:67" s="3" customFormat="1" ht="13.5" hidden="1" customHeight="1" x14ac:dyDescent="0.25">
      <c r="A586" t="str">
        <f>IF(R586=0,"",COUNTIF(A$13:A585,"&gt;0")+1)</f>
        <v/>
      </c>
      <c r="B586" s="4"/>
      <c r="C586" s="5" t="s">
        <v>22</v>
      </c>
      <c r="D586" s="7" t="s">
        <v>648</v>
      </c>
      <c r="E586" s="31"/>
      <c r="F586" s="31"/>
      <c r="G586" s="6" t="s">
        <v>70</v>
      </c>
      <c r="H586" s="7">
        <f>VLOOKUP(D586,A!B$1:L$1126,3,FALSE)</f>
        <v>0</v>
      </c>
      <c r="I586" s="31">
        <f>VLOOKUP(D586,A!B$1:L$1126,3,FALSE)</f>
        <v>0</v>
      </c>
      <c r="J586" s="92"/>
      <c r="K586" s="91" t="str">
        <f>VLOOKUP(D586,A!B$1:L$1126,6,FALSE)</f>
        <v/>
      </c>
      <c r="L586" s="162"/>
      <c r="M586" s="40" t="s">
        <v>649</v>
      </c>
      <c r="N586" s="94">
        <f>VLOOKUP(D586,A!B$1:L$1125,2,FALSE)</f>
        <v>0</v>
      </c>
      <c r="O586" s="94">
        <f>VLOOKUP(D586,A!B$1:L$1126,4,FALSE)</f>
        <v>0</v>
      </c>
      <c r="P586" s="10">
        <v>10</v>
      </c>
      <c r="Q586" s="10">
        <v>2.69</v>
      </c>
      <c r="R586" s="10">
        <f t="shared" si="87"/>
        <v>0</v>
      </c>
      <c r="S586" s="10">
        <f t="shared" si="88"/>
        <v>0</v>
      </c>
      <c r="T586" s="10" t="s">
        <v>322</v>
      </c>
      <c r="U586" s="145">
        <v>0.33</v>
      </c>
      <c r="V586" s="10" t="str">
        <f>VLOOKUP(D586,A!B$1:T$1125,16,FALSE)</f>
        <v/>
      </c>
      <c r="W586" s="10">
        <f t="shared" si="89"/>
        <v>0</v>
      </c>
      <c r="X586" s="29"/>
      <c r="Y586" s="29"/>
      <c r="Z586" s="29"/>
      <c r="AA586" s="29"/>
    </row>
    <row r="587" spans="1:67" s="3" customFormat="1" ht="13.5" hidden="1" customHeight="1" x14ac:dyDescent="0.25">
      <c r="A587" t="str">
        <f>IF(R587=0,"",COUNTIF(A$13:A586,"&gt;0")+1)</f>
        <v/>
      </c>
      <c r="B587" s="4"/>
      <c r="C587" s="5" t="s">
        <v>22</v>
      </c>
      <c r="D587" s="7" t="s">
        <v>650</v>
      </c>
      <c r="E587" s="31"/>
      <c r="F587" s="31"/>
      <c r="G587" s="6" t="s">
        <v>651</v>
      </c>
      <c r="H587" s="7">
        <f>VLOOKUP(D587,A!B$1:L$1126,3,FALSE)</f>
        <v>0</v>
      </c>
      <c r="I587" s="31">
        <f>VLOOKUP(D587,A!B$1:L$1126,3,FALSE)</f>
        <v>0</v>
      </c>
      <c r="J587" s="92"/>
      <c r="K587" s="91" t="str">
        <f>VLOOKUP(D587,A!B$1:L$1126,6,FALSE)</f>
        <v/>
      </c>
      <c r="L587" s="162"/>
      <c r="M587" s="40" t="s">
        <v>652</v>
      </c>
      <c r="N587" s="94">
        <f>VLOOKUP(D587,A!B$1:L$1125,2,FALSE)</f>
        <v>0</v>
      </c>
      <c r="O587" s="94">
        <f>VLOOKUP(D587,A!B$1:L$1126,4,FALSE)</f>
        <v>0</v>
      </c>
      <c r="P587" s="10">
        <v>10</v>
      </c>
      <c r="Q587" s="10">
        <v>2.69</v>
      </c>
      <c r="R587" s="10">
        <f t="shared" si="87"/>
        <v>0</v>
      </c>
      <c r="S587" s="10">
        <f t="shared" si="88"/>
        <v>0</v>
      </c>
      <c r="T587" s="10" t="s">
        <v>322</v>
      </c>
      <c r="U587" s="145">
        <v>0.33</v>
      </c>
      <c r="V587" s="10" t="str">
        <f>VLOOKUP(D587,A!B$1:T$1125,16,FALSE)</f>
        <v/>
      </c>
      <c r="W587" s="10">
        <f t="shared" si="89"/>
        <v>0</v>
      </c>
      <c r="X587" s="29"/>
      <c r="Y587" s="29"/>
      <c r="Z587" s="29"/>
      <c r="AA587" s="29"/>
    </row>
    <row r="588" spans="1:67" s="3" customFormat="1" ht="13.5" hidden="1" customHeight="1" x14ac:dyDescent="0.25">
      <c r="A588" t="str">
        <f>IF(R588=0,"",COUNTIF(A$13:A587,"&gt;0")+1)</f>
        <v/>
      </c>
      <c r="B588" s="4"/>
      <c r="C588" s="5" t="s">
        <v>22</v>
      </c>
      <c r="D588" s="7" t="s">
        <v>653</v>
      </c>
      <c r="E588" s="31"/>
      <c r="F588" s="31"/>
      <c r="G588" s="6" t="s">
        <v>654</v>
      </c>
      <c r="H588" s="7">
        <f>VLOOKUP(D588,A!B$1:L$1126,3,FALSE)</f>
        <v>0</v>
      </c>
      <c r="I588" s="31">
        <f>VLOOKUP(D588,A!B$1:L$1126,3,FALSE)</f>
        <v>0</v>
      </c>
      <c r="J588" s="92"/>
      <c r="K588" s="91" t="str">
        <f>VLOOKUP(D588,A!B$1:L$1126,6,FALSE)</f>
        <v/>
      </c>
      <c r="L588" s="162"/>
      <c r="M588" s="40" t="s">
        <v>655</v>
      </c>
      <c r="N588" s="94">
        <f>VLOOKUP(D588,A!B$1:L$1125,2,FALSE)</f>
        <v>0</v>
      </c>
      <c r="O588" s="94">
        <f>VLOOKUP(D588,A!B$1:L$1126,4,FALSE)</f>
        <v>0</v>
      </c>
      <c r="P588" s="10">
        <v>10</v>
      </c>
      <c r="Q588" s="10">
        <v>2.69</v>
      </c>
      <c r="R588" s="10">
        <f t="shared" si="87"/>
        <v>0</v>
      </c>
      <c r="S588" s="10">
        <f t="shared" si="88"/>
        <v>0</v>
      </c>
      <c r="T588" s="10" t="s">
        <v>322</v>
      </c>
      <c r="U588" s="145">
        <v>0.33</v>
      </c>
      <c r="V588" s="10" t="str">
        <f>VLOOKUP(D588,A!B$1:T$1125,16,FALSE)</f>
        <v/>
      </c>
      <c r="W588" s="10">
        <f t="shared" si="89"/>
        <v>0</v>
      </c>
      <c r="X588" s="29"/>
      <c r="Y588" s="29"/>
      <c r="Z588" s="29"/>
      <c r="AA588" s="29"/>
    </row>
    <row r="589" spans="1:67" s="3" customFormat="1" ht="13.5" hidden="1" customHeight="1" x14ac:dyDescent="0.25">
      <c r="A589" t="str">
        <f>IF(R589=0,"",COUNTIF(A$13:A588,"&gt;0")+1)</f>
        <v/>
      </c>
      <c r="B589" s="4"/>
      <c r="C589" s="5" t="s">
        <v>22</v>
      </c>
      <c r="D589" s="7" t="s">
        <v>166</v>
      </c>
      <c r="E589" s="31"/>
      <c r="F589" s="31"/>
      <c r="G589" s="6" t="s">
        <v>167</v>
      </c>
      <c r="H589" s="7">
        <f>VLOOKUP(D589,A!B$1:L$1126,3,FALSE)</f>
        <v>0</v>
      </c>
      <c r="I589" s="31">
        <f>VLOOKUP(D589,A!B$1:L$1126,3,FALSE)</f>
        <v>0</v>
      </c>
      <c r="J589" s="92"/>
      <c r="K589" s="91" t="str">
        <f>VLOOKUP(D589,A!B$1:L$1126,6,FALSE)</f>
        <v/>
      </c>
      <c r="L589" s="2"/>
      <c r="M589" s="40" t="s">
        <v>168</v>
      </c>
      <c r="N589" s="94">
        <f>VLOOKUP(D589,A!B$1:L$1125,2,FALSE)</f>
        <v>0</v>
      </c>
      <c r="O589" s="94">
        <f>VLOOKUP(D589,A!B$1:L$1126,4,FALSE)</f>
        <v>0</v>
      </c>
      <c r="P589" s="10">
        <v>10</v>
      </c>
      <c r="Q589" s="10">
        <v>2.69</v>
      </c>
      <c r="R589" s="10">
        <f t="shared" si="87"/>
        <v>0</v>
      </c>
      <c r="S589" s="10">
        <f t="shared" si="88"/>
        <v>0</v>
      </c>
      <c r="T589" s="10" t="s">
        <v>322</v>
      </c>
      <c r="U589" s="145">
        <v>0.33</v>
      </c>
      <c r="V589" s="10" t="str">
        <f>VLOOKUP(D589,A!B$1:T$1125,16,FALSE)</f>
        <v/>
      </c>
      <c r="W589" s="10">
        <f t="shared" si="89"/>
        <v>0</v>
      </c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</row>
    <row r="590" spans="1:67" s="3" customFormat="1" ht="13.5" hidden="1" customHeight="1" x14ac:dyDescent="0.25">
      <c r="A590" t="str">
        <f>IF(R590=0,"",COUNTIF(A$13:A589,"&gt;0")+1)</f>
        <v/>
      </c>
      <c r="B590" s="4"/>
      <c r="C590" s="5" t="s">
        <v>22</v>
      </c>
      <c r="D590" s="7" t="s">
        <v>656</v>
      </c>
      <c r="E590" s="31"/>
      <c r="F590" s="31"/>
      <c r="G590" s="6" t="s">
        <v>70</v>
      </c>
      <c r="H590" s="7">
        <f>VLOOKUP(D590,A!B$1:L$1126,3,FALSE)</f>
        <v>0</v>
      </c>
      <c r="I590" s="31">
        <f>VLOOKUP(D590,A!B$1:L$1126,3,FALSE)</f>
        <v>0</v>
      </c>
      <c r="J590" s="92"/>
      <c r="K590" s="91" t="str">
        <f>VLOOKUP(D590,A!B$1:L$1126,6,FALSE)</f>
        <v/>
      </c>
      <c r="L590" s="162"/>
      <c r="M590" s="40" t="s">
        <v>657</v>
      </c>
      <c r="N590" s="94">
        <f>VLOOKUP(D590,A!B$1:L$1125,2,FALSE)</f>
        <v>0</v>
      </c>
      <c r="O590" s="94">
        <f>VLOOKUP(D590,A!B$1:L$1126,4,FALSE)</f>
        <v>0</v>
      </c>
      <c r="P590" s="10">
        <v>10</v>
      </c>
      <c r="Q590" s="10">
        <v>2.69</v>
      </c>
      <c r="R590" s="10">
        <f t="shared" si="87"/>
        <v>0</v>
      </c>
      <c r="S590" s="10">
        <f t="shared" si="88"/>
        <v>0</v>
      </c>
      <c r="T590" s="10" t="s">
        <v>322</v>
      </c>
      <c r="U590" s="145">
        <v>0.33</v>
      </c>
      <c r="V590" s="10" t="str">
        <f>VLOOKUP(D590,A!B$1:T$1125,16,FALSE)</f>
        <v/>
      </c>
      <c r="W590" s="10">
        <f t="shared" si="89"/>
        <v>0</v>
      </c>
      <c r="X590" s="29"/>
      <c r="Y590" s="29"/>
      <c r="Z590" s="29"/>
      <c r="AA590" s="29"/>
    </row>
    <row r="591" spans="1:67" s="3" customFormat="1" ht="13.5" hidden="1" customHeight="1" x14ac:dyDescent="0.25">
      <c r="A591" t="str">
        <f>IF(R591=0,"",COUNTIF(A$13:A590,"&gt;0")+1)</f>
        <v/>
      </c>
      <c r="B591" s="4"/>
      <c r="C591" s="5" t="s">
        <v>22</v>
      </c>
      <c r="D591" s="7" t="s">
        <v>658</v>
      </c>
      <c r="E591" s="31"/>
      <c r="F591" s="31"/>
      <c r="G591" s="6" t="s">
        <v>654</v>
      </c>
      <c r="H591" s="7">
        <f>VLOOKUP(D591,A!B$1:L$1126,3,FALSE)</f>
        <v>0</v>
      </c>
      <c r="I591" s="31">
        <f>VLOOKUP(D591,A!B$1:L$1126,3,FALSE)</f>
        <v>0</v>
      </c>
      <c r="J591" s="92"/>
      <c r="K591" s="91" t="str">
        <f>VLOOKUP(D591,A!B$1:L$1126,6,FALSE)</f>
        <v/>
      </c>
      <c r="L591" s="162"/>
      <c r="M591" s="40" t="s">
        <v>659</v>
      </c>
      <c r="N591" s="94">
        <f>VLOOKUP(D591,A!B$1:L$1125,2,FALSE)</f>
        <v>0</v>
      </c>
      <c r="O591" s="94">
        <f>VLOOKUP(D591,A!B$1:L$1126,4,FALSE)</f>
        <v>0</v>
      </c>
      <c r="P591" s="10">
        <v>10</v>
      </c>
      <c r="Q591" s="10">
        <v>2.69</v>
      </c>
      <c r="R591" s="10">
        <f t="shared" si="87"/>
        <v>0</v>
      </c>
      <c r="S591" s="10">
        <f t="shared" si="88"/>
        <v>0</v>
      </c>
      <c r="T591" s="10" t="s">
        <v>322</v>
      </c>
      <c r="U591" s="145">
        <v>0.33</v>
      </c>
      <c r="V591" s="10" t="str">
        <f>VLOOKUP(D591,A!B$1:T$1125,16,FALSE)</f>
        <v/>
      </c>
      <c r="W591" s="10">
        <f t="shared" si="89"/>
        <v>0</v>
      </c>
      <c r="X591" s="29"/>
      <c r="Y591" s="29"/>
      <c r="Z591" s="29"/>
      <c r="AA591" s="29"/>
    </row>
    <row r="592" spans="1:67" s="3" customFormat="1" ht="13.5" hidden="1" customHeight="1" x14ac:dyDescent="0.25">
      <c r="A592" t="str">
        <f>IF(R592=0,"",COUNTIF(A$13:A591,"&gt;0")+1)</f>
        <v/>
      </c>
      <c r="B592" s="4"/>
      <c r="C592" s="5" t="s">
        <v>22</v>
      </c>
      <c r="D592" s="7" t="s">
        <v>660</v>
      </c>
      <c r="E592" s="31"/>
      <c r="F592" s="31"/>
      <c r="G592" s="6" t="s">
        <v>661</v>
      </c>
      <c r="H592" s="7">
        <f>VLOOKUP(D592,A!B$1:L$1126,3,FALSE)</f>
        <v>0</v>
      </c>
      <c r="I592" s="31">
        <f>VLOOKUP(D592,A!B$1:L$1126,3,FALSE)</f>
        <v>0</v>
      </c>
      <c r="J592" s="92"/>
      <c r="K592" s="91" t="str">
        <f>VLOOKUP(D592,A!B$1:L$1126,6,FALSE)</f>
        <v/>
      </c>
      <c r="L592" s="162"/>
      <c r="M592" s="40" t="s">
        <v>662</v>
      </c>
      <c r="N592" s="94">
        <f>VLOOKUP(D592,A!B$1:L$1125,2,FALSE)</f>
        <v>0</v>
      </c>
      <c r="O592" s="94">
        <f>VLOOKUP(D592,A!B$1:L$1126,4,FALSE)</f>
        <v>0</v>
      </c>
      <c r="P592" s="10">
        <v>10</v>
      </c>
      <c r="Q592" s="10">
        <v>2.69</v>
      </c>
      <c r="R592" s="10">
        <f t="shared" si="87"/>
        <v>0</v>
      </c>
      <c r="S592" s="10">
        <f t="shared" si="88"/>
        <v>0</v>
      </c>
      <c r="T592" s="10" t="s">
        <v>322</v>
      </c>
      <c r="U592" s="145">
        <v>0.33</v>
      </c>
      <c r="V592" s="10" t="str">
        <f>VLOOKUP(D592,A!B$1:T$1125,16,FALSE)</f>
        <v/>
      </c>
      <c r="W592" s="10">
        <f t="shared" si="89"/>
        <v>0</v>
      </c>
      <c r="X592" s="29"/>
      <c r="Y592" s="29"/>
      <c r="Z592" s="29"/>
      <c r="AA592" s="29"/>
    </row>
    <row r="593" spans="1:125" s="3" customFormat="1" ht="13.5" hidden="1" customHeight="1" x14ac:dyDescent="0.25">
      <c r="A593" t="str">
        <f>IF(R593=0,"",COUNTIF(A$13:A592,"&gt;0")+1)</f>
        <v/>
      </c>
      <c r="B593" s="4"/>
      <c r="C593" s="5" t="s">
        <v>22</v>
      </c>
      <c r="D593" s="7" t="s">
        <v>663</v>
      </c>
      <c r="E593" s="31"/>
      <c r="F593" s="31"/>
      <c r="G593" s="6" t="s">
        <v>664</v>
      </c>
      <c r="H593" s="7">
        <f>VLOOKUP(D593,A!B$1:L$1126,3,FALSE)</f>
        <v>0</v>
      </c>
      <c r="I593" s="31">
        <f>VLOOKUP(D593,A!B$1:L$1126,3,FALSE)</f>
        <v>0</v>
      </c>
      <c r="J593" s="92"/>
      <c r="K593" s="91" t="str">
        <f>VLOOKUP(D593,A!B$1:L$1126,6,FALSE)</f>
        <v/>
      </c>
      <c r="L593" s="162"/>
      <c r="M593" s="40" t="s">
        <v>665</v>
      </c>
      <c r="N593" s="94">
        <f>VLOOKUP(D593,A!B$1:L$1125,2,FALSE)</f>
        <v>0</v>
      </c>
      <c r="O593" s="94">
        <f>VLOOKUP(D593,A!B$1:L$1126,4,FALSE)</f>
        <v>0</v>
      </c>
      <c r="P593" s="10">
        <v>10</v>
      </c>
      <c r="Q593" s="10">
        <v>2.69</v>
      </c>
      <c r="R593" s="10">
        <f t="shared" si="87"/>
        <v>0</v>
      </c>
      <c r="S593" s="10">
        <f t="shared" si="88"/>
        <v>0</v>
      </c>
      <c r="T593" s="10" t="s">
        <v>322</v>
      </c>
      <c r="U593" s="145">
        <v>0.33</v>
      </c>
      <c r="V593" s="10" t="str">
        <f>VLOOKUP(D593,A!B$1:T$1125,16,FALSE)</f>
        <v/>
      </c>
      <c r="W593" s="10">
        <f t="shared" si="89"/>
        <v>0</v>
      </c>
      <c r="X593" s="29"/>
      <c r="Y593" s="29"/>
      <c r="Z593" s="29"/>
      <c r="AA593" s="29"/>
    </row>
    <row r="594" spans="1:125" s="3" customFormat="1" ht="13.5" hidden="1" customHeight="1" x14ac:dyDescent="0.25">
      <c r="A594" t="str">
        <f>IF(R594=0,"",COUNTIF(A$13:A593,"&gt;0")+1)</f>
        <v/>
      </c>
      <c r="B594" s="4"/>
      <c r="C594" s="5" t="s">
        <v>22</v>
      </c>
      <c r="D594" s="7" t="s">
        <v>148</v>
      </c>
      <c r="E594" s="31"/>
      <c r="F594" s="31"/>
      <c r="G594" s="6" t="s">
        <v>149</v>
      </c>
      <c r="H594" s="7">
        <f>VLOOKUP(D594,A!B$1:L$1126,3,FALSE)</f>
        <v>0</v>
      </c>
      <c r="I594" s="31">
        <f>VLOOKUP(D594,A!B$1:L$1126,3,FALSE)</f>
        <v>0</v>
      </c>
      <c r="J594" s="92"/>
      <c r="K594" s="91" t="str">
        <f>VLOOKUP(D594,A!B$1:L$1126,6,FALSE)</f>
        <v/>
      </c>
      <c r="L594" s="162"/>
      <c r="M594" s="40" t="s">
        <v>150</v>
      </c>
      <c r="N594" s="94">
        <f>VLOOKUP(D594,A!B$1:L$1125,2,FALSE)</f>
        <v>0</v>
      </c>
      <c r="O594" s="94">
        <f>VLOOKUP(D594,A!B$1:L$1126,4,FALSE)</f>
        <v>0</v>
      </c>
      <c r="P594" s="10">
        <v>10</v>
      </c>
      <c r="Q594" s="10">
        <v>2.69</v>
      </c>
      <c r="R594" s="10">
        <f t="shared" si="87"/>
        <v>0</v>
      </c>
      <c r="S594" s="10">
        <f t="shared" si="88"/>
        <v>0</v>
      </c>
      <c r="T594" s="10" t="s">
        <v>322</v>
      </c>
      <c r="U594" s="145">
        <v>0.33</v>
      </c>
      <c r="V594" s="10" t="str">
        <f>VLOOKUP(D594,A!B$1:T$1125,16,FALSE)</f>
        <v/>
      </c>
      <c r="W594" s="10">
        <f t="shared" si="89"/>
        <v>0</v>
      </c>
      <c r="X594" s="29"/>
      <c r="Y594" s="29"/>
      <c r="Z594" s="29"/>
      <c r="AA594" s="29"/>
    </row>
    <row r="595" spans="1:125" s="48" customFormat="1" ht="13.5" hidden="1" customHeight="1" x14ac:dyDescent="0.25">
      <c r="A595" t="str">
        <f>IF(R595=0,"",COUNTIF(A$13:A594,"&gt;0")+1)</f>
        <v/>
      </c>
      <c r="B595" s="4"/>
      <c r="C595" s="5" t="s">
        <v>22</v>
      </c>
      <c r="D595" s="7" t="s">
        <v>239</v>
      </c>
      <c r="E595" s="31"/>
      <c r="F595" s="31"/>
      <c r="G595" s="6" t="s">
        <v>240</v>
      </c>
      <c r="H595" s="7">
        <f>VLOOKUP(D595,A!B$1:L$1126,3,FALSE)</f>
        <v>0</v>
      </c>
      <c r="I595" s="31">
        <f>VLOOKUP(D595,A!B$1:L$1126,3,FALSE)</f>
        <v>0</v>
      </c>
      <c r="J595" s="92"/>
      <c r="K595" s="91" t="str">
        <f>VLOOKUP(D595,A!B$1:L$1126,6,FALSE)</f>
        <v/>
      </c>
      <c r="L595" s="2"/>
      <c r="M595" s="41" t="s">
        <v>241</v>
      </c>
      <c r="N595" s="94">
        <f>VLOOKUP(D595,A!B$1:L$1125,2,FALSE)</f>
        <v>0</v>
      </c>
      <c r="O595" s="94">
        <f>VLOOKUP(D595,A!B$1:L$1126,4,FALSE)</f>
        <v>0</v>
      </c>
      <c r="P595" s="10">
        <v>10</v>
      </c>
      <c r="Q595" s="10">
        <v>2.69</v>
      </c>
      <c r="R595" s="10">
        <f t="shared" si="87"/>
        <v>0</v>
      </c>
      <c r="S595" s="10">
        <f t="shared" si="88"/>
        <v>0</v>
      </c>
      <c r="T595" s="10" t="s">
        <v>322</v>
      </c>
      <c r="U595" s="145">
        <v>0.33</v>
      </c>
      <c r="V595" s="10" t="str">
        <f>VLOOKUP(D595,A!B$1:T$1125,16,FALSE)</f>
        <v/>
      </c>
      <c r="W595" s="10">
        <f t="shared" si="89"/>
        <v>0</v>
      </c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</row>
    <row r="596" spans="1:125" s="48" customFormat="1" ht="13.5" hidden="1" customHeight="1" x14ac:dyDescent="0.25">
      <c r="A596" t="str">
        <f>IF(R596=0,"",COUNTIF(A$13:A595,"&gt;0")+1)</f>
        <v/>
      </c>
      <c r="B596" s="4"/>
      <c r="C596" s="5" t="s">
        <v>22</v>
      </c>
      <c r="D596" s="7" t="s">
        <v>666</v>
      </c>
      <c r="E596" s="31"/>
      <c r="F596" s="31"/>
      <c r="G596" s="6" t="s">
        <v>40</v>
      </c>
      <c r="H596" s="7">
        <f>VLOOKUP(D596,A!B$1:L$1126,3,FALSE)</f>
        <v>0</v>
      </c>
      <c r="I596" s="31">
        <f>VLOOKUP(D596,A!B$1:L$1126,3,FALSE)</f>
        <v>0</v>
      </c>
      <c r="J596" s="92"/>
      <c r="K596" s="91" t="str">
        <f>VLOOKUP(D596,A!B$1:L$1126,6,FALSE)</f>
        <v/>
      </c>
      <c r="L596" s="162"/>
      <c r="M596" s="41" t="s">
        <v>41</v>
      </c>
      <c r="N596" s="94">
        <f>VLOOKUP(D596,A!B$1:L$1125,2,FALSE)</f>
        <v>0</v>
      </c>
      <c r="O596" s="94">
        <f>VLOOKUP(D596,A!B$1:L$1126,4,FALSE)</f>
        <v>0</v>
      </c>
      <c r="P596" s="10">
        <v>10</v>
      </c>
      <c r="Q596" s="10">
        <v>2.69</v>
      </c>
      <c r="R596" s="10">
        <f t="shared" si="87"/>
        <v>0</v>
      </c>
      <c r="S596" s="10">
        <f t="shared" si="88"/>
        <v>0</v>
      </c>
      <c r="T596" s="10" t="s">
        <v>322</v>
      </c>
      <c r="U596" s="145">
        <v>0.33</v>
      </c>
      <c r="V596" s="10" t="str">
        <f>VLOOKUP(D596,A!B$1:T$1125,16,FALSE)</f>
        <v/>
      </c>
      <c r="W596" s="10">
        <f t="shared" si="89"/>
        <v>0</v>
      </c>
      <c r="X596" s="29"/>
      <c r="Y596" s="29"/>
      <c r="Z596" s="29"/>
      <c r="AA596" s="29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</row>
    <row r="597" spans="1:125" s="48" customFormat="1" ht="13.5" hidden="1" customHeight="1" x14ac:dyDescent="0.25">
      <c r="A597" t="str">
        <f>IF(R597=0,"",COUNTIF(A$13:A596,"&gt;0")+1)</f>
        <v/>
      </c>
      <c r="B597" s="4"/>
      <c r="C597" s="5" t="s">
        <v>22</v>
      </c>
      <c r="D597" s="7" t="s">
        <v>39</v>
      </c>
      <c r="E597" s="31"/>
      <c r="F597" s="31"/>
      <c r="G597" s="6" t="s">
        <v>40</v>
      </c>
      <c r="H597" s="7">
        <f>VLOOKUP(D597,A!B$1:L$1126,3,FALSE)</f>
        <v>0</v>
      </c>
      <c r="I597" s="31">
        <f>VLOOKUP(D597,A!B$1:L$1126,3,FALSE)</f>
        <v>0</v>
      </c>
      <c r="J597" s="92"/>
      <c r="K597" s="91" t="str">
        <f>VLOOKUP(D597,A!B$1:L$1126,6,FALSE)</f>
        <v/>
      </c>
      <c r="L597" s="162"/>
      <c r="M597" s="41" t="s">
        <v>41</v>
      </c>
      <c r="N597" s="94">
        <f>VLOOKUP(D597,A!B$1:L$1125,2,FALSE)</f>
        <v>0</v>
      </c>
      <c r="O597" s="94">
        <f>VLOOKUP(D597,A!B$1:L$1126,4,FALSE)</f>
        <v>0</v>
      </c>
      <c r="P597" s="10">
        <v>10</v>
      </c>
      <c r="Q597" s="10">
        <v>2.69</v>
      </c>
      <c r="R597" s="10">
        <f t="shared" si="87"/>
        <v>0</v>
      </c>
      <c r="S597" s="10">
        <f t="shared" si="88"/>
        <v>0</v>
      </c>
      <c r="T597" s="10" t="s">
        <v>322</v>
      </c>
      <c r="U597" s="145">
        <v>0.33</v>
      </c>
      <c r="V597" s="10" t="str">
        <f>VLOOKUP(D597,A!B$1:T$1125,16,FALSE)</f>
        <v/>
      </c>
      <c r="W597" s="10">
        <f t="shared" si="89"/>
        <v>0</v>
      </c>
      <c r="X597" s="29"/>
      <c r="Y597" s="29"/>
      <c r="Z597" s="29"/>
      <c r="AA597" s="29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</row>
    <row r="598" spans="1:125" s="48" customFormat="1" ht="13.5" hidden="1" customHeight="1" x14ac:dyDescent="0.25">
      <c r="A598" t="str">
        <f>IF(R598=0,"",COUNTIF(A$13:A597,"&gt;0")+1)</f>
        <v/>
      </c>
      <c r="B598" s="4"/>
      <c r="C598" s="5" t="s">
        <v>22</v>
      </c>
      <c r="D598" s="7" t="s">
        <v>667</v>
      </c>
      <c r="E598" s="31"/>
      <c r="F598" s="31"/>
      <c r="G598" s="6" t="s">
        <v>668</v>
      </c>
      <c r="H598" s="7">
        <f>VLOOKUP(D598,A!B$1:L$1126,3,FALSE)</f>
        <v>0</v>
      </c>
      <c r="I598" s="31">
        <f>VLOOKUP(D598,A!B$1:L$1126,3,FALSE)</f>
        <v>0</v>
      </c>
      <c r="J598" s="92"/>
      <c r="K598" s="91" t="str">
        <f>VLOOKUP(D598,A!B$1:L$1126,6,FALSE)</f>
        <v/>
      </c>
      <c r="L598" s="162"/>
      <c r="M598" s="43" t="s">
        <v>669</v>
      </c>
      <c r="N598" s="94">
        <f>VLOOKUP(D598,A!B$1:L$1125,2,FALSE)</f>
        <v>0</v>
      </c>
      <c r="O598" s="94">
        <f>VLOOKUP(D598,A!B$1:L$1126,4,FALSE)</f>
        <v>0</v>
      </c>
      <c r="P598" s="10">
        <v>10</v>
      </c>
      <c r="Q598" s="10">
        <v>2.69</v>
      </c>
      <c r="R598" s="10">
        <f t="shared" si="87"/>
        <v>0</v>
      </c>
      <c r="S598" s="10">
        <f t="shared" si="88"/>
        <v>0</v>
      </c>
      <c r="T598" s="10" t="s">
        <v>322</v>
      </c>
      <c r="U598" s="145">
        <v>0.33</v>
      </c>
      <c r="V598" s="10" t="str">
        <f>VLOOKUP(D598,A!B$1:T$1125,16,FALSE)</f>
        <v/>
      </c>
      <c r="W598" s="10">
        <f t="shared" si="89"/>
        <v>0</v>
      </c>
      <c r="X598" s="29"/>
      <c r="Y598" s="29"/>
      <c r="Z598" s="29"/>
      <c r="AA598" s="29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</row>
    <row r="599" spans="1:125" s="3" customFormat="1" ht="12" customHeight="1" x14ac:dyDescent="0.25">
      <c r="A599" t="str">
        <f>IF(R599=0,"",COUNTIF(A$13:A598,"&gt;0")+1)</f>
        <v/>
      </c>
      <c r="B599" s="4"/>
      <c r="C599" s="5" t="s">
        <v>22</v>
      </c>
      <c r="D599" s="7" t="s">
        <v>670</v>
      </c>
      <c r="E599" s="31"/>
      <c r="F599" s="31"/>
      <c r="G599" s="6" t="s">
        <v>671</v>
      </c>
      <c r="H599" s="7">
        <f>VLOOKUP(D599,A!B$1:L$1126,3,FALSE)</f>
        <v>1</v>
      </c>
      <c r="I599" s="31">
        <f>VLOOKUP(D599,A!B$1:L$1126,3,FALSE)</f>
        <v>1</v>
      </c>
      <c r="J599" s="92"/>
      <c r="K599" s="91" t="str">
        <f>VLOOKUP(D599,A!B$1:L$1126,6,FALSE)</f>
        <v/>
      </c>
      <c r="L599" s="162"/>
      <c r="M599" s="43" t="s">
        <v>672</v>
      </c>
      <c r="N599" s="94" t="str">
        <f>VLOOKUP(D599,A!B$1:L$1125,2,FALSE)</f>
        <v>y</v>
      </c>
      <c r="O599" s="94">
        <f>VLOOKUP(D599,A!B$1:L$1126,4,FALSE)</f>
        <v>0</v>
      </c>
      <c r="P599" s="10">
        <v>10</v>
      </c>
      <c r="Q599" s="10">
        <v>2.69</v>
      </c>
      <c r="R599" s="10">
        <f t="shared" si="87"/>
        <v>0</v>
      </c>
      <c r="S599" s="10">
        <f t="shared" si="88"/>
        <v>0</v>
      </c>
      <c r="T599" s="10" t="s">
        <v>322</v>
      </c>
      <c r="U599" s="145">
        <v>0.33</v>
      </c>
      <c r="V599" s="10" t="str">
        <f>VLOOKUP(D599,A!B$1:T$1125,16,FALSE)</f>
        <v/>
      </c>
      <c r="W599" s="10">
        <f t="shared" si="89"/>
        <v>0</v>
      </c>
      <c r="X599" s="29"/>
      <c r="Y599" s="29"/>
      <c r="Z599" s="29"/>
      <c r="AA599" s="29"/>
    </row>
    <row r="600" spans="1:125" s="3" customFormat="1" ht="12" hidden="1" customHeight="1" x14ac:dyDescent="0.25">
      <c r="A600" t="str">
        <f>IF(R600=0,"",COUNTIF(A$13:A599,"&gt;0")+1)</f>
        <v/>
      </c>
      <c r="B600" s="4"/>
      <c r="C600" s="5" t="s">
        <v>22</v>
      </c>
      <c r="D600" s="7" t="s">
        <v>673</v>
      </c>
      <c r="E600" s="31"/>
      <c r="F600" s="31"/>
      <c r="G600" s="6" t="s">
        <v>674</v>
      </c>
      <c r="H600" s="7">
        <f>VLOOKUP(D600,A!B$1:L$1126,3,FALSE)</f>
        <v>0</v>
      </c>
      <c r="I600" s="31">
        <f>VLOOKUP(D600,A!B$1:L$1126,3,FALSE)</f>
        <v>0</v>
      </c>
      <c r="J600" s="92"/>
      <c r="K600" s="63" t="str">
        <f>VLOOKUP(D600,A!B$1:L$1126,6,FALSE)</f>
        <v/>
      </c>
      <c r="L600" s="162"/>
      <c r="M600" s="41" t="s">
        <v>675</v>
      </c>
      <c r="N600" s="94">
        <f>VLOOKUP(D600,A!B$1:L$1125,2,FALSE)</f>
        <v>0</v>
      </c>
      <c r="O600" s="94">
        <f>VLOOKUP(D600,A!B$1:L$1126,4,FALSE)</f>
        <v>0</v>
      </c>
      <c r="P600" s="10">
        <v>10</v>
      </c>
      <c r="Q600" s="10">
        <v>2.69</v>
      </c>
      <c r="R600" s="10">
        <f t="shared" si="87"/>
        <v>0</v>
      </c>
      <c r="S600" s="10">
        <f t="shared" si="88"/>
        <v>0</v>
      </c>
      <c r="T600" s="10" t="s">
        <v>322</v>
      </c>
      <c r="U600" s="145">
        <v>0.33</v>
      </c>
      <c r="V600" s="10" t="str">
        <f>VLOOKUP(D600,A!B$1:T$1125,16,FALSE)</f>
        <v/>
      </c>
      <c r="W600" s="10">
        <f t="shared" si="89"/>
        <v>0</v>
      </c>
      <c r="X600" s="29"/>
      <c r="Y600" s="29"/>
      <c r="Z600" s="29"/>
      <c r="AA600" s="29"/>
    </row>
    <row r="601" spans="1:125" s="3" customFormat="1" ht="12" hidden="1" customHeight="1" x14ac:dyDescent="0.25">
      <c r="A601" t="str">
        <f>IF(R601=0,"",COUNTIF(A$13:A600,"&gt;0")+1)</f>
        <v/>
      </c>
      <c r="B601" s="4"/>
      <c r="C601" s="5" t="s">
        <v>22</v>
      </c>
      <c r="D601" s="7" t="s">
        <v>676</v>
      </c>
      <c r="E601" s="31"/>
      <c r="F601" s="31"/>
      <c r="G601" s="6" t="s">
        <v>677</v>
      </c>
      <c r="H601" s="7">
        <f>VLOOKUP(D601,A!B$1:L$1126,3,FALSE)</f>
        <v>0</v>
      </c>
      <c r="I601" s="31">
        <f>VLOOKUP(D601,A!B$1:L$1126,3,FALSE)</f>
        <v>0</v>
      </c>
      <c r="J601" s="92"/>
      <c r="K601" s="63" t="str">
        <f>VLOOKUP(D601,A!B$1:L$1126,6,FALSE)</f>
        <v/>
      </c>
      <c r="L601" s="162"/>
      <c r="M601" s="41" t="s">
        <v>678</v>
      </c>
      <c r="N601" s="94">
        <f>VLOOKUP(D601,A!B$1:L$1125,2,FALSE)</f>
        <v>0</v>
      </c>
      <c r="O601" s="94">
        <f>VLOOKUP(D601,A!B$1:L$1126,4,FALSE)</f>
        <v>0</v>
      </c>
      <c r="P601" s="10">
        <v>10</v>
      </c>
      <c r="Q601" s="10">
        <v>2.69</v>
      </c>
      <c r="R601" s="10">
        <f t="shared" si="87"/>
        <v>0</v>
      </c>
      <c r="S601" s="10">
        <f t="shared" si="88"/>
        <v>0</v>
      </c>
      <c r="T601" s="10" t="s">
        <v>322</v>
      </c>
      <c r="U601" s="145">
        <v>0.33</v>
      </c>
      <c r="V601" s="10" t="str">
        <f>VLOOKUP(D601,A!B$1:T$1125,16,FALSE)</f>
        <v/>
      </c>
      <c r="W601" s="10">
        <f t="shared" si="89"/>
        <v>0</v>
      </c>
      <c r="X601" s="116"/>
      <c r="Y601" s="116"/>
      <c r="Z601" s="116"/>
      <c r="AA601" s="116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  <c r="CC601" s="48"/>
      <c r="CD601" s="48"/>
      <c r="CE601" s="48"/>
      <c r="CF601" s="48"/>
      <c r="CG601" s="48"/>
      <c r="CH601" s="48"/>
      <c r="CI601" s="48"/>
      <c r="CJ601" s="48"/>
      <c r="CK601" s="48"/>
      <c r="CL601" s="48"/>
      <c r="CM601" s="48"/>
      <c r="CN601" s="48"/>
      <c r="CO601" s="48"/>
      <c r="CP601" s="48"/>
      <c r="CQ601" s="48"/>
      <c r="CR601" s="48"/>
      <c r="CS601" s="48"/>
      <c r="CT601" s="48"/>
      <c r="CU601" s="48"/>
      <c r="CV601" s="48"/>
      <c r="CW601" s="48"/>
      <c r="CX601" s="48"/>
      <c r="CY601" s="48"/>
      <c r="CZ601" s="48"/>
      <c r="DA601" s="48"/>
      <c r="DB601" s="48"/>
      <c r="DC601" s="48"/>
      <c r="DD601" s="48"/>
      <c r="DE601" s="48"/>
      <c r="DF601" s="48"/>
      <c r="DG601" s="48"/>
      <c r="DH601" s="48"/>
      <c r="DI601" s="48"/>
      <c r="DJ601" s="48"/>
      <c r="DK601" s="48"/>
      <c r="DL601" s="48"/>
      <c r="DM601" s="48"/>
      <c r="DN601" s="48"/>
      <c r="DO601" s="48"/>
      <c r="DP601" s="48"/>
      <c r="DQ601" s="48"/>
      <c r="DR601" s="48"/>
      <c r="DS601" s="48"/>
      <c r="DT601" s="48"/>
      <c r="DU601" s="48"/>
    </row>
    <row r="602" spans="1:125" s="3" customFormat="1" ht="12" hidden="1" customHeight="1" x14ac:dyDescent="0.25">
      <c r="A602" t="str">
        <f>IF(R602=0,"",COUNTIF(A$13:A601,"&gt;0")+1)</f>
        <v/>
      </c>
      <c r="B602" s="4"/>
      <c r="C602" s="5" t="s">
        <v>22</v>
      </c>
      <c r="D602" s="7" t="s">
        <v>679</v>
      </c>
      <c r="E602" s="31"/>
      <c r="F602" s="31"/>
      <c r="G602" s="6" t="s">
        <v>680</v>
      </c>
      <c r="H602" s="7">
        <f>VLOOKUP(D602,A!B$1:L$1126,3,FALSE)</f>
        <v>0</v>
      </c>
      <c r="I602" s="31">
        <f>VLOOKUP(D602,A!B$1:L$1126,3,FALSE)</f>
        <v>0</v>
      </c>
      <c r="J602" s="92"/>
      <c r="K602" s="63" t="str">
        <f>VLOOKUP(D602,A!B$1:L$1126,6,FALSE)</f>
        <v/>
      </c>
      <c r="L602" s="162"/>
      <c r="M602" s="41" t="s">
        <v>681</v>
      </c>
      <c r="N602" s="94">
        <f>VLOOKUP(D602,A!B$1:L$1125,2,FALSE)</f>
        <v>0</v>
      </c>
      <c r="O602" s="94">
        <f>VLOOKUP(D602,A!B$1:L$1126,4,FALSE)</f>
        <v>0</v>
      </c>
      <c r="P602" s="10">
        <v>10</v>
      </c>
      <c r="Q602" s="10">
        <v>2.69</v>
      </c>
      <c r="R602" s="10">
        <f t="shared" si="87"/>
        <v>0</v>
      </c>
      <c r="S602" s="10">
        <f t="shared" si="88"/>
        <v>0</v>
      </c>
      <c r="T602" s="10" t="s">
        <v>322</v>
      </c>
      <c r="U602" s="145">
        <v>0.33</v>
      </c>
      <c r="V602" s="10" t="str">
        <f>VLOOKUP(D602,A!B$1:T$1125,16,FALSE)</f>
        <v/>
      </c>
      <c r="W602" s="10">
        <f t="shared" si="89"/>
        <v>0</v>
      </c>
      <c r="X602" s="116"/>
      <c r="Y602" s="116"/>
      <c r="Z602" s="116"/>
      <c r="AA602" s="116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  <c r="CC602" s="48"/>
      <c r="CD602" s="48"/>
      <c r="CE602" s="48"/>
      <c r="CF602" s="48"/>
      <c r="CG602" s="48"/>
      <c r="CH602" s="48"/>
      <c r="CI602" s="48"/>
      <c r="CJ602" s="48"/>
      <c r="CK602" s="48"/>
      <c r="CL602" s="48"/>
      <c r="CM602" s="48"/>
      <c r="CN602" s="48"/>
      <c r="CO602" s="48"/>
      <c r="CP602" s="48"/>
      <c r="CQ602" s="48"/>
      <c r="CR602" s="48"/>
      <c r="CS602" s="48"/>
      <c r="CT602" s="48"/>
      <c r="CU602" s="48"/>
      <c r="CV602" s="48"/>
      <c r="CW602" s="48"/>
      <c r="CX602" s="48"/>
      <c r="CY602" s="48"/>
      <c r="CZ602" s="48"/>
      <c r="DA602" s="48"/>
      <c r="DB602" s="48"/>
      <c r="DC602" s="48"/>
      <c r="DD602" s="48"/>
      <c r="DE602" s="48"/>
      <c r="DF602" s="48"/>
      <c r="DG602" s="48"/>
      <c r="DH602" s="48"/>
      <c r="DI602" s="48"/>
      <c r="DJ602" s="48"/>
      <c r="DK602" s="48"/>
      <c r="DL602" s="48"/>
      <c r="DM602" s="48"/>
      <c r="DN602" s="48"/>
      <c r="DO602" s="48"/>
      <c r="DP602" s="48"/>
      <c r="DQ602" s="48"/>
      <c r="DR602" s="48"/>
      <c r="DS602" s="48"/>
      <c r="DT602" s="48"/>
      <c r="DU602" s="48"/>
    </row>
    <row r="603" spans="1:125" s="3" customFormat="1" ht="12" hidden="1" customHeight="1" x14ac:dyDescent="0.25">
      <c r="A603" t="str">
        <f>IF(R603=0,"",COUNTIF(A$13:A602,"&gt;0")+1)</f>
        <v/>
      </c>
      <c r="B603" s="4"/>
      <c r="C603" s="5" t="s">
        <v>22</v>
      </c>
      <c r="D603" s="7" t="s">
        <v>682</v>
      </c>
      <c r="E603" s="31"/>
      <c r="F603" s="31"/>
      <c r="G603" s="6" t="s">
        <v>683</v>
      </c>
      <c r="H603" s="7">
        <f>VLOOKUP(D603,A!B$1:L$1126,3,FALSE)</f>
        <v>0</v>
      </c>
      <c r="I603" s="31">
        <f>VLOOKUP(D603,A!B$1:L$1126,3,FALSE)</f>
        <v>0</v>
      </c>
      <c r="J603" s="92"/>
      <c r="K603" s="63" t="str">
        <f>VLOOKUP(D603,A!B$1:L$1126,6,FALSE)</f>
        <v/>
      </c>
      <c r="L603" s="162"/>
      <c r="M603" s="41" t="s">
        <v>684</v>
      </c>
      <c r="N603" s="94">
        <f>VLOOKUP(D603,A!B$1:L$1125,2,FALSE)</f>
        <v>0</v>
      </c>
      <c r="O603" s="94">
        <f>VLOOKUP(D603,A!B$1:L$1126,4,FALSE)</f>
        <v>0</v>
      </c>
      <c r="P603" s="10">
        <v>10</v>
      </c>
      <c r="Q603" s="10">
        <v>2.69</v>
      </c>
      <c r="R603" s="10">
        <f t="shared" si="87"/>
        <v>0</v>
      </c>
      <c r="S603" s="10">
        <f t="shared" si="88"/>
        <v>0</v>
      </c>
      <c r="T603" s="10" t="s">
        <v>322</v>
      </c>
      <c r="U603" s="145">
        <v>0.33</v>
      </c>
      <c r="V603" s="10" t="str">
        <f>VLOOKUP(D603,A!B$1:T$1125,16,FALSE)</f>
        <v/>
      </c>
      <c r="W603" s="10">
        <f t="shared" si="89"/>
        <v>0</v>
      </c>
      <c r="X603" s="116"/>
      <c r="Y603" s="116"/>
      <c r="Z603" s="116"/>
      <c r="AA603" s="116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  <c r="CC603" s="48"/>
      <c r="CD603" s="48"/>
      <c r="CE603" s="48"/>
      <c r="CF603" s="48"/>
      <c r="CG603" s="48"/>
      <c r="CH603" s="48"/>
      <c r="CI603" s="48"/>
      <c r="CJ603" s="48"/>
      <c r="CK603" s="48"/>
      <c r="CL603" s="48"/>
      <c r="CM603" s="48"/>
      <c r="CN603" s="48"/>
      <c r="CO603" s="48"/>
      <c r="CP603" s="48"/>
      <c r="CQ603" s="48"/>
      <c r="CR603" s="48"/>
      <c r="CS603" s="48"/>
      <c r="CT603" s="48"/>
      <c r="CU603" s="48"/>
      <c r="CV603" s="48"/>
      <c r="CW603" s="48"/>
      <c r="CX603" s="48"/>
      <c r="CY603" s="48"/>
      <c r="CZ603" s="48"/>
      <c r="DA603" s="48"/>
      <c r="DB603" s="48"/>
      <c r="DC603" s="48"/>
      <c r="DD603" s="48"/>
      <c r="DE603" s="48"/>
      <c r="DF603" s="48"/>
      <c r="DG603" s="48"/>
      <c r="DH603" s="48"/>
      <c r="DI603" s="48"/>
      <c r="DJ603" s="48"/>
      <c r="DK603" s="48"/>
      <c r="DL603" s="48"/>
      <c r="DM603" s="48"/>
      <c r="DN603" s="48"/>
      <c r="DO603" s="48"/>
      <c r="DP603" s="48"/>
      <c r="DQ603" s="48"/>
      <c r="DR603" s="48"/>
      <c r="DS603" s="48"/>
      <c r="DT603" s="48"/>
      <c r="DU603" s="48"/>
    </row>
    <row r="604" spans="1:125" s="1" customFormat="1" ht="13.5" hidden="1" customHeight="1" x14ac:dyDescent="0.25">
      <c r="A604" t="str">
        <f>IF(R604=0,"",COUNTIF(A$13:A603,"&gt;0")+1)</f>
        <v/>
      </c>
      <c r="B604" s="4"/>
      <c r="C604" s="5" t="s">
        <v>22</v>
      </c>
      <c r="D604" s="7" t="s">
        <v>242</v>
      </c>
      <c r="E604" s="31"/>
      <c r="F604" s="31"/>
      <c r="G604" s="6" t="s">
        <v>243</v>
      </c>
      <c r="H604" s="7">
        <f>VLOOKUP(D604,A!B$1:L$1126,3,FALSE)</f>
        <v>0</v>
      </c>
      <c r="I604" s="31">
        <f>VLOOKUP(D604,A!B$1:L$1126,3,FALSE)</f>
        <v>0</v>
      </c>
      <c r="J604" s="92"/>
      <c r="K604" s="63" t="str">
        <f>VLOOKUP(D604,A!B$1:L$1126,6,FALSE)</f>
        <v/>
      </c>
      <c r="L604" s="2"/>
      <c r="M604" s="41" t="s">
        <v>244</v>
      </c>
      <c r="N604" s="94">
        <f>VLOOKUP(D604,A!B$1:L$1125,2,FALSE)</f>
        <v>0</v>
      </c>
      <c r="O604" s="94">
        <f>VLOOKUP(D604,A!B$1:L$1126,4,FALSE)</f>
        <v>0</v>
      </c>
      <c r="P604" s="10">
        <v>10</v>
      </c>
      <c r="Q604" s="10">
        <v>2.69</v>
      </c>
      <c r="R604" s="10">
        <f t="shared" si="87"/>
        <v>0</v>
      </c>
      <c r="S604" s="10">
        <f t="shared" si="88"/>
        <v>0</v>
      </c>
      <c r="T604" s="10" t="s">
        <v>322</v>
      </c>
      <c r="U604" s="145">
        <v>0.33</v>
      </c>
      <c r="V604" s="10" t="str">
        <f>VLOOKUP(D604,A!B$1:T$1125,16,FALSE)</f>
        <v/>
      </c>
      <c r="W604" s="10">
        <f t="shared" si="89"/>
        <v>0</v>
      </c>
      <c r="X604" s="115"/>
      <c r="Y604" s="115"/>
      <c r="Z604" s="115"/>
      <c r="AA604" s="115"/>
      <c r="AB604" s="115"/>
      <c r="AC604" s="115"/>
      <c r="AD604" s="115"/>
      <c r="AE604" s="115"/>
      <c r="AF604" s="115"/>
      <c r="AG604" s="115"/>
      <c r="AH604" s="115"/>
      <c r="AI604" s="115"/>
      <c r="AJ604" s="115"/>
      <c r="AK604" s="115"/>
      <c r="AL604" s="115"/>
      <c r="AM604" s="115"/>
      <c r="AN604" s="115"/>
      <c r="AO604" s="115"/>
      <c r="AP604" s="115"/>
      <c r="AQ604" s="115"/>
      <c r="AR604" s="115"/>
      <c r="AS604" s="115"/>
      <c r="AT604" s="115"/>
      <c r="AU604" s="115"/>
      <c r="AV604" s="115"/>
      <c r="AW604" s="115"/>
      <c r="AX604" s="115"/>
      <c r="AY604" s="115"/>
      <c r="AZ604" s="115"/>
      <c r="BA604" s="115"/>
      <c r="BB604" s="115"/>
      <c r="BC604" s="115"/>
      <c r="BD604" s="115"/>
      <c r="BE604" s="115"/>
      <c r="BF604" s="115"/>
      <c r="BG604" s="115"/>
      <c r="BH604" s="115"/>
      <c r="BI604" s="115"/>
      <c r="BJ604" s="115"/>
      <c r="BK604" s="115"/>
      <c r="BL604" s="115"/>
      <c r="BM604" s="115"/>
      <c r="BN604" s="115"/>
      <c r="BO604" s="115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</row>
    <row r="605" spans="1:125" ht="12" hidden="1" customHeight="1" x14ac:dyDescent="0.25">
      <c r="A605" t="str">
        <f>IF(R605=0,"",COUNTIF(A$13:A604,"&gt;0")+1)</f>
        <v/>
      </c>
      <c r="B605" s="4"/>
      <c r="C605" s="5" t="s">
        <v>22</v>
      </c>
      <c r="D605" s="7" t="s">
        <v>685</v>
      </c>
      <c r="E605" s="31"/>
      <c r="F605" s="31"/>
      <c r="G605" s="6" t="s">
        <v>686</v>
      </c>
      <c r="H605" s="7">
        <f>VLOOKUP(D605,A!B$1:L$1126,3,FALSE)</f>
        <v>0</v>
      </c>
      <c r="I605" s="31">
        <f>VLOOKUP(D605,A!B$1:L$1126,3,FALSE)</f>
        <v>0</v>
      </c>
      <c r="J605" s="92"/>
      <c r="K605" s="63" t="str">
        <f>VLOOKUP(D605,A!B$1:L$1126,6,FALSE)</f>
        <v/>
      </c>
      <c r="L605" s="162"/>
      <c r="M605" s="43" t="s">
        <v>687</v>
      </c>
      <c r="N605" s="94">
        <f>VLOOKUP(D605,A!B$1:L$1125,2,FALSE)</f>
        <v>0</v>
      </c>
      <c r="O605" s="94">
        <f>VLOOKUP(D605,A!B$1:L$1126,4,FALSE)</f>
        <v>0</v>
      </c>
      <c r="P605" s="10">
        <v>10</v>
      </c>
      <c r="Q605" s="10">
        <v>2.69</v>
      </c>
      <c r="R605" s="10">
        <f>B605*P605</f>
        <v>0</v>
      </c>
      <c r="S605" s="10">
        <f>R605*Q605</f>
        <v>0</v>
      </c>
      <c r="T605" s="10" t="s">
        <v>322</v>
      </c>
      <c r="U605" s="145">
        <v>0.33</v>
      </c>
      <c r="V605" s="10" t="str">
        <f>VLOOKUP(D605,A!B$1:T$1125,16,FALSE)</f>
        <v/>
      </c>
      <c r="W605" s="10">
        <f>U605*B605</f>
        <v>0</v>
      </c>
      <c r="X605" s="116"/>
      <c r="Y605" s="116"/>
      <c r="Z605" s="116"/>
      <c r="AA605" s="116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  <c r="CC605" s="48"/>
      <c r="CD605" s="48"/>
      <c r="CE605" s="48"/>
      <c r="CF605" s="48"/>
      <c r="CG605" s="48"/>
      <c r="CH605" s="48"/>
      <c r="CI605" s="48"/>
      <c r="CJ605" s="48"/>
      <c r="CK605" s="48"/>
      <c r="CL605" s="48"/>
      <c r="CM605" s="48"/>
      <c r="CN605" s="48"/>
      <c r="CO605" s="48"/>
      <c r="CP605" s="48"/>
      <c r="CQ605" s="48"/>
      <c r="CR605" s="48"/>
      <c r="CS605" s="48"/>
      <c r="CT605" s="48"/>
      <c r="CU605" s="48"/>
      <c r="CV605" s="48"/>
      <c r="CW605" s="48"/>
      <c r="CX605" s="48"/>
      <c r="CY605" s="48"/>
      <c r="CZ605" s="48"/>
      <c r="DA605" s="48"/>
      <c r="DB605" s="48"/>
      <c r="DC605" s="48"/>
      <c r="DD605" s="48"/>
      <c r="DE605" s="48"/>
      <c r="DF605" s="48"/>
      <c r="DG605" s="48"/>
      <c r="DH605" s="48"/>
      <c r="DI605" s="48"/>
      <c r="DJ605" s="48"/>
      <c r="DK605" s="48"/>
      <c r="DL605" s="48"/>
      <c r="DM605" s="48"/>
      <c r="DN605" s="48"/>
      <c r="DO605" s="48"/>
      <c r="DP605" s="48"/>
      <c r="DQ605" s="48"/>
      <c r="DR605" s="48"/>
      <c r="DS605" s="48"/>
      <c r="DT605" s="48"/>
      <c r="DU605" s="48"/>
    </row>
    <row r="606" spans="1:125" ht="13.5" customHeight="1" x14ac:dyDescent="0.25">
      <c r="A606" t="str">
        <f>IF(R606=0,"",COUNTIF(A$13:A605,"&gt;0")+1)</f>
        <v/>
      </c>
      <c r="B606" s="82">
        <f>SUM(B503:B605)</f>
        <v>0</v>
      </c>
      <c r="C606" s="5" t="s">
        <v>22</v>
      </c>
      <c r="D606" s="24" t="s">
        <v>36</v>
      </c>
      <c r="E606" s="88"/>
      <c r="F606" s="96"/>
      <c r="G606" s="84"/>
      <c r="H606" s="84"/>
      <c r="I606" s="84"/>
      <c r="J606" s="84"/>
      <c r="K606" s="84"/>
      <c r="L606" s="84"/>
      <c r="M606" s="84"/>
      <c r="N606" s="100"/>
      <c r="O606" s="100"/>
      <c r="P606" s="10">
        <v>10</v>
      </c>
      <c r="Q606" s="151"/>
      <c r="R606" s="10">
        <f t="shared" ref="R606" si="90">B606*P606</f>
        <v>0</v>
      </c>
      <c r="S606" s="10"/>
      <c r="AC606" s="30"/>
      <c r="AD606" s="30"/>
      <c r="AE606" s="115"/>
      <c r="AF606" s="115"/>
      <c r="AG606" s="115"/>
      <c r="AH606" s="115"/>
      <c r="AI606" s="115"/>
      <c r="AJ606" s="115"/>
      <c r="AK606" s="115"/>
      <c r="AL606" s="115"/>
      <c r="AM606" s="115"/>
      <c r="AN606" s="115"/>
      <c r="AO606" s="115"/>
      <c r="AP606" s="115"/>
      <c r="AQ606" s="115"/>
      <c r="AR606" s="115"/>
      <c r="AS606" s="115"/>
      <c r="AT606" s="115"/>
      <c r="AU606" s="115"/>
      <c r="AV606" s="115"/>
      <c r="AW606" s="115"/>
      <c r="AX606" s="115"/>
      <c r="AY606" s="115"/>
      <c r="AZ606" s="115"/>
      <c r="BA606" s="115"/>
      <c r="BB606" s="115"/>
      <c r="BC606" s="115"/>
      <c r="BD606" s="115"/>
      <c r="BE606" s="115"/>
      <c r="BF606" s="115"/>
      <c r="BG606" s="115"/>
      <c r="BH606" s="115"/>
      <c r="BI606" s="115"/>
      <c r="BJ606" s="115"/>
      <c r="BK606" s="115"/>
      <c r="BL606" s="115"/>
      <c r="BM606" s="115"/>
      <c r="BN606" s="115"/>
      <c r="BO606" s="115"/>
    </row>
    <row r="607" spans="1:125" ht="9.75" customHeight="1" x14ac:dyDescent="0.25">
      <c r="A607" t="str">
        <f>IF(R607=0,"",COUNTIF(A$13:A606,"&gt;0")+1)</f>
        <v/>
      </c>
      <c r="N607" s="102"/>
      <c r="O607" s="102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  <c r="AA607" s="115"/>
      <c r="AB607" s="115"/>
      <c r="AC607" s="115"/>
      <c r="AD607" s="115"/>
      <c r="AE607" s="115"/>
      <c r="AF607" s="115"/>
      <c r="AG607" s="115"/>
      <c r="AH607" s="115"/>
      <c r="AI607" s="115"/>
      <c r="AJ607" s="115"/>
      <c r="AK607" s="115"/>
      <c r="AL607" s="115"/>
      <c r="AM607" s="115"/>
      <c r="AN607" s="115"/>
      <c r="AO607" s="115"/>
      <c r="AP607" s="115"/>
      <c r="AQ607" s="115"/>
      <c r="AR607" s="115"/>
      <c r="AS607" s="115"/>
      <c r="AT607" s="115"/>
      <c r="AU607" s="115"/>
      <c r="AV607" s="115"/>
      <c r="AW607" s="115"/>
      <c r="AX607" s="115"/>
      <c r="AY607" s="115"/>
      <c r="AZ607" s="115"/>
      <c r="BA607" s="115"/>
      <c r="BB607" s="115"/>
      <c r="BC607" s="115"/>
      <c r="BD607" s="115"/>
      <c r="BE607" s="115"/>
      <c r="BF607" s="115"/>
      <c r="BG607" s="115"/>
      <c r="BH607" s="115"/>
      <c r="BI607" s="115"/>
      <c r="BJ607" s="115"/>
      <c r="BK607" s="115"/>
      <c r="BL607" s="115"/>
      <c r="BM607" s="115"/>
      <c r="BN607" s="115"/>
      <c r="BO607" s="115"/>
    </row>
    <row r="608" spans="1:125" s="1" customFormat="1" ht="21" customHeight="1" x14ac:dyDescent="0.25">
      <c r="A608" t="str">
        <f>IF(R608=0,"",COUNTIF(A$13:A607,"&gt;0")+1)</f>
        <v/>
      </c>
      <c r="B608" s="234" t="s">
        <v>48</v>
      </c>
      <c r="C608" s="235"/>
      <c r="D608" s="235"/>
      <c r="E608" s="83"/>
      <c r="F608" s="241" t="s">
        <v>123</v>
      </c>
      <c r="G608" s="242"/>
      <c r="H608" s="123"/>
      <c r="I608" s="124"/>
      <c r="J608" s="137"/>
      <c r="K608" s="137"/>
      <c r="L608" s="137" t="s">
        <v>73</v>
      </c>
      <c r="M608" s="27">
        <v>2.69</v>
      </c>
      <c r="N608" s="93"/>
      <c r="O608" s="93"/>
      <c r="P608" s="30"/>
      <c r="Q608" s="30"/>
      <c r="R608" s="30"/>
      <c r="S608" s="10"/>
      <c r="T608" s="10"/>
      <c r="U608" s="152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</row>
    <row r="609" spans="1:111" s="1" customFormat="1" ht="12" customHeight="1" x14ac:dyDescent="0.25">
      <c r="A609" t="str">
        <f>IF(R609=0,"",COUNTIF(A$13:A608,"&gt;0")+1)</f>
        <v/>
      </c>
      <c r="B609" s="237" t="s">
        <v>18</v>
      </c>
      <c r="C609" s="238"/>
      <c r="D609" s="16" t="s">
        <v>19</v>
      </c>
      <c r="E609" s="86"/>
      <c r="F609" s="86"/>
      <c r="G609" s="17" t="s">
        <v>20</v>
      </c>
      <c r="H609" s="118"/>
      <c r="I609" s="117"/>
      <c r="J609" s="117"/>
      <c r="K609" s="122" t="s">
        <v>17</v>
      </c>
      <c r="L609" s="119">
        <v>5021353014280</v>
      </c>
      <c r="M609" s="120" t="s">
        <v>21</v>
      </c>
      <c r="N609" s="93"/>
      <c r="O609" s="93"/>
      <c r="P609" s="30"/>
      <c r="Q609" s="30"/>
      <c r="R609" s="30"/>
      <c r="S609" s="10"/>
      <c r="T609" s="10"/>
      <c r="U609" s="152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</row>
    <row r="610" spans="1:111" s="1" customFormat="1" ht="13.5" customHeight="1" x14ac:dyDescent="0.25">
      <c r="A610" t="str">
        <f>IF(R610=0,"",COUNTIF(A$13:A609,"&gt;0")+1)</f>
        <v/>
      </c>
      <c r="B610" s="4"/>
      <c r="C610" s="5" t="s">
        <v>22</v>
      </c>
      <c r="D610" s="7" t="s">
        <v>58</v>
      </c>
      <c r="E610" s="31"/>
      <c r="F610" s="31"/>
      <c r="G610" s="23" t="s">
        <v>59</v>
      </c>
      <c r="H610" s="7">
        <f>VLOOKUP(D610,A!B$1:L$1126,3,FALSE)</f>
        <v>2</v>
      </c>
      <c r="I610" s="31">
        <f>VLOOKUP(D610,A!B$1:L$1126,3,FALSE)</f>
        <v>2</v>
      </c>
      <c r="J610" s="92"/>
      <c r="K610" s="91" t="str">
        <f>VLOOKUP(D610,A!B$1:L$1126,6,FALSE)</f>
        <v/>
      </c>
      <c r="L610" s="31"/>
      <c r="M610" s="39" t="s">
        <v>60</v>
      </c>
      <c r="N610" s="94" t="str">
        <f>VLOOKUP(D610,A!B$1:L$1125,2,FALSE)</f>
        <v>y</v>
      </c>
      <c r="O610" s="94">
        <f>VLOOKUP(D610,A!B$1:L$1126,4,FALSE)</f>
        <v>1</v>
      </c>
      <c r="P610" s="10">
        <v>10</v>
      </c>
      <c r="Q610" s="10">
        <v>2.69</v>
      </c>
      <c r="R610" s="10">
        <f t="shared" ref="R610" si="91">B610*P610</f>
        <v>0</v>
      </c>
      <c r="S610" s="10">
        <f>R610*Q610</f>
        <v>0</v>
      </c>
      <c r="T610" s="10" t="s">
        <v>48</v>
      </c>
      <c r="U610" s="145">
        <v>0.33</v>
      </c>
      <c r="V610" s="10" t="str">
        <f>VLOOKUP(D610,A!B$1:T$1125,16,FALSE)</f>
        <v/>
      </c>
      <c r="W610" s="10">
        <f t="shared" ref="W610" si="92">U610*B610</f>
        <v>0</v>
      </c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</row>
    <row r="611" spans="1:111" s="3" customFormat="1" ht="13.5" customHeight="1" x14ac:dyDescent="0.25">
      <c r="A611" t="str">
        <f>IF(R611=0,"",COUNTIF(A$13:A610,"&gt;0")+1)</f>
        <v/>
      </c>
      <c r="B611" s="4"/>
      <c r="C611" s="5" t="s">
        <v>22</v>
      </c>
      <c r="D611" s="22" t="s">
        <v>688</v>
      </c>
      <c r="E611" s="89"/>
      <c r="F611" s="89"/>
      <c r="G611" s="25" t="s">
        <v>49</v>
      </c>
      <c r="H611" s="7">
        <f>VLOOKUP(D611,A!B$1:L$1126,3,FALSE)</f>
        <v>2</v>
      </c>
      <c r="I611" s="31">
        <f>VLOOKUP(D611,A!B$1:L$1126,3,FALSE)</f>
        <v>2</v>
      </c>
      <c r="J611" s="92"/>
      <c r="K611" s="91" t="str">
        <f>VLOOKUP(D611,A!B$1:L$1126,6,FALSE)</f>
        <v/>
      </c>
      <c r="L611" s="162"/>
      <c r="M611" s="44" t="s">
        <v>1797</v>
      </c>
      <c r="N611" s="94" t="str">
        <f>VLOOKUP(D611,A!B$1:L$1125,2,FALSE)</f>
        <v>y</v>
      </c>
      <c r="O611" s="94">
        <f>VLOOKUP(D611,A!B$1:L$1126,4,FALSE)</f>
        <v>1</v>
      </c>
      <c r="P611" s="10">
        <v>10</v>
      </c>
      <c r="Q611" s="10">
        <v>2.69</v>
      </c>
      <c r="R611" s="10">
        <f t="shared" ref="R611:R630" si="93">B611*P611</f>
        <v>0</v>
      </c>
      <c r="S611" s="10">
        <f t="shared" ref="S611:S630" si="94">R611*Q611</f>
        <v>0</v>
      </c>
      <c r="T611" s="10" t="s">
        <v>48</v>
      </c>
      <c r="U611" s="145">
        <v>0.33</v>
      </c>
      <c r="V611" s="10" t="str">
        <f>VLOOKUP(D611,A!B$1:T$1125,16,FALSE)</f>
        <v/>
      </c>
      <c r="W611" s="10">
        <f t="shared" ref="W611:W630" si="95">U611*B611</f>
        <v>0</v>
      </c>
      <c r="X611" s="29"/>
      <c r="Y611" s="29"/>
      <c r="Z611" s="29"/>
      <c r="AA611" s="29"/>
    </row>
    <row r="612" spans="1:111" s="3" customFormat="1" ht="13.5" hidden="1" customHeight="1" x14ac:dyDescent="0.25">
      <c r="A612" t="str">
        <f>IF(R612=0,"",COUNTIF(A$13:A611,"&gt;0")+1)</f>
        <v/>
      </c>
      <c r="B612" s="4"/>
      <c r="C612" s="5" t="s">
        <v>22</v>
      </c>
      <c r="D612" s="7" t="s">
        <v>690</v>
      </c>
      <c r="E612" s="31"/>
      <c r="F612" s="31"/>
      <c r="G612" s="6" t="s">
        <v>49</v>
      </c>
      <c r="H612" s="7">
        <f>VLOOKUP(D612,A!B$1:L$1126,3,FALSE)</f>
        <v>0</v>
      </c>
      <c r="I612" s="31">
        <f>VLOOKUP(D612,A!B$1:L$1126,3,FALSE)</f>
        <v>0</v>
      </c>
      <c r="J612" s="92"/>
      <c r="K612" s="91" t="str">
        <f>VLOOKUP(D612,A!B$1:L$1126,6,FALSE)</f>
        <v/>
      </c>
      <c r="L612" s="162"/>
      <c r="M612" s="43" t="s">
        <v>691</v>
      </c>
      <c r="N612" s="94">
        <f>VLOOKUP(D612,A!B$1:L$1125,2,FALSE)</f>
        <v>0</v>
      </c>
      <c r="O612" s="94">
        <f>VLOOKUP(D612,A!B$1:L$1126,4,FALSE)</f>
        <v>0</v>
      </c>
      <c r="P612" s="10">
        <v>10</v>
      </c>
      <c r="Q612" s="10">
        <v>2.69</v>
      </c>
      <c r="R612" s="10">
        <f t="shared" si="93"/>
        <v>0</v>
      </c>
      <c r="S612" s="10">
        <f t="shared" si="94"/>
        <v>0</v>
      </c>
      <c r="T612" s="10" t="s">
        <v>48</v>
      </c>
      <c r="U612" s="145">
        <v>0.33</v>
      </c>
      <c r="V612" s="10" t="str">
        <f>VLOOKUP(D612,A!B$1:T$1125,16,FALSE)</f>
        <v/>
      </c>
      <c r="W612" s="10">
        <f t="shared" si="95"/>
        <v>0</v>
      </c>
      <c r="X612" s="29"/>
      <c r="Y612" s="29"/>
      <c r="Z612" s="29"/>
      <c r="AA612" s="29"/>
    </row>
    <row r="613" spans="1:111" s="3" customFormat="1" ht="13.5" hidden="1" customHeight="1" x14ac:dyDescent="0.25">
      <c r="A613" t="str">
        <f>IF(R613=0,"",COUNTIF(A$13:A612,"&gt;0")+1)</f>
        <v/>
      </c>
      <c r="B613" s="4"/>
      <c r="C613" s="5" t="s">
        <v>22</v>
      </c>
      <c r="D613" s="7" t="s">
        <v>692</v>
      </c>
      <c r="E613" s="31"/>
      <c r="F613" s="31"/>
      <c r="G613" s="6" t="s">
        <v>49</v>
      </c>
      <c r="H613" s="7">
        <f>VLOOKUP(D613,A!B$1:L$1126,3,FALSE)</f>
        <v>0</v>
      </c>
      <c r="I613" s="31">
        <f>VLOOKUP(D613,A!B$1:L$1126,3,FALSE)</f>
        <v>0</v>
      </c>
      <c r="J613" s="92"/>
      <c r="K613" s="91" t="str">
        <f>VLOOKUP(D613,A!B$1:L$1126,6,FALSE)</f>
        <v/>
      </c>
      <c r="L613" s="162"/>
      <c r="M613" s="43" t="s">
        <v>693</v>
      </c>
      <c r="N613" s="94">
        <f>VLOOKUP(D613,A!B$1:L$1125,2,FALSE)</f>
        <v>0</v>
      </c>
      <c r="O613" s="94">
        <f>VLOOKUP(D613,A!B$1:L$1126,4,FALSE)</f>
        <v>0</v>
      </c>
      <c r="P613" s="10">
        <v>10</v>
      </c>
      <c r="Q613" s="10">
        <v>2.69</v>
      </c>
      <c r="R613" s="10">
        <f t="shared" si="93"/>
        <v>0</v>
      </c>
      <c r="S613" s="10">
        <f t="shared" si="94"/>
        <v>0</v>
      </c>
      <c r="T613" s="10" t="s">
        <v>48</v>
      </c>
      <c r="U613" s="145">
        <v>0.33</v>
      </c>
      <c r="V613" s="10" t="str">
        <f>VLOOKUP(D613,A!B$1:T$1125,16,FALSE)</f>
        <v/>
      </c>
      <c r="W613" s="10">
        <f t="shared" si="95"/>
        <v>0</v>
      </c>
      <c r="X613" s="29"/>
      <c r="Y613" s="29"/>
      <c r="Z613" s="29"/>
      <c r="AA613" s="29"/>
    </row>
    <row r="614" spans="1:111" s="3" customFormat="1" ht="13.5" hidden="1" customHeight="1" x14ac:dyDescent="0.25">
      <c r="A614" t="str">
        <f>IF(R614=0,"",COUNTIF(A$13:A613,"&gt;0")+1)</f>
        <v/>
      </c>
      <c r="B614" s="4"/>
      <c r="C614" s="5" t="s">
        <v>22</v>
      </c>
      <c r="D614" s="22" t="s">
        <v>694</v>
      </c>
      <c r="E614" s="89"/>
      <c r="F614" s="89"/>
      <c r="G614" s="25" t="s">
        <v>49</v>
      </c>
      <c r="H614" s="7">
        <f>VLOOKUP(D614,A!B$1:L$1126,3,FALSE)</f>
        <v>0</v>
      </c>
      <c r="I614" s="31">
        <f>VLOOKUP(D614,A!B$1:L$1126,3,FALSE)</f>
        <v>0</v>
      </c>
      <c r="J614" s="92"/>
      <c r="K614" s="91" t="str">
        <f>VLOOKUP(D614,A!B$1:L$1126,6,FALSE)</f>
        <v/>
      </c>
      <c r="L614" s="162"/>
      <c r="M614" s="44" t="s">
        <v>695</v>
      </c>
      <c r="N614" s="94">
        <f>VLOOKUP(D614,A!B$1:L$1125,2,FALSE)</f>
        <v>0</v>
      </c>
      <c r="O614" s="94">
        <f>VLOOKUP(D614,A!B$1:L$1126,4,FALSE)</f>
        <v>0</v>
      </c>
      <c r="P614" s="10">
        <v>10</v>
      </c>
      <c r="Q614" s="10">
        <v>2.69</v>
      </c>
      <c r="R614" s="10">
        <f t="shared" si="93"/>
        <v>0</v>
      </c>
      <c r="S614" s="10">
        <f t="shared" si="94"/>
        <v>0</v>
      </c>
      <c r="T614" s="10" t="s">
        <v>48</v>
      </c>
      <c r="U614" s="145">
        <v>0.33</v>
      </c>
      <c r="V614" s="10" t="str">
        <f>VLOOKUP(D614,A!B$1:T$1125,16,FALSE)</f>
        <v/>
      </c>
      <c r="W614" s="10">
        <f t="shared" si="95"/>
        <v>0</v>
      </c>
      <c r="X614" s="29"/>
      <c r="Y614" s="29"/>
      <c r="Z614" s="29"/>
      <c r="AA614" s="29"/>
    </row>
    <row r="615" spans="1:111" s="3" customFormat="1" ht="13.5" hidden="1" customHeight="1" x14ac:dyDescent="0.25">
      <c r="A615" t="str">
        <f>IF(R615=0,"",COUNTIF(A$13:A614,"&gt;0")+1)</f>
        <v/>
      </c>
      <c r="B615" s="4"/>
      <c r="C615" s="5" t="s">
        <v>22</v>
      </c>
      <c r="D615" s="7" t="s">
        <v>696</v>
      </c>
      <c r="E615" s="31"/>
      <c r="F615" s="31"/>
      <c r="G615" s="6" t="s">
        <v>49</v>
      </c>
      <c r="H615" s="7">
        <f>VLOOKUP(D615,A!B$1:L$1126,3,FALSE)</f>
        <v>0</v>
      </c>
      <c r="I615" s="31">
        <f>VLOOKUP(D615,A!B$1:L$1126,3,FALSE)</f>
        <v>0</v>
      </c>
      <c r="J615" s="92"/>
      <c r="K615" s="91" t="str">
        <f>VLOOKUP(D615,A!B$1:L$1126,6,FALSE)</f>
        <v/>
      </c>
      <c r="L615" s="162"/>
      <c r="M615" s="43" t="s">
        <v>697</v>
      </c>
      <c r="N615" s="94">
        <f>VLOOKUP(D615,A!B$1:L$1125,2,FALSE)</f>
        <v>0</v>
      </c>
      <c r="O615" s="94">
        <f>VLOOKUP(D615,A!B$1:L$1126,4,FALSE)</f>
        <v>0</v>
      </c>
      <c r="P615" s="10">
        <v>10</v>
      </c>
      <c r="Q615" s="10">
        <v>2.69</v>
      </c>
      <c r="R615" s="10">
        <f t="shared" si="93"/>
        <v>0</v>
      </c>
      <c r="S615" s="10">
        <f t="shared" si="94"/>
        <v>0</v>
      </c>
      <c r="T615" s="10" t="s">
        <v>48</v>
      </c>
      <c r="U615" s="145">
        <v>0.33</v>
      </c>
      <c r="V615" s="10" t="str">
        <f>VLOOKUP(D615,A!B$1:T$1125,16,FALSE)</f>
        <v/>
      </c>
      <c r="W615" s="10">
        <f t="shared" si="95"/>
        <v>0</v>
      </c>
      <c r="X615" s="29"/>
      <c r="Y615" s="29"/>
      <c r="Z615" s="29"/>
      <c r="AA615" s="29"/>
    </row>
    <row r="616" spans="1:111" s="3" customFormat="1" ht="13.5" hidden="1" customHeight="1" x14ac:dyDescent="0.25">
      <c r="A616" t="str">
        <f>IF(R616=0,"",COUNTIF(A$13:A615,"&gt;0")+1)</f>
        <v/>
      </c>
      <c r="B616" s="4"/>
      <c r="C616" s="5" t="s">
        <v>22</v>
      </c>
      <c r="D616" s="22" t="s">
        <v>698</v>
      </c>
      <c r="E616" s="89"/>
      <c r="F616" s="89"/>
      <c r="G616" s="25" t="s">
        <v>49</v>
      </c>
      <c r="H616" s="7">
        <f>VLOOKUP(D616,A!B$1:L$1126,3,FALSE)</f>
        <v>0</v>
      </c>
      <c r="I616" s="31">
        <f>VLOOKUP(D616,A!B$1:L$1126,3,FALSE)</f>
        <v>0</v>
      </c>
      <c r="J616" s="92"/>
      <c r="K616" s="91" t="str">
        <f>VLOOKUP(D616,A!B$1:L$1126,6,FALSE)</f>
        <v/>
      </c>
      <c r="L616" s="162"/>
      <c r="M616" s="39" t="s">
        <v>699</v>
      </c>
      <c r="N616" s="94">
        <f>VLOOKUP(D616,A!B$1:L$1125,2,FALSE)</f>
        <v>0</v>
      </c>
      <c r="O616" s="94">
        <f>VLOOKUP(D616,A!B$1:L$1126,4,FALSE)</f>
        <v>0</v>
      </c>
      <c r="P616" s="10">
        <v>10</v>
      </c>
      <c r="Q616" s="10">
        <v>2.69</v>
      </c>
      <c r="R616" s="10">
        <f t="shared" si="93"/>
        <v>0</v>
      </c>
      <c r="S616" s="10">
        <f t="shared" si="94"/>
        <v>0</v>
      </c>
      <c r="T616" s="10" t="s">
        <v>48</v>
      </c>
      <c r="U616" s="145">
        <v>0.33</v>
      </c>
      <c r="V616" s="10" t="str">
        <f>VLOOKUP(D616,A!B$1:T$1125,16,FALSE)</f>
        <v/>
      </c>
      <c r="W616" s="10">
        <f t="shared" si="95"/>
        <v>0</v>
      </c>
      <c r="X616" s="29"/>
      <c r="Y616" s="29"/>
      <c r="Z616" s="29"/>
      <c r="AA616" s="29"/>
    </row>
    <row r="617" spans="1:111" s="3" customFormat="1" ht="13.5" hidden="1" customHeight="1" x14ac:dyDescent="0.25">
      <c r="A617" t="str">
        <f>IF(R617=0,"",COUNTIF(A$13:A616,"&gt;0")+1)</f>
        <v/>
      </c>
      <c r="B617" s="4"/>
      <c r="C617" s="5" t="s">
        <v>22</v>
      </c>
      <c r="D617" s="7" t="s">
        <v>700</v>
      </c>
      <c r="E617" s="31"/>
      <c r="F617" s="31"/>
      <c r="G617" s="6" t="s">
        <v>49</v>
      </c>
      <c r="H617" s="7">
        <f>VLOOKUP(D617,A!B$1:L$1126,3,FALSE)</f>
        <v>0</v>
      </c>
      <c r="I617" s="31">
        <f>VLOOKUP(D617,A!B$1:L$1126,3,FALSE)</f>
        <v>0</v>
      </c>
      <c r="J617" s="92"/>
      <c r="K617" s="91" t="str">
        <f>VLOOKUP(D617,A!B$1:L$1126,6,FALSE)</f>
        <v/>
      </c>
      <c r="L617" s="162"/>
      <c r="M617" s="43" t="s">
        <v>701</v>
      </c>
      <c r="N617" s="94">
        <f>VLOOKUP(D617,A!B$1:L$1125,2,FALSE)</f>
        <v>0</v>
      </c>
      <c r="O617" s="94">
        <f>VLOOKUP(D617,A!B$1:L$1126,4,FALSE)</f>
        <v>0</v>
      </c>
      <c r="P617" s="10">
        <v>10</v>
      </c>
      <c r="Q617" s="10">
        <v>2.69</v>
      </c>
      <c r="R617" s="10">
        <f t="shared" si="93"/>
        <v>0</v>
      </c>
      <c r="S617" s="10">
        <f t="shared" si="94"/>
        <v>0</v>
      </c>
      <c r="T617" s="10" t="s">
        <v>48</v>
      </c>
      <c r="U617" s="145">
        <v>0.33</v>
      </c>
      <c r="V617" s="10" t="str">
        <f>VLOOKUP(D617,A!B$1:T$1125,16,FALSE)</f>
        <v/>
      </c>
      <c r="W617" s="10">
        <f t="shared" si="95"/>
        <v>0</v>
      </c>
      <c r="X617" s="29"/>
      <c r="Y617" s="29"/>
      <c r="Z617" s="29"/>
      <c r="AA617" s="29"/>
    </row>
    <row r="618" spans="1:111" s="3" customFormat="1" ht="13.5" hidden="1" customHeight="1" x14ac:dyDescent="0.25">
      <c r="A618" t="str">
        <f>IF(R618=0,"",COUNTIF(A$13:A617,"&gt;0")+1)</f>
        <v/>
      </c>
      <c r="B618" s="4"/>
      <c r="C618" s="5" t="s">
        <v>22</v>
      </c>
      <c r="D618" s="22" t="s">
        <v>702</v>
      </c>
      <c r="E618" s="89"/>
      <c r="F618" s="89"/>
      <c r="G618" s="25" t="s">
        <v>49</v>
      </c>
      <c r="H618" s="7">
        <f>VLOOKUP(D618,A!B$1:L$1126,3,FALSE)</f>
        <v>0</v>
      </c>
      <c r="I618" s="31">
        <f>VLOOKUP(D618,A!B$1:L$1126,3,FALSE)</f>
        <v>0</v>
      </c>
      <c r="J618" s="92"/>
      <c r="K618" s="91" t="str">
        <f>VLOOKUP(D618,A!B$1:L$1126,6,FALSE)</f>
        <v/>
      </c>
      <c r="L618" s="162"/>
      <c r="M618" s="44" t="s">
        <v>703</v>
      </c>
      <c r="N618" s="94">
        <f>VLOOKUP(D618,A!B$1:L$1125,2,FALSE)</f>
        <v>0</v>
      </c>
      <c r="O618" s="94">
        <f>VLOOKUP(D618,A!B$1:L$1126,4,FALSE)</f>
        <v>0</v>
      </c>
      <c r="P618" s="10">
        <v>10</v>
      </c>
      <c r="Q618" s="10">
        <v>2.69</v>
      </c>
      <c r="R618" s="10">
        <f t="shared" si="93"/>
        <v>0</v>
      </c>
      <c r="S618" s="10">
        <f t="shared" si="94"/>
        <v>0</v>
      </c>
      <c r="T618" s="10" t="s">
        <v>48</v>
      </c>
      <c r="U618" s="145">
        <v>0.33</v>
      </c>
      <c r="V618" s="10" t="str">
        <f>VLOOKUP(D618,A!B$1:T$1125,16,FALSE)</f>
        <v/>
      </c>
      <c r="W618" s="10">
        <f t="shared" si="95"/>
        <v>0</v>
      </c>
      <c r="X618" s="29"/>
      <c r="Y618" s="29"/>
      <c r="Z618" s="29"/>
      <c r="AA618" s="29"/>
    </row>
    <row r="619" spans="1:111" s="3" customFormat="1" ht="13.5" hidden="1" customHeight="1" x14ac:dyDescent="0.25">
      <c r="A619" t="str">
        <f>IF(R619=0,"",COUNTIF(A$13:A618,"&gt;0")+1)</f>
        <v/>
      </c>
      <c r="B619" s="4"/>
      <c r="C619" s="5" t="s">
        <v>22</v>
      </c>
      <c r="D619" s="22" t="s">
        <v>259</v>
      </c>
      <c r="E619" s="89"/>
      <c r="F619" s="89"/>
      <c r="G619" s="25" t="s">
        <v>49</v>
      </c>
      <c r="H619" s="7">
        <f>VLOOKUP(D619,A!B$1:L$1126,3,FALSE)</f>
        <v>0</v>
      </c>
      <c r="I619" s="31">
        <f>VLOOKUP(D619,A!B$1:L$1126,3,FALSE)</f>
        <v>0</v>
      </c>
      <c r="J619" s="92"/>
      <c r="K619" s="91" t="str">
        <f>VLOOKUP(D619,A!B$1:L$1126,6,FALSE)</f>
        <v/>
      </c>
      <c r="L619" s="2"/>
      <c r="M619" s="42" t="s">
        <v>161</v>
      </c>
      <c r="N619" s="94">
        <f>VLOOKUP(D619,A!B$1:L$1125,2,FALSE)</f>
        <v>0</v>
      </c>
      <c r="O619" s="94">
        <f>VLOOKUP(D619,A!B$1:L$1126,4,FALSE)</f>
        <v>0</v>
      </c>
      <c r="P619" s="10">
        <v>10</v>
      </c>
      <c r="Q619" s="10">
        <v>2.69</v>
      </c>
      <c r="R619" s="10">
        <f t="shared" si="93"/>
        <v>0</v>
      </c>
      <c r="S619" s="10">
        <f t="shared" si="94"/>
        <v>0</v>
      </c>
      <c r="T619" s="10" t="s">
        <v>48</v>
      </c>
      <c r="U619" s="145">
        <v>0.33</v>
      </c>
      <c r="V619" s="10" t="str">
        <f>VLOOKUP(D619,A!B$1:T$1125,16,FALSE)</f>
        <v/>
      </c>
      <c r="W619" s="10">
        <f t="shared" si="95"/>
        <v>0</v>
      </c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</row>
    <row r="620" spans="1:111" s="3" customFormat="1" ht="13.5" hidden="1" customHeight="1" x14ac:dyDescent="0.25">
      <c r="A620" t="str">
        <f>IF(R620=0,"",COUNTIF(A$13:A619,"&gt;0")+1)</f>
        <v/>
      </c>
      <c r="B620" s="4"/>
      <c r="C620" s="5" t="s">
        <v>22</v>
      </c>
      <c r="D620" s="22" t="s">
        <v>704</v>
      </c>
      <c r="E620" s="89"/>
      <c r="F620" s="89"/>
      <c r="G620" s="25" t="s">
        <v>49</v>
      </c>
      <c r="H620" s="7">
        <f>VLOOKUP(D620,A!B$1:L$1126,3,FALSE)</f>
        <v>0</v>
      </c>
      <c r="I620" s="31">
        <f>VLOOKUP(D620,A!B$1:L$1126,3,FALSE)</f>
        <v>0</v>
      </c>
      <c r="J620" s="92"/>
      <c r="K620" s="91" t="str">
        <f>VLOOKUP(D620,A!B$1:L$1126,6,FALSE)</f>
        <v/>
      </c>
      <c r="L620" s="162"/>
      <c r="M620" s="42" t="s">
        <v>705</v>
      </c>
      <c r="N620" s="94">
        <f>VLOOKUP(D620,A!B$1:L$1125,2,FALSE)</f>
        <v>0</v>
      </c>
      <c r="O620" s="94">
        <f>VLOOKUP(D620,A!B$1:L$1126,4,FALSE)</f>
        <v>0</v>
      </c>
      <c r="P620" s="10">
        <v>10</v>
      </c>
      <c r="Q620" s="10">
        <v>2.69</v>
      </c>
      <c r="R620" s="10">
        <f t="shared" si="93"/>
        <v>0</v>
      </c>
      <c r="S620" s="10">
        <f t="shared" si="94"/>
        <v>0</v>
      </c>
      <c r="T620" s="10" t="s">
        <v>48</v>
      </c>
      <c r="U620" s="145">
        <v>0.33</v>
      </c>
      <c r="V620" s="10" t="str">
        <f>VLOOKUP(D620,A!B$1:T$1125,16,FALSE)</f>
        <v/>
      </c>
      <c r="W620" s="10">
        <f t="shared" si="95"/>
        <v>0</v>
      </c>
      <c r="X620" s="29"/>
      <c r="Y620" s="29"/>
      <c r="Z620" s="29"/>
      <c r="AA620" s="29"/>
    </row>
    <row r="621" spans="1:111" s="3" customFormat="1" ht="13.5" hidden="1" customHeight="1" x14ac:dyDescent="0.25">
      <c r="A621" t="str">
        <f>IF(R621=0,"",COUNTIF(A$13:A620,"&gt;0")+1)</f>
        <v/>
      </c>
      <c r="B621" s="4"/>
      <c r="C621" s="5" t="s">
        <v>22</v>
      </c>
      <c r="D621" s="22" t="s">
        <v>706</v>
      </c>
      <c r="E621" s="89"/>
      <c r="F621" s="89"/>
      <c r="G621" s="25" t="s">
        <v>49</v>
      </c>
      <c r="H621" s="7">
        <f>VLOOKUP(D621,A!B$1:L$1126,3,FALSE)</f>
        <v>0</v>
      </c>
      <c r="I621" s="31">
        <f>VLOOKUP(D621,A!B$1:L$1126,3,FALSE)</f>
        <v>0</v>
      </c>
      <c r="J621" s="92"/>
      <c r="K621" s="91" t="str">
        <f>VLOOKUP(D621,A!B$1:L$1126,6,FALSE)</f>
        <v/>
      </c>
      <c r="L621" s="162"/>
      <c r="M621" s="44" t="s">
        <v>707</v>
      </c>
      <c r="N621" s="94">
        <f>VLOOKUP(D621,A!B$1:L$1125,2,FALSE)</f>
        <v>0</v>
      </c>
      <c r="O621" s="94">
        <f>VLOOKUP(D621,A!B$1:L$1126,4,FALSE)</f>
        <v>0</v>
      </c>
      <c r="P621" s="10">
        <v>10</v>
      </c>
      <c r="Q621" s="10">
        <v>2.69</v>
      </c>
      <c r="R621" s="10">
        <f t="shared" si="93"/>
        <v>0</v>
      </c>
      <c r="S621" s="10">
        <f t="shared" si="94"/>
        <v>0</v>
      </c>
      <c r="T621" s="10" t="s">
        <v>48</v>
      </c>
      <c r="U621" s="145">
        <v>0.33</v>
      </c>
      <c r="V621" s="10" t="str">
        <f>VLOOKUP(D621,A!B$1:T$1125,16,FALSE)</f>
        <v/>
      </c>
      <c r="W621" s="10">
        <f t="shared" si="95"/>
        <v>0</v>
      </c>
      <c r="X621" s="29"/>
      <c r="Y621" s="29"/>
      <c r="Z621" s="29"/>
      <c r="AA621" s="29"/>
    </row>
    <row r="622" spans="1:111" s="3" customFormat="1" ht="13.5" customHeight="1" x14ac:dyDescent="0.25">
      <c r="A622" t="str">
        <f>IF(R622=0,"",COUNTIF(A$13:A621,"&gt;0")+1)</f>
        <v/>
      </c>
      <c r="B622" s="4"/>
      <c r="C622" s="5" t="s">
        <v>22</v>
      </c>
      <c r="D622" s="22" t="s">
        <v>1784</v>
      </c>
      <c r="E622" s="89"/>
      <c r="F622" s="89"/>
      <c r="G622" s="25" t="s">
        <v>49</v>
      </c>
      <c r="H622" s="7">
        <f>VLOOKUP(D622,A!B$1:L$1126,3,FALSE)</f>
        <v>2</v>
      </c>
      <c r="I622" s="31">
        <f>VLOOKUP(D622,A!B$1:L$1126,3,FALSE)</f>
        <v>2</v>
      </c>
      <c r="J622" s="92"/>
      <c r="K622" s="91" t="str">
        <f>VLOOKUP(D622,A!B$1:L$1126,6,FALSE)</f>
        <v/>
      </c>
      <c r="L622" s="162"/>
      <c r="M622" s="44" t="s">
        <v>1793</v>
      </c>
      <c r="N622" s="94" t="str">
        <f>VLOOKUP(D622,A!B$1:L$1125,2,FALSE)</f>
        <v>y</v>
      </c>
      <c r="O622" s="94">
        <f>VLOOKUP(D622,A!B$1:L$1126,4,FALSE)</f>
        <v>1</v>
      </c>
      <c r="P622" s="10">
        <v>10</v>
      </c>
      <c r="Q622" s="10">
        <v>2.69</v>
      </c>
      <c r="R622" s="10">
        <f t="shared" ref="R622" si="96">B622*P622</f>
        <v>0</v>
      </c>
      <c r="S622" s="10">
        <f t="shared" ref="S622" si="97">R622*Q622</f>
        <v>0</v>
      </c>
      <c r="T622" s="10" t="s">
        <v>48</v>
      </c>
      <c r="U622" s="145">
        <v>0.33</v>
      </c>
      <c r="V622" s="10">
        <f>VLOOKUP(D622,A!B$1:T$1125,16,FALSE)</f>
        <v>0</v>
      </c>
      <c r="W622" s="10">
        <f t="shared" ref="W622" si="98">U622*B622</f>
        <v>0</v>
      </c>
      <c r="X622" s="29"/>
      <c r="Y622" s="29"/>
      <c r="Z622" s="29"/>
      <c r="AA622" s="29"/>
    </row>
    <row r="623" spans="1:111" s="3" customFormat="1" ht="13.5" hidden="1" customHeight="1" x14ac:dyDescent="0.25">
      <c r="A623" t="str">
        <f>IF(R623=0,"",COUNTIF(A$13:A622,"&gt;0")+1)</f>
        <v/>
      </c>
      <c r="B623" s="4"/>
      <c r="C623" s="5" t="s">
        <v>22</v>
      </c>
      <c r="D623" s="7" t="s">
        <v>708</v>
      </c>
      <c r="E623" s="31"/>
      <c r="F623" s="31"/>
      <c r="G623" s="6" t="s">
        <v>49</v>
      </c>
      <c r="H623" s="7">
        <f>VLOOKUP(D623,A!B$1:L$1126,3,FALSE)</f>
        <v>0</v>
      </c>
      <c r="I623" s="31">
        <f>VLOOKUP(D623,A!B$1:L$1126,3,FALSE)</f>
        <v>0</v>
      </c>
      <c r="J623" s="92"/>
      <c r="K623" s="91" t="str">
        <f>VLOOKUP(D623,A!B$1:L$1126,6,FALSE)</f>
        <v/>
      </c>
      <c r="L623" s="162"/>
      <c r="M623" s="43" t="s">
        <v>709</v>
      </c>
      <c r="N623" s="94">
        <f>VLOOKUP(D623,A!B$1:L$1125,2,FALSE)</f>
        <v>0</v>
      </c>
      <c r="O623" s="94">
        <f>VLOOKUP(D623,A!B$1:L$1126,4,FALSE)</f>
        <v>0</v>
      </c>
      <c r="P623" s="10">
        <v>10</v>
      </c>
      <c r="Q623" s="10">
        <v>2.69</v>
      </c>
      <c r="R623" s="10">
        <f t="shared" si="93"/>
        <v>0</v>
      </c>
      <c r="S623" s="10">
        <f t="shared" si="94"/>
        <v>0</v>
      </c>
      <c r="T623" s="10" t="s">
        <v>48</v>
      </c>
      <c r="U623" s="145">
        <v>0.33</v>
      </c>
      <c r="V623" s="10" t="str">
        <f>VLOOKUP(D623,A!B$1:T$1125,16,FALSE)</f>
        <v/>
      </c>
      <c r="W623" s="10">
        <f t="shared" si="95"/>
        <v>0</v>
      </c>
      <c r="X623" s="29"/>
      <c r="Y623" s="29"/>
      <c r="Z623" s="29"/>
      <c r="AA623" s="29"/>
    </row>
    <row r="624" spans="1:111" s="3" customFormat="1" ht="13.5" hidden="1" customHeight="1" x14ac:dyDescent="0.25">
      <c r="A624" t="str">
        <f>IF(R624=0,"",COUNTIF(A$13:A623,"&gt;0")+1)</f>
        <v/>
      </c>
      <c r="B624" s="4"/>
      <c r="C624" s="5" t="s">
        <v>22</v>
      </c>
      <c r="D624" s="22" t="s">
        <v>710</v>
      </c>
      <c r="E624" s="89"/>
      <c r="F624" s="89"/>
      <c r="G624" s="25" t="s">
        <v>49</v>
      </c>
      <c r="H624" s="7">
        <f>VLOOKUP(D624,A!B$1:L$1126,3,FALSE)</f>
        <v>0</v>
      </c>
      <c r="I624" s="31">
        <f>VLOOKUP(D624,A!B$1:L$1126,3,FALSE)</f>
        <v>0</v>
      </c>
      <c r="J624" s="92"/>
      <c r="K624" s="91" t="str">
        <f>VLOOKUP(D624,A!B$1:L$1126,6,FALSE)</f>
        <v/>
      </c>
      <c r="L624" s="162"/>
      <c r="M624" s="44" t="s">
        <v>711</v>
      </c>
      <c r="N624" s="94">
        <f>VLOOKUP(D624,A!B$1:L$1125,2,FALSE)</f>
        <v>0</v>
      </c>
      <c r="O624" s="94">
        <f>VLOOKUP(D624,A!B$1:L$1126,4,FALSE)</f>
        <v>0</v>
      </c>
      <c r="P624" s="10">
        <v>10</v>
      </c>
      <c r="Q624" s="10">
        <v>2.69</v>
      </c>
      <c r="R624" s="10">
        <f t="shared" si="93"/>
        <v>0</v>
      </c>
      <c r="S624" s="10">
        <f t="shared" si="94"/>
        <v>0</v>
      </c>
      <c r="T624" s="10" t="s">
        <v>48</v>
      </c>
      <c r="U624" s="145">
        <v>0.33</v>
      </c>
      <c r="V624" s="10" t="str">
        <f>VLOOKUP(D624,A!B$1:T$1125,16,FALSE)</f>
        <v/>
      </c>
      <c r="W624" s="10">
        <f t="shared" si="95"/>
        <v>0</v>
      </c>
      <c r="X624" s="29"/>
      <c r="Y624" s="29"/>
      <c r="Z624" s="29"/>
      <c r="AA624" s="29"/>
    </row>
    <row r="625" spans="1:111" s="3" customFormat="1" ht="13.5" hidden="1" customHeight="1" x14ac:dyDescent="0.25">
      <c r="A625" t="str">
        <f>IF(R625=0,"",COUNTIF(A$13:A624,"&gt;0")+1)</f>
        <v/>
      </c>
      <c r="B625" s="4"/>
      <c r="C625" s="5" t="s">
        <v>22</v>
      </c>
      <c r="D625" s="7" t="s">
        <v>712</v>
      </c>
      <c r="E625" s="31"/>
      <c r="F625" s="31"/>
      <c r="G625" s="6" t="s">
        <v>49</v>
      </c>
      <c r="H625" s="7">
        <f>VLOOKUP(D625,A!B$1:L$1126,3,FALSE)</f>
        <v>0</v>
      </c>
      <c r="I625" s="31">
        <f>VLOOKUP(D625,A!B$1:L$1126,3,FALSE)</f>
        <v>0</v>
      </c>
      <c r="J625" s="92"/>
      <c r="K625" s="91" t="str">
        <f>VLOOKUP(D625,A!B$1:L$1126,6,FALSE)</f>
        <v/>
      </c>
      <c r="L625" s="162"/>
      <c r="M625" s="43" t="s">
        <v>713</v>
      </c>
      <c r="N625" s="94">
        <f>VLOOKUP(D625,A!B$1:L$1125,2,FALSE)</f>
        <v>0</v>
      </c>
      <c r="O625" s="94">
        <f>VLOOKUP(D625,A!B$1:L$1126,4,FALSE)</f>
        <v>0</v>
      </c>
      <c r="P625" s="10">
        <v>10</v>
      </c>
      <c r="Q625" s="10">
        <v>2.69</v>
      </c>
      <c r="R625" s="10">
        <f t="shared" si="93"/>
        <v>0</v>
      </c>
      <c r="S625" s="10">
        <f t="shared" si="94"/>
        <v>0</v>
      </c>
      <c r="T625" s="10" t="s">
        <v>48</v>
      </c>
      <c r="U625" s="145">
        <v>0.33</v>
      </c>
      <c r="V625" s="10" t="str">
        <f>VLOOKUP(D625,A!B$1:T$1125,16,FALSE)</f>
        <v/>
      </c>
      <c r="W625" s="10">
        <f t="shared" si="95"/>
        <v>0</v>
      </c>
      <c r="X625" s="29"/>
      <c r="Y625" s="29"/>
      <c r="Z625" s="29"/>
      <c r="AA625" s="29"/>
    </row>
    <row r="626" spans="1:111" s="3" customFormat="1" ht="13.5" hidden="1" customHeight="1" x14ac:dyDescent="0.25">
      <c r="A626" t="str">
        <f>IF(R626=0,"",COUNTIF(A$13:A625,"&gt;0")+1)</f>
        <v/>
      </c>
      <c r="B626" s="4"/>
      <c r="C626" s="5" t="s">
        <v>22</v>
      </c>
      <c r="D626" s="7" t="s">
        <v>714</v>
      </c>
      <c r="E626" s="31"/>
      <c r="F626" s="31"/>
      <c r="G626" s="6" t="s">
        <v>49</v>
      </c>
      <c r="H626" s="7">
        <f>VLOOKUP(D626,A!B$1:L$1126,3,FALSE)</f>
        <v>0</v>
      </c>
      <c r="I626" s="31">
        <f>VLOOKUP(D626,A!B$1:L$1126,3,FALSE)</f>
        <v>0</v>
      </c>
      <c r="J626" s="92"/>
      <c r="K626" s="91" t="str">
        <f>VLOOKUP(D626,A!B$1:L$1126,6,FALSE)</f>
        <v/>
      </c>
      <c r="L626" s="162"/>
      <c r="M626" s="43" t="s">
        <v>715</v>
      </c>
      <c r="N626" s="94">
        <f>VLOOKUP(D626,A!B$1:L$1125,2,FALSE)</f>
        <v>0</v>
      </c>
      <c r="O626" s="94">
        <f>VLOOKUP(D626,A!B$1:L$1126,4,FALSE)</f>
        <v>0</v>
      </c>
      <c r="P626" s="10">
        <v>10</v>
      </c>
      <c r="Q626" s="10">
        <v>2.69</v>
      </c>
      <c r="R626" s="10">
        <f t="shared" si="93"/>
        <v>0</v>
      </c>
      <c r="S626" s="10">
        <f t="shared" si="94"/>
        <v>0</v>
      </c>
      <c r="T626" s="10" t="s">
        <v>48</v>
      </c>
      <c r="U626" s="145">
        <v>0.33</v>
      </c>
      <c r="V626" s="10" t="str">
        <f>VLOOKUP(D626,A!B$1:T$1125,16,FALSE)</f>
        <v/>
      </c>
      <c r="W626" s="10">
        <f t="shared" si="95"/>
        <v>0</v>
      </c>
      <c r="X626" s="29"/>
      <c r="Y626" s="29"/>
      <c r="Z626" s="29"/>
      <c r="AA626" s="29"/>
    </row>
    <row r="627" spans="1:111" s="3" customFormat="1" ht="13.5" hidden="1" customHeight="1" x14ac:dyDescent="0.25">
      <c r="A627" t="str">
        <f>IF(R627=0,"",COUNTIF(A$13:A626,"&gt;0")+1)</f>
        <v/>
      </c>
      <c r="B627" s="4"/>
      <c r="C627" s="5" t="s">
        <v>22</v>
      </c>
      <c r="D627" s="7" t="s">
        <v>716</v>
      </c>
      <c r="E627" s="31"/>
      <c r="F627" s="31"/>
      <c r="G627" s="6" t="s">
        <v>49</v>
      </c>
      <c r="H627" s="7">
        <f>VLOOKUP(D627,A!B$1:L$1126,3,FALSE)</f>
        <v>0</v>
      </c>
      <c r="I627" s="31">
        <f>VLOOKUP(D627,A!B$1:L$1126,3,FALSE)</f>
        <v>0</v>
      </c>
      <c r="J627" s="92"/>
      <c r="K627" s="91" t="str">
        <f>VLOOKUP(D627,A!B$1:L$1126,6,FALSE)</f>
        <v/>
      </c>
      <c r="L627" s="162"/>
      <c r="M627" s="43" t="s">
        <v>260</v>
      </c>
      <c r="N627" s="94">
        <f>VLOOKUP(D627,A!B$1:L$1125,2,FALSE)</f>
        <v>0</v>
      </c>
      <c r="O627" s="94">
        <f>VLOOKUP(D627,A!B$1:L$1126,4,FALSE)</f>
        <v>0</v>
      </c>
      <c r="P627" s="10">
        <v>10</v>
      </c>
      <c r="Q627" s="10">
        <v>2.69</v>
      </c>
      <c r="R627" s="10">
        <f t="shared" si="93"/>
        <v>0</v>
      </c>
      <c r="S627" s="10">
        <f t="shared" si="94"/>
        <v>0</v>
      </c>
      <c r="T627" s="10" t="s">
        <v>48</v>
      </c>
      <c r="U627" s="145">
        <v>0.33</v>
      </c>
      <c r="V627" s="10" t="str">
        <f>VLOOKUP(D627,A!B$1:T$1125,16,FALSE)</f>
        <v/>
      </c>
      <c r="W627" s="10">
        <f t="shared" si="95"/>
        <v>0</v>
      </c>
      <c r="X627" s="29"/>
      <c r="Y627" s="29"/>
      <c r="Z627" s="29"/>
      <c r="AA627" s="29"/>
    </row>
    <row r="628" spans="1:111" s="3" customFormat="1" ht="13.5" customHeight="1" x14ac:dyDescent="0.25">
      <c r="A628" t="str">
        <f>IF(R628=0,"",COUNTIF(A$13:A627,"&gt;0")+1)</f>
        <v/>
      </c>
      <c r="B628" s="4"/>
      <c r="C628" s="5" t="s">
        <v>22</v>
      </c>
      <c r="D628" s="7" t="s">
        <v>717</v>
      </c>
      <c r="E628" s="31"/>
      <c r="F628" s="31"/>
      <c r="G628" s="6" t="s">
        <v>49</v>
      </c>
      <c r="H628" s="7">
        <f>VLOOKUP(D628,A!B$1:L$1126,3,FALSE)</f>
        <v>1</v>
      </c>
      <c r="I628" s="31">
        <f>VLOOKUP(D628,A!B$1:L$1126,3,FALSE)</f>
        <v>1</v>
      </c>
      <c r="J628" s="92"/>
      <c r="K628" s="91" t="str">
        <f>VLOOKUP(D628,A!B$1:L$1126,6,FALSE)</f>
        <v/>
      </c>
      <c r="L628" s="162"/>
      <c r="M628" s="43" t="s">
        <v>718</v>
      </c>
      <c r="N628" s="94" t="str">
        <f>VLOOKUP(D628,A!B$1:L$1125,2,FALSE)</f>
        <v>y</v>
      </c>
      <c r="O628" s="94">
        <f>VLOOKUP(D628,A!B$1:L$1126,4,FALSE)</f>
        <v>0</v>
      </c>
      <c r="P628" s="10">
        <v>10</v>
      </c>
      <c r="Q628" s="10">
        <v>2.69</v>
      </c>
      <c r="R628" s="10">
        <f t="shared" si="93"/>
        <v>0</v>
      </c>
      <c r="S628" s="10">
        <f t="shared" si="94"/>
        <v>0</v>
      </c>
      <c r="T628" s="10" t="s">
        <v>48</v>
      </c>
      <c r="U628" s="145">
        <v>0.33</v>
      </c>
      <c r="V628" s="10" t="str">
        <f>VLOOKUP(D628,A!B$1:T$1125,16,FALSE)</f>
        <v/>
      </c>
      <c r="W628" s="10">
        <f t="shared" si="95"/>
        <v>0</v>
      </c>
      <c r="X628" s="29"/>
      <c r="Y628" s="29"/>
      <c r="Z628" s="29"/>
      <c r="AA628" s="29"/>
    </row>
    <row r="629" spans="1:111" s="3" customFormat="1" ht="13.5" hidden="1" customHeight="1" x14ac:dyDescent="0.25">
      <c r="A629" t="str">
        <f>IF(R629=0,"",COUNTIF(A$13:A628,"&gt;0")+1)</f>
        <v/>
      </c>
      <c r="B629" s="4"/>
      <c r="C629" s="5" t="s">
        <v>22</v>
      </c>
      <c r="D629" s="7" t="s">
        <v>719</v>
      </c>
      <c r="E629" s="31"/>
      <c r="F629" s="31"/>
      <c r="G629" s="6" t="s">
        <v>49</v>
      </c>
      <c r="H629" s="7">
        <f>VLOOKUP(D629,A!B$1:L$1126,3,FALSE)</f>
        <v>0</v>
      </c>
      <c r="I629" s="31">
        <f>VLOOKUP(D629,A!B$1:L$1126,3,FALSE)</f>
        <v>0</v>
      </c>
      <c r="J629" s="92"/>
      <c r="K629" s="91" t="str">
        <f>VLOOKUP(D629,A!B$1:L$1126,6,FALSE)</f>
        <v/>
      </c>
      <c r="L629" s="162"/>
      <c r="M629" s="43" t="s">
        <v>720</v>
      </c>
      <c r="N629" s="94">
        <f>VLOOKUP(D629,A!B$1:L$1125,2,FALSE)</f>
        <v>0</v>
      </c>
      <c r="O629" s="94">
        <f>VLOOKUP(D629,A!B$1:L$1126,4,FALSE)</f>
        <v>0</v>
      </c>
      <c r="P629" s="10">
        <v>10</v>
      </c>
      <c r="Q629" s="10">
        <v>2.69</v>
      </c>
      <c r="R629" s="10">
        <f t="shared" si="93"/>
        <v>0</v>
      </c>
      <c r="S629" s="10">
        <f t="shared" si="94"/>
        <v>0</v>
      </c>
      <c r="T629" s="10" t="s">
        <v>48</v>
      </c>
      <c r="U629" s="145">
        <v>0.33</v>
      </c>
      <c r="V629" s="10" t="str">
        <f>VLOOKUP(D629,A!B$1:T$1125,16,FALSE)</f>
        <v/>
      </c>
      <c r="W629" s="10">
        <f t="shared" si="95"/>
        <v>0</v>
      </c>
      <c r="X629" s="29"/>
      <c r="Y629" s="29"/>
      <c r="Z629" s="29"/>
      <c r="AA629" s="29"/>
    </row>
    <row r="630" spans="1:111" s="3" customFormat="1" ht="13.5" customHeight="1" x14ac:dyDescent="0.25">
      <c r="A630" t="str">
        <f>IF(R630=0,"",COUNTIF(A$13:A629,"&gt;0")+1)</f>
        <v/>
      </c>
      <c r="B630" s="4"/>
      <c r="C630" s="5" t="s">
        <v>22</v>
      </c>
      <c r="D630" s="7" t="s">
        <v>207</v>
      </c>
      <c r="E630" s="31"/>
      <c r="F630" s="31"/>
      <c r="G630" s="6" t="s">
        <v>49</v>
      </c>
      <c r="H630" s="7">
        <f>VLOOKUP(D630,A!B$1:L$1126,3,FALSE)</f>
        <v>2</v>
      </c>
      <c r="I630" s="31">
        <f>VLOOKUP(D630,A!B$1:L$1126,3,FALSE)</f>
        <v>2</v>
      </c>
      <c r="J630" s="92"/>
      <c r="K630" s="91" t="str">
        <f>VLOOKUP(D630,A!B$1:L$1126,6,FALSE)</f>
        <v/>
      </c>
      <c r="L630" s="2"/>
      <c r="M630" s="43" t="s">
        <v>208</v>
      </c>
      <c r="N630" s="94" t="str">
        <f>VLOOKUP(D630,A!B$1:L$1125,2,FALSE)</f>
        <v>y</v>
      </c>
      <c r="O630" s="94">
        <f>VLOOKUP(D630,A!B$1:L$1126,4,FALSE)</f>
        <v>0</v>
      </c>
      <c r="P630" s="10">
        <v>10</v>
      </c>
      <c r="Q630" s="10">
        <v>2.69</v>
      </c>
      <c r="R630" s="10">
        <f t="shared" si="93"/>
        <v>0</v>
      </c>
      <c r="S630" s="10">
        <f t="shared" si="94"/>
        <v>0</v>
      </c>
      <c r="T630" s="10" t="s">
        <v>48</v>
      </c>
      <c r="U630" s="145">
        <v>0.33</v>
      </c>
      <c r="V630" s="10" t="str">
        <f>VLOOKUP(D630,A!B$1:T$1125,16,FALSE)</f>
        <v/>
      </c>
      <c r="W630" s="10">
        <f t="shared" si="95"/>
        <v>0</v>
      </c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</row>
    <row r="631" spans="1:111" s="3" customFormat="1" ht="13.5" hidden="1" customHeight="1" x14ac:dyDescent="0.25">
      <c r="A631" t="str">
        <f>IF(R631=0,"",COUNTIF(A$13:A630,"&gt;0")+1)</f>
        <v/>
      </c>
      <c r="B631" s="4"/>
      <c r="C631" s="5" t="s">
        <v>22</v>
      </c>
      <c r="D631" s="7" t="s">
        <v>261</v>
      </c>
      <c r="E631" s="31"/>
      <c r="F631" s="31"/>
      <c r="G631" s="6" t="s">
        <v>49</v>
      </c>
      <c r="H631" s="7">
        <f>VLOOKUP(D631,A!B$1:L$1126,3,FALSE)</f>
        <v>0</v>
      </c>
      <c r="I631" s="31">
        <f>VLOOKUP(D631,A!B$1:L$1126,3,FALSE)</f>
        <v>0</v>
      </c>
      <c r="J631" s="92"/>
      <c r="K631" s="91" t="str">
        <f>VLOOKUP(D631,A!B$1:L$1126,6,FALSE)</f>
        <v/>
      </c>
      <c r="L631" s="2"/>
      <c r="M631" s="42" t="s">
        <v>262</v>
      </c>
      <c r="N631" s="94">
        <f>VLOOKUP(D631,A!B$1:L$1125,2,FALSE)</f>
        <v>0</v>
      </c>
      <c r="O631" s="94">
        <f>VLOOKUP(D631,A!B$1:L$1126,4,FALSE)</f>
        <v>0</v>
      </c>
      <c r="P631" s="10">
        <v>10</v>
      </c>
      <c r="Q631" s="10">
        <v>2.69</v>
      </c>
      <c r="R631" s="10">
        <f>B631*P631</f>
        <v>0</v>
      </c>
      <c r="S631" s="10">
        <f>R631*Q631</f>
        <v>0</v>
      </c>
      <c r="T631" s="10" t="s">
        <v>48</v>
      </c>
      <c r="U631" s="145">
        <v>0.33</v>
      </c>
      <c r="V631" s="10" t="str">
        <f>VLOOKUP(D631,A!B$1:T$1125,16,FALSE)</f>
        <v/>
      </c>
      <c r="W631" s="10">
        <f>U631*B631</f>
        <v>0</v>
      </c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</row>
    <row r="632" spans="1:111" s="3" customFormat="1" ht="13.5" hidden="1" customHeight="1" x14ac:dyDescent="0.25">
      <c r="A632" t="str">
        <f>IF(R632=0,"",COUNTIF(A$13:A631,"&gt;0")+1)</f>
        <v/>
      </c>
      <c r="B632" s="4"/>
      <c r="C632" s="5" t="s">
        <v>22</v>
      </c>
      <c r="D632" s="7" t="s">
        <v>722</v>
      </c>
      <c r="E632" s="31"/>
      <c r="F632" s="31"/>
      <c r="G632" s="6" t="s">
        <v>49</v>
      </c>
      <c r="H632" s="7">
        <f>VLOOKUP(D632,A!B$1:L$1126,3,FALSE)</f>
        <v>0</v>
      </c>
      <c r="I632" s="31">
        <f>VLOOKUP(D632,A!B$1:L$1126,3,FALSE)</f>
        <v>0</v>
      </c>
      <c r="J632" s="92"/>
      <c r="K632" s="91" t="str">
        <f>VLOOKUP(D632,A!B$1:L$1126,6,FALSE)</f>
        <v/>
      </c>
      <c r="L632" s="162"/>
      <c r="M632" s="43" t="s">
        <v>155</v>
      </c>
      <c r="N632" s="94">
        <f>VLOOKUP(D632,A!B$1:L$1125,2,FALSE)</f>
        <v>0</v>
      </c>
      <c r="O632" s="94">
        <f>VLOOKUP(D632,A!B$1:L$1126,4,FALSE)</f>
        <v>0</v>
      </c>
      <c r="P632" s="10">
        <v>10</v>
      </c>
      <c r="Q632" s="10">
        <v>2.69</v>
      </c>
      <c r="R632" s="10">
        <f t="shared" ref="R632:R665" si="99">B632*P632</f>
        <v>0</v>
      </c>
      <c r="S632" s="10">
        <f t="shared" ref="S632:S665" si="100">R632*Q632</f>
        <v>0</v>
      </c>
      <c r="T632" s="10" t="s">
        <v>48</v>
      </c>
      <c r="U632" s="145">
        <v>0.33</v>
      </c>
      <c r="V632" s="10" t="str">
        <f>VLOOKUP(D632,A!B$1:T$1125,16,FALSE)</f>
        <v/>
      </c>
      <c r="W632" s="10">
        <f t="shared" ref="W632:W665" si="101">U632*B632</f>
        <v>0</v>
      </c>
      <c r="X632" s="29"/>
      <c r="Y632" s="29"/>
      <c r="Z632" s="29"/>
      <c r="AA632" s="29"/>
    </row>
    <row r="633" spans="1:111" s="3" customFormat="1" ht="13.5" hidden="1" customHeight="1" x14ac:dyDescent="0.25">
      <c r="A633" t="str">
        <f>IF(R633=0,"",COUNTIF(A$13:A632,"&gt;0")+1)</f>
        <v/>
      </c>
      <c r="B633" s="4"/>
      <c r="C633" s="5" t="s">
        <v>22</v>
      </c>
      <c r="D633" s="7" t="s">
        <v>723</v>
      </c>
      <c r="E633" s="31"/>
      <c r="F633" s="31"/>
      <c r="G633" s="6" t="s">
        <v>49</v>
      </c>
      <c r="H633" s="7">
        <f>VLOOKUP(D633,A!B$1:L$1126,3,FALSE)</f>
        <v>0</v>
      </c>
      <c r="I633" s="31">
        <f>VLOOKUP(D633,A!B$1:L$1126,3,FALSE)</f>
        <v>0</v>
      </c>
      <c r="J633" s="92"/>
      <c r="K633" s="91" t="str">
        <f>VLOOKUP(D633,A!B$1:L$1126,6,FALSE)</f>
        <v/>
      </c>
      <c r="L633" s="162"/>
      <c r="M633" s="43" t="s">
        <v>724</v>
      </c>
      <c r="N633" s="94">
        <f>VLOOKUP(D633,A!B$1:L$1125,2,FALSE)</f>
        <v>0</v>
      </c>
      <c r="O633" s="94">
        <f>VLOOKUP(D633,A!B$1:L$1126,4,FALSE)</f>
        <v>0</v>
      </c>
      <c r="P633" s="10">
        <v>10</v>
      </c>
      <c r="Q633" s="10">
        <v>2.69</v>
      </c>
      <c r="R633" s="10">
        <f t="shared" si="99"/>
        <v>0</v>
      </c>
      <c r="S633" s="10">
        <f t="shared" si="100"/>
        <v>0</v>
      </c>
      <c r="T633" s="10" t="s">
        <v>48</v>
      </c>
      <c r="U633" s="145">
        <v>0.33</v>
      </c>
      <c r="V633" s="10" t="str">
        <f>VLOOKUP(D633,A!B$1:T$1125,16,FALSE)</f>
        <v/>
      </c>
      <c r="W633" s="10">
        <f t="shared" si="101"/>
        <v>0</v>
      </c>
      <c r="X633" s="29"/>
      <c r="Y633" s="29"/>
      <c r="Z633" s="29"/>
      <c r="AA633" s="29"/>
    </row>
    <row r="634" spans="1:111" s="3" customFormat="1" ht="13.5" hidden="1" customHeight="1" x14ac:dyDescent="0.25">
      <c r="A634" t="str">
        <f>IF(R634=0,"",COUNTIF(A$13:A633,"&gt;0")+1)</f>
        <v/>
      </c>
      <c r="B634" s="4"/>
      <c r="C634" s="5" t="s">
        <v>22</v>
      </c>
      <c r="D634" s="7" t="s">
        <v>153</v>
      </c>
      <c r="E634" s="31"/>
      <c r="F634" s="31"/>
      <c r="G634" s="6" t="s">
        <v>49</v>
      </c>
      <c r="H634" s="7">
        <f>VLOOKUP(D634,A!B$1:L$1126,3,FALSE)</f>
        <v>0</v>
      </c>
      <c r="I634" s="31">
        <f>VLOOKUP(D634,A!B$1:L$1126,3,FALSE)</f>
        <v>0</v>
      </c>
      <c r="J634" s="92"/>
      <c r="K634" s="91" t="str">
        <f>VLOOKUP(D634,A!B$1:L$1126,6,FALSE)</f>
        <v/>
      </c>
      <c r="L634" s="162"/>
      <c r="M634" s="43" t="s">
        <v>154</v>
      </c>
      <c r="N634" s="94">
        <f>VLOOKUP(D634,A!B$1:L$1125,2,FALSE)</f>
        <v>0</v>
      </c>
      <c r="O634" s="94">
        <f>VLOOKUP(D634,A!B$1:L$1126,4,FALSE)</f>
        <v>0</v>
      </c>
      <c r="P634" s="10">
        <v>10</v>
      </c>
      <c r="Q634" s="10">
        <v>2.69</v>
      </c>
      <c r="R634" s="10">
        <f t="shared" si="99"/>
        <v>0</v>
      </c>
      <c r="S634" s="10">
        <f t="shared" si="100"/>
        <v>0</v>
      </c>
      <c r="T634" s="10" t="s">
        <v>48</v>
      </c>
      <c r="U634" s="145">
        <v>0.33</v>
      </c>
      <c r="V634" s="10" t="str">
        <f>VLOOKUP(D634,A!B$1:T$1125,16,FALSE)</f>
        <v/>
      </c>
      <c r="W634" s="10">
        <f t="shared" si="101"/>
        <v>0</v>
      </c>
      <c r="X634" s="29"/>
      <c r="Y634" s="29"/>
      <c r="Z634" s="29"/>
      <c r="AA634" s="29"/>
    </row>
    <row r="635" spans="1:111" s="3" customFormat="1" ht="13.5" hidden="1" customHeight="1" x14ac:dyDescent="0.25">
      <c r="A635" t="str">
        <f>IF(R635=0,"",COUNTIF(A$13:A634,"&gt;0")+1)</f>
        <v/>
      </c>
      <c r="B635" s="4"/>
      <c r="C635" s="5" t="s">
        <v>22</v>
      </c>
      <c r="D635" s="7" t="s">
        <v>273</v>
      </c>
      <c r="E635" s="31"/>
      <c r="F635" s="31"/>
      <c r="G635" s="6" t="s">
        <v>49</v>
      </c>
      <c r="H635" s="7">
        <f>VLOOKUP(D635,A!B$1:L$1126,3,FALSE)</f>
        <v>0</v>
      </c>
      <c r="I635" s="31">
        <f>VLOOKUP(D635,A!B$1:L$1126,3,FALSE)</f>
        <v>0</v>
      </c>
      <c r="J635" s="92"/>
      <c r="K635" s="91" t="str">
        <f>VLOOKUP(D635,A!B$1:L$1126,6,FALSE)</f>
        <v/>
      </c>
      <c r="L635" s="2"/>
      <c r="M635" s="43" t="s">
        <v>260</v>
      </c>
      <c r="N635" s="94">
        <f>VLOOKUP(D635,A!B$1:L$1125,2,FALSE)</f>
        <v>0</v>
      </c>
      <c r="O635" s="94">
        <f>VLOOKUP(D635,A!B$1:L$1126,4,FALSE)</f>
        <v>0</v>
      </c>
      <c r="P635" s="10">
        <v>10</v>
      </c>
      <c r="Q635" s="10">
        <v>2.69</v>
      </c>
      <c r="R635" s="10">
        <f t="shared" si="99"/>
        <v>0</v>
      </c>
      <c r="S635" s="10">
        <f t="shared" si="100"/>
        <v>0</v>
      </c>
      <c r="T635" s="10" t="s">
        <v>48</v>
      </c>
      <c r="U635" s="145">
        <v>0.33</v>
      </c>
      <c r="V635" s="10" t="str">
        <f>VLOOKUP(D635,A!B$1:T$1125,16,FALSE)</f>
        <v/>
      </c>
      <c r="W635" s="10">
        <f t="shared" si="101"/>
        <v>0</v>
      </c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</row>
    <row r="636" spans="1:111" s="3" customFormat="1" ht="13.5" hidden="1" customHeight="1" x14ac:dyDescent="0.25">
      <c r="A636" t="str">
        <f>IF(R636=0,"",COUNTIF(A$13:A635,"&gt;0")+1)</f>
        <v/>
      </c>
      <c r="B636" s="4"/>
      <c r="C636" s="5" t="s">
        <v>22</v>
      </c>
      <c r="D636" s="7" t="s">
        <v>726</v>
      </c>
      <c r="E636" s="31"/>
      <c r="F636" s="31"/>
      <c r="G636" s="6" t="s">
        <v>49</v>
      </c>
      <c r="H636" s="7">
        <f>VLOOKUP(D636,A!B$1:L$1126,3,FALSE)</f>
        <v>0</v>
      </c>
      <c r="I636" s="31">
        <f>VLOOKUP(D636,A!B$1:L$1126,3,FALSE)</f>
        <v>0</v>
      </c>
      <c r="J636" s="92"/>
      <c r="K636" s="91" t="str">
        <f>VLOOKUP(D636,A!B$1:L$1126,6,FALSE)</f>
        <v/>
      </c>
      <c r="L636" s="162"/>
      <c r="M636" s="43" t="s">
        <v>727</v>
      </c>
      <c r="N636" s="94">
        <f>VLOOKUP(D636,A!B$1:L$1125,2,FALSE)</f>
        <v>0</v>
      </c>
      <c r="O636" s="94">
        <f>VLOOKUP(D636,A!B$1:L$1126,4,FALSE)</f>
        <v>0</v>
      </c>
      <c r="P636" s="10">
        <v>10</v>
      </c>
      <c r="Q636" s="10">
        <v>2.69</v>
      </c>
      <c r="R636" s="10">
        <f t="shared" si="99"/>
        <v>0</v>
      </c>
      <c r="S636" s="10">
        <f t="shared" si="100"/>
        <v>0</v>
      </c>
      <c r="T636" s="10" t="s">
        <v>48</v>
      </c>
      <c r="U636" s="145">
        <v>0.33</v>
      </c>
      <c r="V636" s="10" t="str">
        <f>VLOOKUP(D636,A!B$1:T$1125,16,FALSE)</f>
        <v/>
      </c>
      <c r="W636" s="10">
        <f t="shared" si="101"/>
        <v>0</v>
      </c>
      <c r="X636" s="29"/>
      <c r="Y636" s="29"/>
      <c r="Z636" s="29"/>
      <c r="AA636" s="29"/>
    </row>
    <row r="637" spans="1:111" s="3" customFormat="1" ht="13.5" hidden="1" customHeight="1" x14ac:dyDescent="0.25">
      <c r="A637" t="str">
        <f>IF(R637=0,"",COUNTIF(A$13:A636,"&gt;0")+1)</f>
        <v/>
      </c>
      <c r="B637" s="4"/>
      <c r="C637" s="5" t="s">
        <v>22</v>
      </c>
      <c r="D637" s="7" t="s">
        <v>156</v>
      </c>
      <c r="E637" s="31"/>
      <c r="F637" s="31"/>
      <c r="G637" s="6" t="s">
        <v>49</v>
      </c>
      <c r="H637" s="7">
        <f>VLOOKUP(D637,A!B$1:L$1126,3,FALSE)</f>
        <v>0</v>
      </c>
      <c r="I637" s="31">
        <f>VLOOKUP(D637,A!B$1:L$1126,3,FALSE)</f>
        <v>0</v>
      </c>
      <c r="J637" s="92"/>
      <c r="K637" s="91" t="str">
        <f>VLOOKUP(D637,A!B$1:L$1126,6,FALSE)</f>
        <v/>
      </c>
      <c r="L637" s="162"/>
      <c r="M637" s="43" t="s">
        <v>728</v>
      </c>
      <c r="N637" s="94">
        <f>VLOOKUP(D637,A!B$1:L$1125,2,FALSE)</f>
        <v>0</v>
      </c>
      <c r="O637" s="94">
        <f>VLOOKUP(D637,A!B$1:L$1126,4,FALSE)</f>
        <v>0</v>
      </c>
      <c r="P637" s="10">
        <v>10</v>
      </c>
      <c r="Q637" s="10">
        <v>2.69</v>
      </c>
      <c r="R637" s="10">
        <f t="shared" si="99"/>
        <v>0</v>
      </c>
      <c r="S637" s="10">
        <f t="shared" si="100"/>
        <v>0</v>
      </c>
      <c r="T637" s="10" t="s">
        <v>48</v>
      </c>
      <c r="U637" s="145">
        <v>0.33</v>
      </c>
      <c r="V637" s="10" t="str">
        <f>VLOOKUP(D637,A!B$1:T$1125,16,FALSE)</f>
        <v/>
      </c>
      <c r="W637" s="10">
        <f t="shared" si="101"/>
        <v>0</v>
      </c>
      <c r="X637" s="29"/>
      <c r="Y637" s="29"/>
      <c r="Z637" s="29"/>
      <c r="AA637" s="29"/>
    </row>
    <row r="638" spans="1:111" s="3" customFormat="1" ht="13.5" hidden="1" customHeight="1" x14ac:dyDescent="0.25">
      <c r="A638" t="str">
        <f>IF(R638=0,"",COUNTIF(A$13:A637,"&gt;0")+1)</f>
        <v/>
      </c>
      <c r="B638" s="4"/>
      <c r="C638" s="5" t="s">
        <v>22</v>
      </c>
      <c r="D638" s="7" t="s">
        <v>729</v>
      </c>
      <c r="E638" s="31"/>
      <c r="F638" s="31"/>
      <c r="G638" s="6" t="s">
        <v>49</v>
      </c>
      <c r="H638" s="7">
        <f>VLOOKUP(D638,A!B$1:L$1126,3,FALSE)</f>
        <v>0</v>
      </c>
      <c r="I638" s="31">
        <f>VLOOKUP(D638,A!B$1:L$1126,3,FALSE)</f>
        <v>0</v>
      </c>
      <c r="J638" s="92"/>
      <c r="K638" s="91" t="str">
        <f>VLOOKUP(D638,A!B$1:L$1126,6,FALSE)</f>
        <v/>
      </c>
      <c r="L638" s="162"/>
      <c r="M638" s="43" t="s">
        <v>730</v>
      </c>
      <c r="N638" s="94">
        <f>VLOOKUP(D638,A!B$1:L$1125,2,FALSE)</f>
        <v>0</v>
      </c>
      <c r="O638" s="94">
        <f>VLOOKUP(D638,A!B$1:L$1126,4,FALSE)</f>
        <v>0</v>
      </c>
      <c r="P638" s="10">
        <v>10</v>
      </c>
      <c r="Q638" s="10">
        <v>2.69</v>
      </c>
      <c r="R638" s="10">
        <f t="shared" si="99"/>
        <v>0</v>
      </c>
      <c r="S638" s="10">
        <f t="shared" si="100"/>
        <v>0</v>
      </c>
      <c r="T638" s="10" t="s">
        <v>48</v>
      </c>
      <c r="U638" s="145">
        <v>0.33</v>
      </c>
      <c r="V638" s="10" t="str">
        <f>VLOOKUP(D638,A!B$1:T$1125,16,FALSE)</f>
        <v/>
      </c>
      <c r="W638" s="10">
        <f t="shared" si="101"/>
        <v>0</v>
      </c>
      <c r="X638" s="29"/>
      <c r="Y638" s="29"/>
      <c r="Z638" s="29"/>
      <c r="AA638" s="29"/>
    </row>
    <row r="639" spans="1:111" s="3" customFormat="1" ht="13.5" hidden="1" customHeight="1" x14ac:dyDescent="0.25">
      <c r="A639" t="str">
        <f>IF(R639=0,"",COUNTIF(A$13:A638,"&gt;0")+1)</f>
        <v/>
      </c>
      <c r="B639" s="4"/>
      <c r="C639" s="5" t="s">
        <v>22</v>
      </c>
      <c r="D639" s="7" t="s">
        <v>731</v>
      </c>
      <c r="E639" s="31"/>
      <c r="F639" s="31"/>
      <c r="G639" s="6" t="s">
        <v>49</v>
      </c>
      <c r="H639" s="7">
        <f>VLOOKUP(D639,A!B$1:L$1126,3,FALSE)</f>
        <v>0</v>
      </c>
      <c r="I639" s="31">
        <f>VLOOKUP(D639,A!B$1:L$1126,3,FALSE)</f>
        <v>0</v>
      </c>
      <c r="J639" s="92"/>
      <c r="K639" s="91" t="str">
        <f>VLOOKUP(D639,A!B$1:L$1126,6,FALSE)</f>
        <v/>
      </c>
      <c r="L639" s="162"/>
      <c r="M639" s="43" t="s">
        <v>732</v>
      </c>
      <c r="N639" s="94">
        <f>VLOOKUP(D639,A!B$1:L$1125,2,FALSE)</f>
        <v>0</v>
      </c>
      <c r="O639" s="94">
        <f>VLOOKUP(D639,A!B$1:L$1126,4,FALSE)</f>
        <v>0</v>
      </c>
      <c r="P639" s="10">
        <v>10</v>
      </c>
      <c r="Q639" s="10">
        <v>2.69</v>
      </c>
      <c r="R639" s="10">
        <f t="shared" si="99"/>
        <v>0</v>
      </c>
      <c r="S639" s="10">
        <f t="shared" si="100"/>
        <v>0</v>
      </c>
      <c r="T639" s="10" t="s">
        <v>48</v>
      </c>
      <c r="U639" s="145">
        <v>0.33</v>
      </c>
      <c r="V639" s="10" t="str">
        <f>VLOOKUP(D639,A!B$1:T$1125,16,FALSE)</f>
        <v/>
      </c>
      <c r="W639" s="10">
        <f t="shared" si="101"/>
        <v>0</v>
      </c>
      <c r="X639" s="29"/>
      <c r="Y639" s="29"/>
      <c r="Z639" s="29"/>
      <c r="AA639" s="29"/>
    </row>
    <row r="640" spans="1:111" s="3" customFormat="1" ht="13.5" hidden="1" customHeight="1" x14ac:dyDescent="0.25">
      <c r="A640" t="str">
        <f>IF(R640=0,"",COUNTIF(A$13:A639,"&gt;0")+1)</f>
        <v/>
      </c>
      <c r="B640" s="4"/>
      <c r="C640" s="5" t="s">
        <v>22</v>
      </c>
      <c r="D640" s="7" t="s">
        <v>733</v>
      </c>
      <c r="E640" s="31"/>
      <c r="F640" s="31"/>
      <c r="G640" s="6" t="s">
        <v>49</v>
      </c>
      <c r="H640" s="7">
        <f>VLOOKUP(D640,A!B$1:L$1126,3,FALSE)</f>
        <v>0</v>
      </c>
      <c r="I640" s="31">
        <f>VLOOKUP(D640,A!B$1:L$1126,3,FALSE)</f>
        <v>0</v>
      </c>
      <c r="J640" s="92"/>
      <c r="K640" s="91" t="str">
        <f>VLOOKUP(D640,A!B$1:L$1126,6,FALSE)</f>
        <v/>
      </c>
      <c r="L640" s="162"/>
      <c r="M640" s="43" t="s">
        <v>734</v>
      </c>
      <c r="N640" s="94">
        <f>VLOOKUP(D640,A!B$1:L$1125,2,FALSE)</f>
        <v>0</v>
      </c>
      <c r="O640" s="94">
        <f>VLOOKUP(D640,A!B$1:L$1126,4,FALSE)</f>
        <v>0</v>
      </c>
      <c r="P640" s="10">
        <v>10</v>
      </c>
      <c r="Q640" s="10">
        <v>2.69</v>
      </c>
      <c r="R640" s="10">
        <f t="shared" si="99"/>
        <v>0</v>
      </c>
      <c r="S640" s="10">
        <f t="shared" si="100"/>
        <v>0</v>
      </c>
      <c r="T640" s="10" t="s">
        <v>48</v>
      </c>
      <c r="U640" s="145">
        <v>0.33</v>
      </c>
      <c r="V640" s="10" t="str">
        <f>VLOOKUP(D640,A!B$1:T$1125,16,FALSE)</f>
        <v/>
      </c>
      <c r="W640" s="10">
        <f t="shared" si="101"/>
        <v>0</v>
      </c>
      <c r="X640" s="29"/>
      <c r="Y640" s="29"/>
      <c r="Z640" s="29"/>
      <c r="AA640" s="29"/>
    </row>
    <row r="641" spans="1:67" s="3" customFormat="1" ht="13.5" hidden="1" customHeight="1" x14ac:dyDescent="0.25">
      <c r="A641" t="str">
        <f>IF(R641=0,"",COUNTIF(A$13:A640,"&gt;0")+1)</f>
        <v/>
      </c>
      <c r="B641" s="4"/>
      <c r="C641" s="5" t="s">
        <v>22</v>
      </c>
      <c r="D641" s="7" t="s">
        <v>735</v>
      </c>
      <c r="E641" s="31"/>
      <c r="F641" s="31"/>
      <c r="G641" s="6" t="s">
        <v>49</v>
      </c>
      <c r="H641" s="7">
        <f>VLOOKUP(D641,A!B$1:L$1126,3,FALSE)</f>
        <v>0</v>
      </c>
      <c r="I641" s="31">
        <f>VLOOKUP(D641,A!B$1:L$1126,3,FALSE)</f>
        <v>0</v>
      </c>
      <c r="J641" s="92"/>
      <c r="K641" s="91" t="str">
        <f>VLOOKUP(D641,A!B$1:L$1126,6,FALSE)</f>
        <v/>
      </c>
      <c r="L641" s="162"/>
      <c r="M641" s="43" t="s">
        <v>736</v>
      </c>
      <c r="N641" s="94">
        <f>VLOOKUP(D641,A!B$1:L$1125,2,FALSE)</f>
        <v>0</v>
      </c>
      <c r="O641" s="94">
        <f>VLOOKUP(D641,A!B$1:L$1126,4,FALSE)</f>
        <v>0</v>
      </c>
      <c r="P641" s="10">
        <v>10</v>
      </c>
      <c r="Q641" s="10">
        <v>2.69</v>
      </c>
      <c r="R641" s="10">
        <f t="shared" si="99"/>
        <v>0</v>
      </c>
      <c r="S641" s="10">
        <f t="shared" si="100"/>
        <v>0</v>
      </c>
      <c r="T641" s="10" t="s">
        <v>48</v>
      </c>
      <c r="U641" s="145">
        <v>0.33</v>
      </c>
      <c r="V641" s="10" t="str">
        <f>VLOOKUP(D641,A!B$1:T$1125,16,FALSE)</f>
        <v/>
      </c>
      <c r="W641" s="10">
        <f t="shared" si="101"/>
        <v>0</v>
      </c>
      <c r="X641" s="29"/>
      <c r="Y641" s="29"/>
      <c r="Z641" s="29"/>
      <c r="AA641" s="29"/>
    </row>
    <row r="642" spans="1:67" s="3" customFormat="1" ht="13.5" hidden="1" customHeight="1" x14ac:dyDescent="0.25">
      <c r="A642" t="str">
        <f>IF(R642=0,"",COUNTIF(A$13:A641,"&gt;0")+1)</f>
        <v/>
      </c>
      <c r="B642" s="4"/>
      <c r="C642" s="5" t="s">
        <v>22</v>
      </c>
      <c r="D642" s="7" t="s">
        <v>737</v>
      </c>
      <c r="E642" s="31"/>
      <c r="F642" s="31"/>
      <c r="G642" s="6" t="s">
        <v>49</v>
      </c>
      <c r="H642" s="7">
        <f>VLOOKUP(D642,A!B$1:L$1126,3,FALSE)</f>
        <v>0</v>
      </c>
      <c r="I642" s="31">
        <f>VLOOKUP(D642,A!B$1:L$1126,3,FALSE)</f>
        <v>0</v>
      </c>
      <c r="J642" s="92"/>
      <c r="K642" s="91" t="str">
        <f>VLOOKUP(D642,A!B$1:L$1126,6,FALSE)</f>
        <v/>
      </c>
      <c r="L642" s="162"/>
      <c r="M642" s="43" t="s">
        <v>738</v>
      </c>
      <c r="N642" s="94">
        <f>VLOOKUP(D642,A!B$1:L$1125,2,FALSE)</f>
        <v>0</v>
      </c>
      <c r="O642" s="94">
        <f>VLOOKUP(D642,A!B$1:L$1126,4,FALSE)</f>
        <v>0</v>
      </c>
      <c r="P642" s="10">
        <v>10</v>
      </c>
      <c r="Q642" s="10">
        <v>2.69</v>
      </c>
      <c r="R642" s="10">
        <f t="shared" si="99"/>
        <v>0</v>
      </c>
      <c r="S642" s="10">
        <f t="shared" si="100"/>
        <v>0</v>
      </c>
      <c r="T642" s="10" t="s">
        <v>48</v>
      </c>
      <c r="U642" s="145">
        <v>0.33</v>
      </c>
      <c r="V642" s="10" t="str">
        <f>VLOOKUP(D642,A!B$1:T$1125,16,FALSE)</f>
        <v/>
      </c>
      <c r="W642" s="10">
        <f t="shared" si="101"/>
        <v>0</v>
      </c>
      <c r="X642" s="29"/>
      <c r="Y642" s="29"/>
      <c r="Z642" s="29"/>
      <c r="AA642" s="29"/>
    </row>
    <row r="643" spans="1:67" s="3" customFormat="1" ht="13.5" hidden="1" customHeight="1" x14ac:dyDescent="0.25">
      <c r="A643" t="str">
        <f>IF(R643=0,"",COUNTIF(A$13:A642,"&gt;0")+1)</f>
        <v/>
      </c>
      <c r="B643" s="4"/>
      <c r="C643" s="5" t="s">
        <v>22</v>
      </c>
      <c r="D643" s="7" t="s">
        <v>739</v>
      </c>
      <c r="E643" s="31"/>
      <c r="F643" s="31"/>
      <c r="G643" s="6" t="s">
        <v>49</v>
      </c>
      <c r="H643" s="7">
        <f>VLOOKUP(D643,A!B$1:L$1126,3,FALSE)</f>
        <v>0</v>
      </c>
      <c r="I643" s="31">
        <f>VLOOKUP(D643,A!B$1:L$1126,3,FALSE)</f>
        <v>0</v>
      </c>
      <c r="J643" s="92"/>
      <c r="K643" s="91" t="str">
        <f>VLOOKUP(D643,A!B$1:L$1126,6,FALSE)</f>
        <v/>
      </c>
      <c r="L643" s="162"/>
      <c r="M643" s="43" t="s">
        <v>740</v>
      </c>
      <c r="N643" s="94">
        <f>VLOOKUP(D643,A!B$1:L$1125,2,FALSE)</f>
        <v>0</v>
      </c>
      <c r="O643" s="94">
        <f>VLOOKUP(D643,A!B$1:L$1126,4,FALSE)</f>
        <v>0</v>
      </c>
      <c r="P643" s="10">
        <v>10</v>
      </c>
      <c r="Q643" s="10">
        <v>2.69</v>
      </c>
      <c r="R643" s="10">
        <f t="shared" si="99"/>
        <v>0</v>
      </c>
      <c r="S643" s="10">
        <f t="shared" si="100"/>
        <v>0</v>
      </c>
      <c r="T643" s="10" t="s">
        <v>48</v>
      </c>
      <c r="U643" s="145">
        <v>0.33</v>
      </c>
      <c r="V643" s="10" t="str">
        <f>VLOOKUP(D643,A!B$1:T$1125,16,FALSE)</f>
        <v/>
      </c>
      <c r="W643" s="10">
        <f t="shared" si="101"/>
        <v>0</v>
      </c>
      <c r="X643" s="29"/>
      <c r="Y643" s="29"/>
      <c r="Z643" s="29"/>
      <c r="AA643" s="29"/>
    </row>
    <row r="644" spans="1:67" s="3" customFormat="1" ht="13.5" hidden="1" customHeight="1" x14ac:dyDescent="0.25">
      <c r="A644" t="str">
        <f>IF(R644=0,"",COUNTIF(A$13:A643,"&gt;0")+1)</f>
        <v/>
      </c>
      <c r="B644" s="4"/>
      <c r="C644" s="5" t="s">
        <v>22</v>
      </c>
      <c r="D644" s="7" t="s">
        <v>186</v>
      </c>
      <c r="E644" s="31"/>
      <c r="F644" s="31"/>
      <c r="G644" s="6" t="s">
        <v>49</v>
      </c>
      <c r="H644" s="7">
        <f>VLOOKUP(D644,A!B$1:L$1126,3,FALSE)</f>
        <v>0</v>
      </c>
      <c r="I644" s="31">
        <f>VLOOKUP(D644,A!B$1:L$1126,3,FALSE)</f>
        <v>0</v>
      </c>
      <c r="J644" s="92"/>
      <c r="K644" s="91" t="str">
        <f>VLOOKUP(D644,A!B$1:L$1126,6,FALSE)</f>
        <v/>
      </c>
      <c r="L644" s="162"/>
      <c r="M644" s="43" t="s">
        <v>187</v>
      </c>
      <c r="N644" s="94">
        <f>VLOOKUP(D644,A!B$1:L$1125,2,FALSE)</f>
        <v>0</v>
      </c>
      <c r="O644" s="94">
        <f>VLOOKUP(D644,A!B$1:L$1126,4,FALSE)</f>
        <v>0</v>
      </c>
      <c r="P644" s="10">
        <v>10</v>
      </c>
      <c r="Q644" s="10">
        <v>2.69</v>
      </c>
      <c r="R644" s="10">
        <f t="shared" si="99"/>
        <v>0</v>
      </c>
      <c r="S644" s="10">
        <f t="shared" si="100"/>
        <v>0</v>
      </c>
      <c r="T644" s="10" t="s">
        <v>48</v>
      </c>
      <c r="U644" s="145">
        <v>0.33</v>
      </c>
      <c r="V644" s="10" t="str">
        <f>VLOOKUP(D644,A!B$1:T$1125,16,FALSE)</f>
        <v/>
      </c>
      <c r="W644" s="10">
        <f t="shared" si="101"/>
        <v>0</v>
      </c>
      <c r="X644" s="29"/>
      <c r="Y644" s="29"/>
      <c r="Z644" s="29"/>
      <c r="AA644" s="29"/>
    </row>
    <row r="645" spans="1:67" s="3" customFormat="1" ht="13.5" customHeight="1" x14ac:dyDescent="0.25">
      <c r="A645" t="str">
        <f>IF(R645=0,"",COUNTIF(A$13:A644,"&gt;0")+1)</f>
        <v/>
      </c>
      <c r="B645" s="4"/>
      <c r="C645" s="5" t="s">
        <v>22</v>
      </c>
      <c r="D645" s="22" t="s">
        <v>160</v>
      </c>
      <c r="E645" s="89"/>
      <c r="F645" s="89"/>
      <c r="G645" s="25" t="s">
        <v>49</v>
      </c>
      <c r="H645" s="7">
        <f>VLOOKUP(D645,A!B$1:L$1126,3,FALSE)</f>
        <v>2</v>
      </c>
      <c r="I645" s="31">
        <f>VLOOKUP(D645,A!B$1:L$1126,3,FALSE)</f>
        <v>2</v>
      </c>
      <c r="J645" s="92"/>
      <c r="K645" s="91" t="str">
        <f>VLOOKUP(D645,A!B$1:L$1126,6,FALSE)</f>
        <v/>
      </c>
      <c r="L645" s="2"/>
      <c r="M645" s="44" t="s">
        <v>1794</v>
      </c>
      <c r="N645" s="94" t="str">
        <f>VLOOKUP(D645,A!B$1:L$1125,2,FALSE)</f>
        <v>y</v>
      </c>
      <c r="O645" s="94">
        <f>VLOOKUP(D645,A!B$1:L$1126,4,FALSE)</f>
        <v>1</v>
      </c>
      <c r="P645" s="10">
        <v>10</v>
      </c>
      <c r="Q645" s="10">
        <v>2.69</v>
      </c>
      <c r="R645" s="10">
        <f t="shared" si="99"/>
        <v>0</v>
      </c>
      <c r="S645" s="10">
        <f t="shared" si="100"/>
        <v>0</v>
      </c>
      <c r="T645" s="10" t="s">
        <v>48</v>
      </c>
      <c r="U645" s="145">
        <v>0.33</v>
      </c>
      <c r="V645" s="10" t="str">
        <f>VLOOKUP(D645,A!B$1:T$1125,16,FALSE)</f>
        <v/>
      </c>
      <c r="W645" s="10">
        <f t="shared" si="101"/>
        <v>0</v>
      </c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</row>
    <row r="646" spans="1:67" s="3" customFormat="1" ht="13.5" hidden="1" customHeight="1" x14ac:dyDescent="0.25">
      <c r="A646" t="str">
        <f>IF(R646=0,"",COUNTIF(A$13:A645,"&gt;0")+1)</f>
        <v/>
      </c>
      <c r="B646" s="4"/>
      <c r="C646" s="5" t="s">
        <v>22</v>
      </c>
      <c r="D646" s="7" t="s">
        <v>741</v>
      </c>
      <c r="E646" s="31"/>
      <c r="F646" s="31"/>
      <c r="G646" s="6" t="s">
        <v>49</v>
      </c>
      <c r="H646" s="7">
        <f>VLOOKUP(D646,A!B$1:L$1126,3,FALSE)</f>
        <v>0</v>
      </c>
      <c r="I646" s="31">
        <f>VLOOKUP(D646,A!B$1:L$1126,3,FALSE)</f>
        <v>0</v>
      </c>
      <c r="J646" s="92"/>
      <c r="K646" s="91" t="str">
        <f>VLOOKUP(D646,A!B$1:L$1126,6,FALSE)</f>
        <v/>
      </c>
      <c r="L646" s="162"/>
      <c r="M646" s="43" t="s">
        <v>742</v>
      </c>
      <c r="N646" s="94">
        <f>VLOOKUP(D646,A!B$1:L$1125,2,FALSE)</f>
        <v>0</v>
      </c>
      <c r="O646" s="94">
        <f>VLOOKUP(D646,A!B$1:L$1126,4,FALSE)</f>
        <v>0</v>
      </c>
      <c r="P646" s="10">
        <v>10</v>
      </c>
      <c r="Q646" s="10">
        <v>2.69</v>
      </c>
      <c r="R646" s="10">
        <f t="shared" si="99"/>
        <v>0</v>
      </c>
      <c r="S646" s="10">
        <f t="shared" si="100"/>
        <v>0</v>
      </c>
      <c r="T646" s="10" t="s">
        <v>48</v>
      </c>
      <c r="U646" s="145">
        <v>0.33</v>
      </c>
      <c r="V646" s="10" t="str">
        <f>VLOOKUP(D646,A!B$1:T$1125,16,FALSE)</f>
        <v/>
      </c>
      <c r="W646" s="10">
        <f t="shared" si="101"/>
        <v>0</v>
      </c>
      <c r="X646" s="29"/>
      <c r="Y646" s="29"/>
      <c r="Z646" s="29"/>
      <c r="AA646" s="29"/>
    </row>
    <row r="647" spans="1:67" s="3" customFormat="1" ht="13.5" hidden="1" customHeight="1" x14ac:dyDescent="0.25">
      <c r="A647" t="str">
        <f>IF(R647=0,"",COUNTIF(A$13:A646,"&gt;0")+1)</f>
        <v/>
      </c>
      <c r="B647" s="4"/>
      <c r="C647" s="5" t="s">
        <v>22</v>
      </c>
      <c r="D647" s="22" t="s">
        <v>743</v>
      </c>
      <c r="E647" s="89"/>
      <c r="F647" s="89"/>
      <c r="G647" s="25" t="s">
        <v>49</v>
      </c>
      <c r="H647" s="7">
        <f>VLOOKUP(D647,A!B$1:L$1126,3,FALSE)</f>
        <v>0</v>
      </c>
      <c r="I647" s="31">
        <f>VLOOKUP(D647,A!B$1:L$1126,3,FALSE)</f>
        <v>0</v>
      </c>
      <c r="J647" s="92"/>
      <c r="K647" s="91" t="str">
        <f>VLOOKUP(D647,A!B$1:L$1126,6,FALSE)</f>
        <v/>
      </c>
      <c r="L647" s="162"/>
      <c r="M647" s="44" t="s">
        <v>744</v>
      </c>
      <c r="N647" s="94">
        <f>VLOOKUP(D647,A!B$1:L$1125,2,FALSE)</f>
        <v>0</v>
      </c>
      <c r="O647" s="94">
        <f>VLOOKUP(D647,A!B$1:L$1126,4,FALSE)</f>
        <v>0</v>
      </c>
      <c r="P647" s="10">
        <v>10</v>
      </c>
      <c r="Q647" s="10">
        <v>2.69</v>
      </c>
      <c r="R647" s="10">
        <f t="shared" si="99"/>
        <v>0</v>
      </c>
      <c r="S647" s="10">
        <f t="shared" si="100"/>
        <v>0</v>
      </c>
      <c r="T647" s="10" t="s">
        <v>48</v>
      </c>
      <c r="U647" s="145">
        <v>0.33</v>
      </c>
      <c r="V647" s="10" t="str">
        <f>VLOOKUP(D647,A!B$1:T$1125,16,FALSE)</f>
        <v/>
      </c>
      <c r="W647" s="10">
        <f t="shared" si="101"/>
        <v>0</v>
      </c>
      <c r="X647" s="29"/>
      <c r="Y647" s="29"/>
      <c r="Z647" s="29"/>
      <c r="AA647" s="29"/>
    </row>
    <row r="648" spans="1:67" s="3" customFormat="1" ht="13.5" hidden="1" customHeight="1" x14ac:dyDescent="0.25">
      <c r="A648" t="str">
        <f>IF(R648=0,"",COUNTIF(A$13:A647,"&gt;0")+1)</f>
        <v/>
      </c>
      <c r="B648" s="4"/>
      <c r="C648" s="5" t="s">
        <v>22</v>
      </c>
      <c r="D648" s="7" t="s">
        <v>745</v>
      </c>
      <c r="E648" s="31"/>
      <c r="F648" s="31"/>
      <c r="G648" s="6" t="s">
        <v>49</v>
      </c>
      <c r="H648" s="7">
        <f>VLOOKUP(D648,A!B$1:L$1126,3,FALSE)</f>
        <v>0</v>
      </c>
      <c r="I648" s="31">
        <f>VLOOKUP(D648,A!B$1:L$1126,3,FALSE)</f>
        <v>0</v>
      </c>
      <c r="J648" s="92"/>
      <c r="K648" s="91" t="str">
        <f>VLOOKUP(D648,A!B$1:L$1126,6,FALSE)</f>
        <v/>
      </c>
      <c r="L648" s="162"/>
      <c r="M648" s="43" t="s">
        <v>746</v>
      </c>
      <c r="N648" s="94">
        <f>VLOOKUP(D648,A!B$1:L$1125,2,FALSE)</f>
        <v>0</v>
      </c>
      <c r="O648" s="94">
        <f>VLOOKUP(D648,A!B$1:L$1126,4,FALSE)</f>
        <v>0</v>
      </c>
      <c r="P648" s="10">
        <v>10</v>
      </c>
      <c r="Q648" s="10">
        <v>2.69</v>
      </c>
      <c r="R648" s="10">
        <f t="shared" si="99"/>
        <v>0</v>
      </c>
      <c r="S648" s="10">
        <f t="shared" si="100"/>
        <v>0</v>
      </c>
      <c r="T648" s="10" t="s">
        <v>48</v>
      </c>
      <c r="U648" s="145">
        <v>0.33</v>
      </c>
      <c r="V648" s="10" t="str">
        <f>VLOOKUP(D648,A!B$1:T$1125,16,FALSE)</f>
        <v/>
      </c>
      <c r="W648" s="10">
        <f t="shared" si="101"/>
        <v>0</v>
      </c>
      <c r="X648" s="29"/>
      <c r="Y648" s="29"/>
      <c r="Z648" s="29"/>
      <c r="AA648" s="29"/>
    </row>
    <row r="649" spans="1:67" s="3" customFormat="1" ht="13.5" customHeight="1" x14ac:dyDescent="0.25">
      <c r="A649" t="str">
        <f>IF(R649=0,"",COUNTIF(A$13:A648,"&gt;0")+1)</f>
        <v/>
      </c>
      <c r="B649" s="4"/>
      <c r="C649" s="5" t="s">
        <v>22</v>
      </c>
      <c r="D649" s="7" t="s">
        <v>292</v>
      </c>
      <c r="E649" s="31"/>
      <c r="F649" s="31"/>
      <c r="G649" s="6" t="s">
        <v>49</v>
      </c>
      <c r="H649" s="7">
        <f>VLOOKUP(D649,A!B$1:L$1126,3,FALSE)</f>
        <v>2</v>
      </c>
      <c r="I649" s="31">
        <f>VLOOKUP(D649,A!B$1:L$1126,3,FALSE)</f>
        <v>2</v>
      </c>
      <c r="J649" s="92"/>
      <c r="K649" s="91" t="str">
        <f>VLOOKUP(D649,A!B$1:L$1126,6,FALSE)</f>
        <v/>
      </c>
      <c r="L649" s="2"/>
      <c r="M649" s="43" t="s">
        <v>293</v>
      </c>
      <c r="N649" s="94" t="str">
        <f>VLOOKUP(D649,A!B$1:L$1125,2,FALSE)</f>
        <v>y</v>
      </c>
      <c r="O649" s="94">
        <f>VLOOKUP(D649,A!B$1:L$1126,4,FALSE)</f>
        <v>0</v>
      </c>
      <c r="P649" s="10">
        <v>10</v>
      </c>
      <c r="Q649" s="10">
        <v>2.69</v>
      </c>
      <c r="R649" s="10">
        <f t="shared" si="99"/>
        <v>0</v>
      </c>
      <c r="S649" s="10">
        <f t="shared" si="100"/>
        <v>0</v>
      </c>
      <c r="T649" s="10" t="s">
        <v>48</v>
      </c>
      <c r="U649" s="145">
        <v>0.33</v>
      </c>
      <c r="V649" s="10" t="str">
        <f>VLOOKUP(D649,A!B$1:T$1125,16,FALSE)</f>
        <v/>
      </c>
      <c r="W649" s="10">
        <f t="shared" si="101"/>
        <v>0</v>
      </c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</row>
    <row r="650" spans="1:67" s="3" customFormat="1" ht="13.5" hidden="1" customHeight="1" x14ac:dyDescent="0.25">
      <c r="A650" t="str">
        <f>IF(R650=0,"",COUNTIF(A$13:A649,"&gt;0")+1)</f>
        <v/>
      </c>
      <c r="B650" s="4"/>
      <c r="C650" s="5" t="s">
        <v>22</v>
      </c>
      <c r="D650" s="22" t="s">
        <v>747</v>
      </c>
      <c r="E650" s="89"/>
      <c r="F650" s="89"/>
      <c r="G650" s="25" t="s">
        <v>49</v>
      </c>
      <c r="H650" s="7">
        <f>VLOOKUP(D650,A!B$1:L$1126,3,FALSE)</f>
        <v>0</v>
      </c>
      <c r="I650" s="31">
        <f>VLOOKUP(D650,A!B$1:L$1126,3,FALSE)</f>
        <v>0</v>
      </c>
      <c r="J650" s="92"/>
      <c r="K650" s="91" t="str">
        <f>VLOOKUP(D650,A!B$1:L$1126,6,FALSE)</f>
        <v/>
      </c>
      <c r="L650" s="162"/>
      <c r="M650" s="44" t="s">
        <v>748</v>
      </c>
      <c r="N650" s="94">
        <f>VLOOKUP(D650,A!B$1:L$1125,2,FALSE)</f>
        <v>0</v>
      </c>
      <c r="O650" s="94">
        <f>VLOOKUP(D650,A!B$1:L$1126,4,FALSE)</f>
        <v>0</v>
      </c>
      <c r="P650" s="10">
        <v>10</v>
      </c>
      <c r="Q650" s="10">
        <v>2.69</v>
      </c>
      <c r="R650" s="10">
        <f t="shared" si="99"/>
        <v>0</v>
      </c>
      <c r="S650" s="10">
        <f t="shared" si="100"/>
        <v>0</v>
      </c>
      <c r="T650" s="10" t="s">
        <v>48</v>
      </c>
      <c r="U650" s="145">
        <v>0.33</v>
      </c>
      <c r="V650" s="10" t="str">
        <f>VLOOKUP(D650,A!B$1:T$1125,16,FALSE)</f>
        <v/>
      </c>
      <c r="W650" s="10">
        <f t="shared" si="101"/>
        <v>0</v>
      </c>
      <c r="X650" s="29"/>
      <c r="Y650" s="29"/>
      <c r="Z650" s="29"/>
      <c r="AA650" s="29"/>
    </row>
    <row r="651" spans="1:67" s="3" customFormat="1" ht="13.5" hidden="1" customHeight="1" x14ac:dyDescent="0.25">
      <c r="A651" t="str">
        <f>IF(R651=0,"",COUNTIF(A$13:A650,"&gt;0")+1)</f>
        <v/>
      </c>
      <c r="B651" s="4"/>
      <c r="C651" s="5" t="s">
        <v>22</v>
      </c>
      <c r="D651" s="7" t="s">
        <v>749</v>
      </c>
      <c r="E651" s="31"/>
      <c r="F651" s="31"/>
      <c r="G651" s="6" t="s">
        <v>49</v>
      </c>
      <c r="H651" s="7">
        <f>VLOOKUP(D651,A!B$1:L$1126,3,FALSE)</f>
        <v>0</v>
      </c>
      <c r="I651" s="31">
        <f>VLOOKUP(D651,A!B$1:L$1126,3,FALSE)</f>
        <v>0</v>
      </c>
      <c r="J651" s="92"/>
      <c r="K651" s="91" t="str">
        <f>VLOOKUP(D651,A!B$1:L$1126,6,FALSE)</f>
        <v/>
      </c>
      <c r="L651" s="162"/>
      <c r="M651" s="43" t="s">
        <v>750</v>
      </c>
      <c r="N651" s="94">
        <f>VLOOKUP(D651,A!B$1:L$1125,2,FALSE)</f>
        <v>0</v>
      </c>
      <c r="O651" s="94">
        <f>VLOOKUP(D651,A!B$1:L$1126,4,FALSE)</f>
        <v>0</v>
      </c>
      <c r="P651" s="10">
        <v>10</v>
      </c>
      <c r="Q651" s="10">
        <v>2.69</v>
      </c>
      <c r="R651" s="10">
        <f t="shared" si="99"/>
        <v>0</v>
      </c>
      <c r="S651" s="10">
        <f t="shared" si="100"/>
        <v>0</v>
      </c>
      <c r="T651" s="10" t="s">
        <v>48</v>
      </c>
      <c r="U651" s="145">
        <v>0.33</v>
      </c>
      <c r="V651" s="10" t="str">
        <f>VLOOKUP(D651,A!B$1:T$1125,16,FALSE)</f>
        <v/>
      </c>
      <c r="W651" s="10">
        <f t="shared" si="101"/>
        <v>0</v>
      </c>
      <c r="X651" s="29"/>
      <c r="Y651" s="29"/>
      <c r="Z651" s="29"/>
      <c r="AA651" s="29"/>
    </row>
    <row r="652" spans="1:67" s="3" customFormat="1" ht="13.5" hidden="1" customHeight="1" x14ac:dyDescent="0.25">
      <c r="A652" t="str">
        <f>IF(R652=0,"",COUNTIF(A$13:A651,"&gt;0")+1)</f>
        <v/>
      </c>
      <c r="B652" s="4"/>
      <c r="C652" s="5" t="s">
        <v>22</v>
      </c>
      <c r="D652" s="7" t="s">
        <v>751</v>
      </c>
      <c r="E652" s="31"/>
      <c r="F652" s="31"/>
      <c r="G652" s="6" t="s">
        <v>49</v>
      </c>
      <c r="H652" s="7">
        <f>VLOOKUP(D652,A!B$1:L$1126,3,FALSE)</f>
        <v>0</v>
      </c>
      <c r="I652" s="31">
        <f>VLOOKUP(D652,A!B$1:L$1126,3,FALSE)</f>
        <v>0</v>
      </c>
      <c r="J652" s="92"/>
      <c r="K652" s="91" t="str">
        <f>VLOOKUP(D652,A!B$1:L$1126,6,FALSE)</f>
        <v/>
      </c>
      <c r="L652" s="162"/>
      <c r="M652" s="174" t="s">
        <v>752</v>
      </c>
      <c r="N652" s="94">
        <f>VLOOKUP(D652,A!B$1:L$1125,2,FALSE)</f>
        <v>0</v>
      </c>
      <c r="O652" s="94">
        <f>VLOOKUP(D652,A!B$1:L$1126,4,FALSE)</f>
        <v>0</v>
      </c>
      <c r="P652" s="10">
        <v>10</v>
      </c>
      <c r="Q652" s="10">
        <v>2.69</v>
      </c>
      <c r="R652" s="10">
        <f t="shared" si="99"/>
        <v>0</v>
      </c>
      <c r="S652" s="10">
        <f t="shared" si="100"/>
        <v>0</v>
      </c>
      <c r="T652" s="10" t="s">
        <v>48</v>
      </c>
      <c r="U652" s="145">
        <v>0.33</v>
      </c>
      <c r="V652" s="10" t="str">
        <f>VLOOKUP(D652,A!B$1:T$1125,16,FALSE)</f>
        <v/>
      </c>
      <c r="W652" s="10">
        <f t="shared" si="101"/>
        <v>0</v>
      </c>
      <c r="X652" s="29"/>
      <c r="Y652" s="29"/>
      <c r="Z652" s="29"/>
      <c r="AA652" s="29"/>
    </row>
    <row r="653" spans="1:67" s="3" customFormat="1" ht="13.5" hidden="1" customHeight="1" x14ac:dyDescent="0.25">
      <c r="A653" t="str">
        <f>IF(R653=0,"",COUNTIF(A$13:A652,"&gt;0")+1)</f>
        <v/>
      </c>
      <c r="B653" s="4"/>
      <c r="C653" s="5" t="s">
        <v>22</v>
      </c>
      <c r="D653" s="7" t="s">
        <v>753</v>
      </c>
      <c r="E653" s="31"/>
      <c r="F653" s="31"/>
      <c r="G653" s="25" t="s">
        <v>49</v>
      </c>
      <c r="H653" s="7">
        <f>VLOOKUP(D653,A!B$1:L$1126,3,FALSE)</f>
        <v>0</v>
      </c>
      <c r="I653" s="31">
        <f>VLOOKUP(D653,A!B$1:L$1126,3,FALSE)</f>
        <v>0</v>
      </c>
      <c r="J653" s="92"/>
      <c r="K653" s="91" t="str">
        <f>VLOOKUP(D653,A!B$1:L$1126,6,FALSE)</f>
        <v/>
      </c>
      <c r="L653" s="162"/>
      <c r="M653" s="43" t="s">
        <v>754</v>
      </c>
      <c r="N653" s="94">
        <f>VLOOKUP(D653,A!B$1:L$1125,2,FALSE)</f>
        <v>0</v>
      </c>
      <c r="O653" s="94">
        <f>VLOOKUP(D653,A!B$1:L$1126,4,FALSE)</f>
        <v>0</v>
      </c>
      <c r="P653" s="10">
        <v>10</v>
      </c>
      <c r="Q653" s="10">
        <v>2.69</v>
      </c>
      <c r="R653" s="10">
        <f t="shared" si="99"/>
        <v>0</v>
      </c>
      <c r="S653" s="10">
        <f t="shared" si="100"/>
        <v>0</v>
      </c>
      <c r="T653" s="10" t="s">
        <v>48</v>
      </c>
      <c r="U653" s="145">
        <v>0.33</v>
      </c>
      <c r="V653" s="10" t="str">
        <f>VLOOKUP(D653,A!B$1:T$1125,16,FALSE)</f>
        <v/>
      </c>
      <c r="W653" s="10">
        <f t="shared" si="101"/>
        <v>0</v>
      </c>
      <c r="X653" s="29"/>
      <c r="Y653" s="29"/>
      <c r="Z653" s="29"/>
      <c r="AA653" s="29"/>
    </row>
    <row r="654" spans="1:67" s="3" customFormat="1" ht="13.5" hidden="1" customHeight="1" x14ac:dyDescent="0.25">
      <c r="A654" t="str">
        <f>IF(R654=0,"",COUNTIF(A$13:A653,"&gt;0")+1)</f>
        <v/>
      </c>
      <c r="B654" s="4"/>
      <c r="C654" s="5" t="s">
        <v>22</v>
      </c>
      <c r="D654" s="7" t="s">
        <v>755</v>
      </c>
      <c r="E654" s="31"/>
      <c r="F654" s="31"/>
      <c r="G654" s="25" t="s">
        <v>49</v>
      </c>
      <c r="H654" s="7">
        <f>VLOOKUP(D654,A!B$1:L$1126,3,FALSE)</f>
        <v>0</v>
      </c>
      <c r="I654" s="31">
        <f>VLOOKUP(D654,A!B$1:L$1126,3,FALSE)</f>
        <v>0</v>
      </c>
      <c r="J654" s="92"/>
      <c r="K654" s="91" t="str">
        <f>VLOOKUP(D654,A!B$1:L$1126,6,FALSE)</f>
        <v/>
      </c>
      <c r="L654" s="162"/>
      <c r="M654" s="43" t="s">
        <v>756</v>
      </c>
      <c r="N654" s="94">
        <f>VLOOKUP(D654,A!B$1:L$1125,2,FALSE)</f>
        <v>0</v>
      </c>
      <c r="O654" s="94">
        <f>VLOOKUP(D654,A!B$1:L$1126,4,FALSE)</f>
        <v>0</v>
      </c>
      <c r="P654" s="10">
        <v>10</v>
      </c>
      <c r="Q654" s="10">
        <v>2.69</v>
      </c>
      <c r="R654" s="10">
        <f t="shared" si="99"/>
        <v>0</v>
      </c>
      <c r="S654" s="10">
        <f t="shared" si="100"/>
        <v>0</v>
      </c>
      <c r="T654" s="10" t="s">
        <v>48</v>
      </c>
      <c r="U654" s="145">
        <v>0.33</v>
      </c>
      <c r="V654" s="10" t="str">
        <f>VLOOKUP(D654,A!B$1:T$1125,16,FALSE)</f>
        <v/>
      </c>
      <c r="W654" s="10">
        <f t="shared" si="101"/>
        <v>0</v>
      </c>
      <c r="X654" s="29"/>
      <c r="Y654" s="29"/>
      <c r="Z654" s="29"/>
      <c r="AA654" s="29"/>
    </row>
    <row r="655" spans="1:67" s="3" customFormat="1" ht="13.5" hidden="1" customHeight="1" x14ac:dyDescent="0.25">
      <c r="A655" t="str">
        <f>IF(R655=0,"",COUNTIF(A$13:A654,"&gt;0")+1)</f>
        <v/>
      </c>
      <c r="B655" s="4"/>
      <c r="C655" s="5" t="s">
        <v>22</v>
      </c>
      <c r="D655" s="7" t="s">
        <v>757</v>
      </c>
      <c r="E655" s="31"/>
      <c r="F655" s="31"/>
      <c r="G655" s="25" t="s">
        <v>49</v>
      </c>
      <c r="H655" s="7">
        <f>VLOOKUP(D655,A!B$1:L$1126,3,FALSE)</f>
        <v>0</v>
      </c>
      <c r="I655" s="31">
        <f>VLOOKUP(D655,A!B$1:L$1126,3,FALSE)</f>
        <v>0</v>
      </c>
      <c r="J655" s="92"/>
      <c r="K655" s="91" t="str">
        <f>VLOOKUP(D655,A!B$1:L$1126,6,FALSE)</f>
        <v/>
      </c>
      <c r="L655" s="162"/>
      <c r="M655" s="43" t="s">
        <v>758</v>
      </c>
      <c r="N655" s="94">
        <f>VLOOKUP(D655,A!B$1:L$1125,2,FALSE)</f>
        <v>0</v>
      </c>
      <c r="O655" s="94">
        <f>VLOOKUP(D655,A!B$1:L$1126,4,FALSE)</f>
        <v>0</v>
      </c>
      <c r="P655" s="10">
        <v>10</v>
      </c>
      <c r="Q655" s="10">
        <v>2.69</v>
      </c>
      <c r="R655" s="10">
        <f t="shared" si="99"/>
        <v>0</v>
      </c>
      <c r="S655" s="10">
        <f t="shared" si="100"/>
        <v>0</v>
      </c>
      <c r="T655" s="10" t="s">
        <v>48</v>
      </c>
      <c r="U655" s="145">
        <v>0.33</v>
      </c>
      <c r="V655" s="10" t="str">
        <f>VLOOKUP(D655,A!B$1:T$1125,16,FALSE)</f>
        <v/>
      </c>
      <c r="W655" s="10">
        <f t="shared" si="101"/>
        <v>0</v>
      </c>
      <c r="X655" s="29"/>
      <c r="Y655" s="29"/>
      <c r="Z655" s="29"/>
      <c r="AA655" s="29"/>
    </row>
    <row r="656" spans="1:67" s="3" customFormat="1" ht="13.5" customHeight="1" x14ac:dyDescent="0.25">
      <c r="A656" t="str">
        <f>IF(R656=0,"",COUNTIF(A$13:A655,"&gt;0")+1)</f>
        <v/>
      </c>
      <c r="B656" s="4"/>
      <c r="C656" s="5" t="s">
        <v>22</v>
      </c>
      <c r="D656" s="7" t="s">
        <v>759</v>
      </c>
      <c r="E656" s="31"/>
      <c r="F656" s="31"/>
      <c r="G656" s="25" t="s">
        <v>49</v>
      </c>
      <c r="H656" s="7">
        <f>VLOOKUP(D656,A!B$1:L$1126,3,FALSE)</f>
        <v>2</v>
      </c>
      <c r="I656" s="31">
        <f>VLOOKUP(D656,A!B$1:L$1126,3,FALSE)</f>
        <v>2</v>
      </c>
      <c r="J656" s="92"/>
      <c r="K656" s="91" t="str">
        <f>VLOOKUP(D656,A!B$1:L$1126,6,FALSE)</f>
        <v/>
      </c>
      <c r="L656" s="162"/>
      <c r="M656" s="43" t="s">
        <v>760</v>
      </c>
      <c r="N656" s="94" t="str">
        <f>VLOOKUP(D656,A!B$1:L$1125,2,FALSE)</f>
        <v>y</v>
      </c>
      <c r="O656" s="94">
        <f>VLOOKUP(D656,A!B$1:L$1126,4,FALSE)</f>
        <v>1</v>
      </c>
      <c r="P656" s="10">
        <v>10</v>
      </c>
      <c r="Q656" s="10">
        <v>2.69</v>
      </c>
      <c r="R656" s="10">
        <f t="shared" si="99"/>
        <v>0</v>
      </c>
      <c r="S656" s="10">
        <f t="shared" si="100"/>
        <v>0</v>
      </c>
      <c r="T656" s="10" t="s">
        <v>48</v>
      </c>
      <c r="U656" s="145">
        <v>0.33</v>
      </c>
      <c r="V656" s="10" t="str">
        <f>VLOOKUP(D656,A!B$1:T$1125,16,FALSE)</f>
        <v/>
      </c>
      <c r="W656" s="10">
        <f t="shared" si="101"/>
        <v>0</v>
      </c>
      <c r="X656" s="29"/>
      <c r="Y656" s="29"/>
      <c r="Z656" s="29"/>
      <c r="AA656" s="29"/>
    </row>
    <row r="657" spans="1:111" s="3" customFormat="1" ht="13.5" hidden="1" customHeight="1" x14ac:dyDescent="0.25">
      <c r="A657" t="str">
        <f>IF(R657=0,"",COUNTIF(A$13:A656,"&gt;0")+1)</f>
        <v/>
      </c>
      <c r="B657" s="4"/>
      <c r="C657" s="5" t="s">
        <v>22</v>
      </c>
      <c r="D657" s="7" t="s">
        <v>761</v>
      </c>
      <c r="E657" s="31"/>
      <c r="F657" s="31"/>
      <c r="G657" s="25" t="s">
        <v>49</v>
      </c>
      <c r="H657" s="7">
        <f>VLOOKUP(D657,A!B$1:L$1126,3,FALSE)</f>
        <v>0</v>
      </c>
      <c r="I657" s="31">
        <f>VLOOKUP(D657,A!B$1:L$1126,3,FALSE)</f>
        <v>0</v>
      </c>
      <c r="J657" s="92"/>
      <c r="K657" s="91" t="str">
        <f>VLOOKUP(D657,A!B$1:L$1126,6,FALSE)</f>
        <v/>
      </c>
      <c r="L657" s="162"/>
      <c r="M657" s="43" t="s">
        <v>762</v>
      </c>
      <c r="N657" s="94">
        <f>VLOOKUP(D657,A!B$1:L$1125,2,FALSE)</f>
        <v>0</v>
      </c>
      <c r="O657" s="94">
        <f>VLOOKUP(D657,A!B$1:L$1126,4,FALSE)</f>
        <v>0</v>
      </c>
      <c r="P657" s="10">
        <v>10</v>
      </c>
      <c r="Q657" s="10">
        <v>2.69</v>
      </c>
      <c r="R657" s="10">
        <f t="shared" si="99"/>
        <v>0</v>
      </c>
      <c r="S657" s="10">
        <f t="shared" si="100"/>
        <v>0</v>
      </c>
      <c r="T657" s="10" t="s">
        <v>48</v>
      </c>
      <c r="U657" s="145">
        <v>0.33</v>
      </c>
      <c r="V657" s="10" t="str">
        <f>VLOOKUP(D657,A!B$1:T$1125,16,FALSE)</f>
        <v/>
      </c>
      <c r="W657" s="10">
        <f t="shared" si="101"/>
        <v>0</v>
      </c>
      <c r="X657" s="29"/>
      <c r="Y657" s="29"/>
      <c r="Z657" s="29"/>
      <c r="AA657" s="29"/>
    </row>
    <row r="658" spans="1:111" s="3" customFormat="1" ht="13.5" customHeight="1" x14ac:dyDescent="0.25">
      <c r="A658" t="str">
        <f>IF(R658=0,"",COUNTIF(A$13:A657,"&gt;0")+1)</f>
        <v/>
      </c>
      <c r="B658" s="4"/>
      <c r="C658" s="5" t="s">
        <v>22</v>
      </c>
      <c r="D658" s="22" t="s">
        <v>763</v>
      </c>
      <c r="E658" s="89"/>
      <c r="F658" s="89"/>
      <c r="G658" s="25" t="s">
        <v>49</v>
      </c>
      <c r="H658" s="7">
        <f>VLOOKUP(D658,A!B$1:L$1126,3,FALSE)</f>
        <v>2</v>
      </c>
      <c r="I658" s="31">
        <f>VLOOKUP(D658,A!B$1:L$1126,3,FALSE)</f>
        <v>2</v>
      </c>
      <c r="J658" s="92"/>
      <c r="K658" s="91" t="str">
        <f>VLOOKUP(D658,A!B$1:L$1126,6,FALSE)</f>
        <v/>
      </c>
      <c r="L658" s="162"/>
      <c r="M658" s="44" t="s">
        <v>1795</v>
      </c>
      <c r="N658" s="94" t="str">
        <f>VLOOKUP(D658,A!B$1:L$1125,2,FALSE)</f>
        <v>y</v>
      </c>
      <c r="O658" s="94">
        <f>VLOOKUP(D658,A!B$1:L$1126,4,FALSE)</f>
        <v>1</v>
      </c>
      <c r="P658" s="10">
        <v>10</v>
      </c>
      <c r="Q658" s="10">
        <v>2.69</v>
      </c>
      <c r="R658" s="10">
        <f t="shared" si="99"/>
        <v>0</v>
      </c>
      <c r="S658" s="10">
        <f t="shared" si="100"/>
        <v>0</v>
      </c>
      <c r="T658" s="10" t="s">
        <v>48</v>
      </c>
      <c r="U658" s="145">
        <v>0.33</v>
      </c>
      <c r="V658" s="10" t="str">
        <f>VLOOKUP(D658,A!B$1:T$1125,16,FALSE)</f>
        <v/>
      </c>
      <c r="W658" s="10">
        <f t="shared" si="101"/>
        <v>0</v>
      </c>
      <c r="X658" s="29"/>
      <c r="Y658" s="29"/>
      <c r="Z658" s="29"/>
      <c r="AA658" s="29"/>
    </row>
    <row r="659" spans="1:111" s="3" customFormat="1" ht="13.5" hidden="1" customHeight="1" x14ac:dyDescent="0.25">
      <c r="A659" t="str">
        <f>IF(R659=0,"",COUNTIF(A$13:A658,"&gt;0")+1)</f>
        <v/>
      </c>
      <c r="B659" s="4"/>
      <c r="C659" s="5" t="s">
        <v>22</v>
      </c>
      <c r="D659" s="7" t="s">
        <v>765</v>
      </c>
      <c r="E659" s="31"/>
      <c r="F659" s="31"/>
      <c r="G659" s="25" t="s">
        <v>49</v>
      </c>
      <c r="H659" s="7">
        <f>VLOOKUP(D659,A!B$1:L$1126,3,FALSE)</f>
        <v>0</v>
      </c>
      <c r="I659" s="31">
        <f>VLOOKUP(D659,A!B$1:L$1126,3,FALSE)</f>
        <v>0</v>
      </c>
      <c r="J659" s="92"/>
      <c r="K659" s="91" t="str">
        <f>VLOOKUP(D659,A!B$1:L$1126,6,FALSE)</f>
        <v/>
      </c>
      <c r="L659" s="162"/>
      <c r="M659" s="43" t="s">
        <v>766</v>
      </c>
      <c r="N659" s="94">
        <f>VLOOKUP(D659,A!B$1:L$1125,2,FALSE)</f>
        <v>0</v>
      </c>
      <c r="O659" s="94">
        <f>VLOOKUP(D659,A!B$1:L$1126,4,FALSE)</f>
        <v>0</v>
      </c>
      <c r="P659" s="10">
        <v>10</v>
      </c>
      <c r="Q659" s="10">
        <v>2.69</v>
      </c>
      <c r="R659" s="10">
        <f t="shared" si="99"/>
        <v>0</v>
      </c>
      <c r="S659" s="10">
        <f t="shared" si="100"/>
        <v>0</v>
      </c>
      <c r="T659" s="10" t="s">
        <v>48</v>
      </c>
      <c r="U659" s="145">
        <v>0.33</v>
      </c>
      <c r="V659" s="10" t="str">
        <f>VLOOKUP(D659,A!B$1:T$1125,16,FALSE)</f>
        <v/>
      </c>
      <c r="W659" s="10">
        <f t="shared" si="101"/>
        <v>0</v>
      </c>
      <c r="X659" s="29"/>
      <c r="Y659" s="29"/>
      <c r="Z659" s="29"/>
      <c r="AA659" s="29"/>
    </row>
    <row r="660" spans="1:111" s="3" customFormat="1" ht="13.5" customHeight="1" x14ac:dyDescent="0.25">
      <c r="A660" t="str">
        <f>IF(R660=0,"",COUNTIF(A$13:A659,"&gt;0")+1)</f>
        <v/>
      </c>
      <c r="B660" s="4"/>
      <c r="C660" s="5" t="s">
        <v>22</v>
      </c>
      <c r="D660" s="7" t="s">
        <v>1822</v>
      </c>
      <c r="E660" s="31"/>
      <c r="F660" s="31"/>
      <c r="G660" s="25" t="s">
        <v>49</v>
      </c>
      <c r="H660" s="7">
        <f>VLOOKUP(D660,A!B$1:L$1126,3,FALSE)</f>
        <v>2</v>
      </c>
      <c r="I660" s="31">
        <f>VLOOKUP(D660,A!B$1:L$1126,3,FALSE)</f>
        <v>2</v>
      </c>
      <c r="J660" s="92"/>
      <c r="K660" s="91" t="str">
        <f>VLOOKUP(D660,A!B$1:L$1126,6,FALSE)</f>
        <v/>
      </c>
      <c r="L660" s="162"/>
      <c r="M660" s="43" t="s">
        <v>1831</v>
      </c>
      <c r="N660" s="94" t="str">
        <f>VLOOKUP(D660,A!B$1:L$1125,2,FALSE)</f>
        <v>y</v>
      </c>
      <c r="O660" s="94">
        <f>VLOOKUP(D660,A!B$1:L$1126,4,FALSE)</f>
        <v>0</v>
      </c>
      <c r="P660" s="10"/>
      <c r="Q660" s="10"/>
      <c r="R660" s="10"/>
      <c r="S660" s="10"/>
      <c r="T660" s="10"/>
      <c r="U660" s="145"/>
      <c r="V660" s="10"/>
      <c r="W660" s="10"/>
      <c r="X660" s="29"/>
      <c r="Y660" s="29"/>
      <c r="Z660" s="29"/>
      <c r="AA660" s="29"/>
    </row>
    <row r="661" spans="1:111" s="1" customFormat="1" ht="12" hidden="1" customHeight="1" x14ac:dyDescent="0.25">
      <c r="A661" t="str">
        <f>IF(R661=0,"",COUNTIF(A$13:A660,"&gt;0")+1)</f>
        <v/>
      </c>
      <c r="B661" s="4"/>
      <c r="C661" s="5" t="s">
        <v>22</v>
      </c>
      <c r="D661" s="22" t="s">
        <v>767</v>
      </c>
      <c r="E661" s="89"/>
      <c r="F661" s="89"/>
      <c r="G661" s="25" t="s">
        <v>49</v>
      </c>
      <c r="H661" s="7">
        <f>VLOOKUP(D661,A!B$1:L$1126,3,FALSE)</f>
        <v>0</v>
      </c>
      <c r="I661" s="31">
        <f>VLOOKUP(D661,A!B$1:L$1126,3,FALSE)</f>
        <v>0</v>
      </c>
      <c r="J661" s="92"/>
      <c r="K661" s="91" t="str">
        <f>VLOOKUP(D661,A!B$1:L$1126,6,FALSE)</f>
        <v/>
      </c>
      <c r="L661" s="162"/>
      <c r="M661" s="44" t="s">
        <v>768</v>
      </c>
      <c r="N661" s="94">
        <f>VLOOKUP(D661,A!B$1:L$1125,2,FALSE)</f>
        <v>0</v>
      </c>
      <c r="O661" s="94">
        <f>VLOOKUP(D661,A!B$1:L$1126,4,FALSE)</f>
        <v>0</v>
      </c>
      <c r="P661" s="10">
        <v>10</v>
      </c>
      <c r="Q661" s="10">
        <v>2.69</v>
      </c>
      <c r="R661" s="10">
        <f t="shared" si="99"/>
        <v>0</v>
      </c>
      <c r="S661" s="10">
        <f t="shared" si="100"/>
        <v>0</v>
      </c>
      <c r="T661" s="10" t="s">
        <v>48</v>
      </c>
      <c r="U661" s="145">
        <v>0.33</v>
      </c>
      <c r="V661" s="10" t="str">
        <f>VLOOKUP(D661,A!B$1:T$1125,16,FALSE)</f>
        <v/>
      </c>
      <c r="W661" s="10">
        <f t="shared" si="101"/>
        <v>0</v>
      </c>
      <c r="X661" s="29"/>
      <c r="Y661" s="29"/>
      <c r="Z661" s="29"/>
      <c r="AA661" s="29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</row>
    <row r="662" spans="1:111" s="1" customFormat="1" ht="13.5" customHeight="1" x14ac:dyDescent="0.25">
      <c r="A662" t="str">
        <f>IF(R662=0,"",COUNTIF(A$13:A661,"&gt;0")+1)</f>
        <v/>
      </c>
      <c r="B662" s="4"/>
      <c r="C662" s="5" t="s">
        <v>22</v>
      </c>
      <c r="D662" s="7" t="s">
        <v>769</v>
      </c>
      <c r="E662" s="31"/>
      <c r="F662" s="31"/>
      <c r="G662" s="25" t="s">
        <v>49</v>
      </c>
      <c r="H662" s="7">
        <f>VLOOKUP(D662,A!B$1:L$1126,3,FALSE)</f>
        <v>2</v>
      </c>
      <c r="I662" s="31">
        <f>VLOOKUP(D662,A!B$1:L$1126,3,FALSE)</f>
        <v>2</v>
      </c>
      <c r="J662" s="92"/>
      <c r="K662" s="91" t="str">
        <f>VLOOKUP(D662,A!B$1:L$1126,6,FALSE)</f>
        <v/>
      </c>
      <c r="L662" s="162"/>
      <c r="M662" s="43" t="s">
        <v>770</v>
      </c>
      <c r="N662" s="94" t="str">
        <f>VLOOKUP(D662,A!B$1:L$1125,2,FALSE)</f>
        <v>y</v>
      </c>
      <c r="O662" s="94">
        <f>VLOOKUP(D662,A!B$1:L$1126,4,FALSE)</f>
        <v>1</v>
      </c>
      <c r="P662" s="10">
        <v>10</v>
      </c>
      <c r="Q662" s="10">
        <v>2.69</v>
      </c>
      <c r="R662" s="10">
        <f t="shared" si="99"/>
        <v>0</v>
      </c>
      <c r="S662" s="10">
        <f t="shared" si="100"/>
        <v>0</v>
      </c>
      <c r="T662" s="10" t="s">
        <v>48</v>
      </c>
      <c r="U662" s="145">
        <v>0.33</v>
      </c>
      <c r="V662" s="10" t="str">
        <f>VLOOKUP(D662,A!B$1:T$1125,16,FALSE)</f>
        <v/>
      </c>
      <c r="W662" s="10">
        <f t="shared" si="101"/>
        <v>0</v>
      </c>
      <c r="X662" s="29"/>
      <c r="Y662" s="29"/>
      <c r="Z662" s="29"/>
      <c r="AA662" s="29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</row>
    <row r="663" spans="1:111" s="1" customFormat="1" ht="13.5" customHeight="1" x14ac:dyDescent="0.25">
      <c r="A663" t="str">
        <f>IF(R663=0,"",COUNTIF(A$13:A662,"&gt;0")+1)</f>
        <v/>
      </c>
      <c r="B663" s="4"/>
      <c r="C663" s="5" t="s">
        <v>22</v>
      </c>
      <c r="D663" s="7" t="s">
        <v>50</v>
      </c>
      <c r="E663" s="31"/>
      <c r="F663" s="31"/>
      <c r="G663" s="25" t="s">
        <v>49</v>
      </c>
      <c r="H663" s="7">
        <f>VLOOKUP(D663,A!B$1:L$1126,3,FALSE)</f>
        <v>2</v>
      </c>
      <c r="I663" s="31">
        <f>VLOOKUP(D663,A!B$1:L$1126,3,FALSE)</f>
        <v>2</v>
      </c>
      <c r="J663" s="92"/>
      <c r="K663" s="91" t="str">
        <f>VLOOKUP(D663,A!B$1:L$1126,6,FALSE)</f>
        <v/>
      </c>
      <c r="L663" s="2"/>
      <c r="M663" s="43" t="s">
        <v>1796</v>
      </c>
      <c r="N663" s="94" t="str">
        <f>VLOOKUP(D663,A!B$1:L$1125,2,FALSE)</f>
        <v>y</v>
      </c>
      <c r="O663" s="94">
        <f>VLOOKUP(D663,A!B$1:L$1126,4,FALSE)</f>
        <v>1</v>
      </c>
      <c r="P663" s="10">
        <v>10</v>
      </c>
      <c r="Q663" s="10">
        <v>2.69</v>
      </c>
      <c r="R663" s="10">
        <f t="shared" si="99"/>
        <v>0</v>
      </c>
      <c r="S663" s="10">
        <f t="shared" si="100"/>
        <v>0</v>
      </c>
      <c r="T663" s="10" t="s">
        <v>48</v>
      </c>
      <c r="U663" s="145">
        <v>0.33</v>
      </c>
      <c r="V663" s="10" t="str">
        <f>VLOOKUP(D663,A!B$1:T$1125,16,FALSE)</f>
        <v/>
      </c>
      <c r="W663" s="10">
        <f t="shared" si="101"/>
        <v>0</v>
      </c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</row>
    <row r="664" spans="1:111" s="3" customFormat="1" ht="13.5" customHeight="1" x14ac:dyDescent="0.25">
      <c r="A664" t="str">
        <f>IF(R664=0,"",COUNTIF(A$13:A663,"&gt;0")+1)</f>
        <v/>
      </c>
      <c r="B664" s="4"/>
      <c r="C664" s="5" t="s">
        <v>22</v>
      </c>
      <c r="D664" s="22" t="s">
        <v>771</v>
      </c>
      <c r="E664" s="89"/>
      <c r="F664" s="89"/>
      <c r="G664" s="25" t="s">
        <v>49</v>
      </c>
      <c r="H664" s="7">
        <f>VLOOKUP(D664,A!B$1:L$1126,3,FALSE)</f>
        <v>2</v>
      </c>
      <c r="I664" s="31">
        <f>VLOOKUP(D664,A!B$1:L$1126,3,FALSE)</f>
        <v>2</v>
      </c>
      <c r="J664" s="92"/>
      <c r="K664" s="91" t="str">
        <f>VLOOKUP(D664,A!B$1:L$1126,6,FALSE)</f>
        <v/>
      </c>
      <c r="L664" s="162"/>
      <c r="M664" s="39" t="s">
        <v>772</v>
      </c>
      <c r="N664" s="94" t="str">
        <f>VLOOKUP(D664,A!B$1:L$1125,2,FALSE)</f>
        <v>y</v>
      </c>
      <c r="O664" s="94">
        <f>VLOOKUP(D664,A!B$1:L$1126,4,FALSE)</f>
        <v>0</v>
      </c>
      <c r="P664" s="10">
        <v>10</v>
      </c>
      <c r="Q664" s="10">
        <v>2.69</v>
      </c>
      <c r="R664" s="10">
        <f t="shared" si="99"/>
        <v>0</v>
      </c>
      <c r="S664" s="10">
        <f t="shared" si="100"/>
        <v>0</v>
      </c>
      <c r="T664" s="10" t="s">
        <v>48</v>
      </c>
      <c r="U664" s="145">
        <v>0.33</v>
      </c>
      <c r="V664" s="10" t="str">
        <f>VLOOKUP(D664,A!B$1:T$1125,16,FALSE)</f>
        <v/>
      </c>
      <c r="W664" s="10">
        <f t="shared" si="101"/>
        <v>0</v>
      </c>
      <c r="X664" s="29"/>
      <c r="Y664" s="29"/>
      <c r="Z664" s="29"/>
      <c r="AA664" s="29"/>
    </row>
    <row r="665" spans="1:111" s="8" customFormat="1" ht="13.5" customHeight="1" x14ac:dyDescent="0.25">
      <c r="A665" t="str">
        <f>IF(R665=0,"",COUNTIF(A$13:A664,"&gt;0")+1)</f>
        <v/>
      </c>
      <c r="B665" s="4"/>
      <c r="C665" s="5" t="s">
        <v>22</v>
      </c>
      <c r="D665" s="7" t="s">
        <v>157</v>
      </c>
      <c r="E665" s="31"/>
      <c r="F665" s="31"/>
      <c r="G665" s="6" t="s">
        <v>49</v>
      </c>
      <c r="H665" s="7">
        <f>VLOOKUP(D665,A!B$1:L$1126,3,FALSE)</f>
        <v>2</v>
      </c>
      <c r="I665" s="31">
        <f>VLOOKUP(D665,A!B$1:L$1126,3,FALSE)</f>
        <v>2</v>
      </c>
      <c r="J665" s="92"/>
      <c r="K665" s="91" t="str">
        <f>VLOOKUP(D665,A!B$1:L$1126,6,FALSE)</f>
        <v/>
      </c>
      <c r="L665" s="2"/>
      <c r="M665" s="43" t="s">
        <v>158</v>
      </c>
      <c r="N665" s="94" t="str">
        <f>VLOOKUP(D665,A!B$1:L$1125,2,FALSE)</f>
        <v>y</v>
      </c>
      <c r="O665" s="94">
        <f>VLOOKUP(D665,A!B$1:L$1126,4,FALSE)</f>
        <v>1</v>
      </c>
      <c r="P665" s="10">
        <v>10</v>
      </c>
      <c r="Q665" s="10">
        <v>2.69</v>
      </c>
      <c r="R665" s="10">
        <f t="shared" si="99"/>
        <v>0</v>
      </c>
      <c r="S665" s="10">
        <f t="shared" si="100"/>
        <v>0</v>
      </c>
      <c r="T665" s="10" t="s">
        <v>48</v>
      </c>
      <c r="U665" s="145">
        <v>0.33</v>
      </c>
      <c r="V665" s="10" t="str">
        <f>VLOOKUP(D665,A!B$1:T$1125,16,FALSE)</f>
        <v/>
      </c>
      <c r="W665" s="10">
        <f t="shared" si="101"/>
        <v>0</v>
      </c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</row>
    <row r="666" spans="1:111" s="8" customFormat="1" ht="12" hidden="1" customHeight="1" x14ac:dyDescent="0.25">
      <c r="A666" t="str">
        <f>IF(R666=0,"",COUNTIF(A$13:A665,"&gt;0")+1)</f>
        <v/>
      </c>
      <c r="B666" s="4"/>
      <c r="C666" s="5" t="s">
        <v>22</v>
      </c>
      <c r="D666" s="7" t="s">
        <v>773</v>
      </c>
      <c r="E666" s="31"/>
      <c r="F666" s="31"/>
      <c r="G666" s="6" t="s">
        <v>49</v>
      </c>
      <c r="H666" s="7">
        <f>VLOOKUP(D666,A!B$1:L$1126,3,FALSE)</f>
        <v>0</v>
      </c>
      <c r="I666" s="31">
        <f>VLOOKUP(D666,A!B$1:L$1126,3,FALSE)</f>
        <v>0</v>
      </c>
      <c r="J666" s="92"/>
      <c r="K666" s="63" t="str">
        <f>VLOOKUP(D666,A!B$1:L$1126,6,FALSE)</f>
        <v/>
      </c>
      <c r="L666" s="162"/>
      <c r="M666" s="43" t="s">
        <v>720</v>
      </c>
      <c r="N666" s="94">
        <f>VLOOKUP(D666,A!B$1:L$1125,2,FALSE)</f>
        <v>0</v>
      </c>
      <c r="O666" s="94">
        <f>VLOOKUP(D666,A!B$1:L$1126,4,FALSE)</f>
        <v>0</v>
      </c>
      <c r="P666" s="10">
        <v>10</v>
      </c>
      <c r="Q666" s="10">
        <v>2.69</v>
      </c>
      <c r="R666" s="10">
        <f>B666*P666</f>
        <v>0</v>
      </c>
      <c r="S666" s="10">
        <f>R666*Q666</f>
        <v>0</v>
      </c>
      <c r="T666" s="10" t="s">
        <v>48</v>
      </c>
      <c r="U666" s="145">
        <v>0.33</v>
      </c>
      <c r="V666" s="10" t="str">
        <f>VLOOKUP(D666,A!B$1:T$1125,16,FALSE)</f>
        <v/>
      </c>
      <c r="W666" s="10">
        <f>U666*B666</f>
        <v>0</v>
      </c>
      <c r="X666" s="29"/>
      <c r="Y666" s="29"/>
      <c r="Z666" s="29"/>
      <c r="AA666" s="29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</row>
    <row r="667" spans="1:111" s="3" customFormat="1" ht="13.5" customHeight="1" x14ac:dyDescent="0.25">
      <c r="A667" t="str">
        <f>IF(R667=0,"",COUNTIF(A$13:A666,"&gt;0")+1)</f>
        <v/>
      </c>
      <c r="B667" s="82">
        <f>SUM(B610:B666)</f>
        <v>0</v>
      </c>
      <c r="C667" s="5" t="s">
        <v>22</v>
      </c>
      <c r="D667" s="24" t="s">
        <v>36</v>
      </c>
      <c r="E667" s="88"/>
      <c r="F667" s="96"/>
      <c r="G667" s="84"/>
      <c r="H667" s="84"/>
      <c r="I667" s="84"/>
      <c r="J667" s="84"/>
      <c r="K667" s="84"/>
      <c r="L667" s="84"/>
      <c r="M667" s="84"/>
      <c r="N667" s="100"/>
      <c r="O667" s="100"/>
      <c r="P667" s="10">
        <v>10</v>
      </c>
      <c r="Q667" s="151"/>
      <c r="R667" s="10">
        <f>B667*P667</f>
        <v>0</v>
      </c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</row>
    <row r="668" spans="1:111" ht="9.75" customHeight="1" x14ac:dyDescent="0.25">
      <c r="A668" t="str">
        <f>IF(R668=0,"",COUNTIF(A$13:A667,"&gt;0")+1)</f>
        <v/>
      </c>
      <c r="N668" s="102"/>
      <c r="O668" s="102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  <c r="AA668" s="115"/>
      <c r="AB668" s="115"/>
      <c r="AC668" s="115"/>
      <c r="AD668" s="115"/>
      <c r="AE668" s="115"/>
      <c r="AF668" s="115"/>
      <c r="AG668" s="115"/>
      <c r="AH668" s="115"/>
      <c r="AI668" s="115"/>
      <c r="AJ668" s="115"/>
      <c r="AK668" s="115"/>
      <c r="AL668" s="115"/>
      <c r="AM668" s="115"/>
      <c r="AN668" s="115"/>
      <c r="AO668" s="115"/>
      <c r="AP668" s="115"/>
      <c r="AQ668" s="115"/>
      <c r="AR668" s="115"/>
      <c r="AS668" s="115"/>
      <c r="AT668" s="115"/>
      <c r="AU668" s="115"/>
      <c r="AV668" s="115"/>
      <c r="AW668" s="115"/>
      <c r="AX668" s="115"/>
      <c r="AY668" s="115"/>
      <c r="AZ668" s="115"/>
      <c r="BA668" s="115"/>
      <c r="BB668" s="115"/>
      <c r="BC668" s="115"/>
      <c r="BD668" s="115"/>
      <c r="BE668" s="115"/>
      <c r="BF668" s="115"/>
      <c r="BG668" s="115"/>
      <c r="BH668" s="115"/>
      <c r="BI668" s="115"/>
      <c r="BJ668" s="115"/>
      <c r="BK668" s="115"/>
      <c r="BL668" s="115"/>
      <c r="BM668" s="115"/>
      <c r="BN668" s="115"/>
      <c r="BO668" s="115"/>
    </row>
    <row r="669" spans="1:111" s="3" customFormat="1" ht="21" customHeight="1" x14ac:dyDescent="0.25">
      <c r="A669" t="str">
        <f>IF(R669=0,"",COUNTIF(A$13:A668,"&gt;0")+1)</f>
        <v/>
      </c>
      <c r="B669" s="234" t="s">
        <v>51</v>
      </c>
      <c r="C669" s="235"/>
      <c r="D669" s="235"/>
      <c r="E669" s="83"/>
      <c r="F669" s="83"/>
      <c r="G669" s="45"/>
      <c r="H669" s="123"/>
      <c r="I669" s="124"/>
      <c r="J669" s="137"/>
      <c r="K669" s="137"/>
      <c r="L669" s="137" t="s">
        <v>73</v>
      </c>
      <c r="M669" s="27">
        <v>3.25</v>
      </c>
      <c r="N669" s="93"/>
      <c r="O669" s="93"/>
      <c r="P669" s="30"/>
      <c r="Q669" s="30"/>
      <c r="R669" s="30"/>
      <c r="S669" s="10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</row>
    <row r="670" spans="1:111" s="3" customFormat="1" ht="12" customHeight="1" x14ac:dyDescent="0.25">
      <c r="A670" t="str">
        <f>IF(R670=0,"",COUNTIF(A$13:A669,"&gt;0")+1)</f>
        <v/>
      </c>
      <c r="B670" s="237" t="s">
        <v>18</v>
      </c>
      <c r="C670" s="238"/>
      <c r="D670" s="16" t="s">
        <v>19</v>
      </c>
      <c r="E670" s="86"/>
      <c r="F670" s="86"/>
      <c r="G670" s="17" t="s">
        <v>20</v>
      </c>
      <c r="H670" s="118"/>
      <c r="I670" s="117"/>
      <c r="J670" s="117"/>
      <c r="K670" s="122" t="s">
        <v>17</v>
      </c>
      <c r="L670" s="119">
        <v>5021353014273</v>
      </c>
      <c r="M670" s="120" t="s">
        <v>21</v>
      </c>
      <c r="N670" s="93"/>
      <c r="O670" s="93"/>
      <c r="P670" s="30"/>
      <c r="Q670" s="30"/>
      <c r="R670" s="3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</row>
    <row r="671" spans="1:111" s="3" customFormat="1" ht="13.5" customHeight="1" x14ac:dyDescent="0.25">
      <c r="A671" t="str">
        <f>IF(R671=0,"",COUNTIF(A$13:A670,"&gt;0")+1)</f>
        <v/>
      </c>
      <c r="B671" s="4"/>
      <c r="C671" s="5" t="s">
        <v>22</v>
      </c>
      <c r="D671" s="7" t="s">
        <v>128</v>
      </c>
      <c r="E671" s="31"/>
      <c r="F671" s="31"/>
      <c r="G671" s="23" t="s">
        <v>129</v>
      </c>
      <c r="H671" s="7">
        <f>VLOOKUP(D671,A!B$1:L$1126,3,FALSE)</f>
        <v>1</v>
      </c>
      <c r="I671" s="31">
        <f>VLOOKUP(D671,A!B$1:L$1126,3,FALSE)</f>
        <v>1</v>
      </c>
      <c r="J671" s="92"/>
      <c r="K671" s="91" t="str">
        <f>VLOOKUP(D671,A!B$1:L$1126,6,FALSE)</f>
        <v/>
      </c>
      <c r="L671" s="31"/>
      <c r="M671" s="39" t="s">
        <v>60</v>
      </c>
      <c r="N671" s="94" t="str">
        <f>VLOOKUP(D671,A!B$1:L$1125,2,FALSE)</f>
        <v>y</v>
      </c>
      <c r="O671" s="94">
        <f>VLOOKUP(D671,A!B$1:L$1126,4,FALSE)</f>
        <v>0</v>
      </c>
      <c r="P671" s="10">
        <v>10</v>
      </c>
      <c r="Q671" s="10">
        <v>3.25</v>
      </c>
      <c r="R671" s="10">
        <f t="shared" ref="R671:R694" si="102">B671*P671</f>
        <v>0</v>
      </c>
      <c r="S671" s="10">
        <f t="shared" ref="S671:S694" si="103">R671*Q671</f>
        <v>0</v>
      </c>
      <c r="T671" s="10" t="s">
        <v>323</v>
      </c>
      <c r="U671" s="145">
        <v>0.33</v>
      </c>
      <c r="V671" s="10" t="str">
        <f>VLOOKUP(D671,A!B$1:T$1125,16,FALSE)</f>
        <v/>
      </c>
      <c r="W671" s="10">
        <f t="shared" ref="W671:W694" si="104">U671*B671</f>
        <v>0</v>
      </c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</row>
    <row r="672" spans="1:111" s="3" customFormat="1" ht="13.5" hidden="1" customHeight="1" x14ac:dyDescent="0.25">
      <c r="A672" t="str">
        <f>IF(R672=0,"",COUNTIF(A$13:A671,"&gt;0")+1)</f>
        <v/>
      </c>
      <c r="B672" s="4"/>
      <c r="C672" s="5" t="s">
        <v>22</v>
      </c>
      <c r="D672" s="7" t="s">
        <v>358</v>
      </c>
      <c r="E672" s="31"/>
      <c r="F672" s="31"/>
      <c r="G672" s="6" t="s">
        <v>359</v>
      </c>
      <c r="H672" s="7">
        <f>VLOOKUP(D672,A!B$1:L$1126,3,FALSE)</f>
        <v>0</v>
      </c>
      <c r="I672" s="31">
        <f>VLOOKUP(D672,A!B$1:L$1126,3,FALSE)</f>
        <v>0</v>
      </c>
      <c r="J672" s="92"/>
      <c r="K672" s="91" t="str">
        <f>VLOOKUP(D672,A!B$1:L$1126,6,FALSE)</f>
        <v/>
      </c>
      <c r="L672" s="162"/>
      <c r="M672" s="41" t="s">
        <v>360</v>
      </c>
      <c r="N672" s="94">
        <f>VLOOKUP(D672,A!B$1:L$1125,2,FALSE)</f>
        <v>0</v>
      </c>
      <c r="O672" s="94">
        <f>VLOOKUP(D672,A!B$1:L$1126,4,FALSE)</f>
        <v>0</v>
      </c>
      <c r="P672" s="10">
        <v>10</v>
      </c>
      <c r="Q672" s="10">
        <v>3.25</v>
      </c>
      <c r="R672" s="10">
        <f t="shared" si="102"/>
        <v>0</v>
      </c>
      <c r="S672" s="10">
        <f t="shared" si="103"/>
        <v>0</v>
      </c>
      <c r="T672" s="10" t="s">
        <v>323</v>
      </c>
      <c r="U672" s="145">
        <v>0.33</v>
      </c>
      <c r="V672" s="10" t="str">
        <f>VLOOKUP(D672,A!B$1:T$1125,16,FALSE)</f>
        <v/>
      </c>
      <c r="W672" s="10">
        <f t="shared" si="104"/>
        <v>0</v>
      </c>
      <c r="X672" s="29"/>
      <c r="Y672" s="29"/>
      <c r="Z672" s="29"/>
      <c r="AA672" s="29"/>
    </row>
    <row r="673" spans="1:27" s="3" customFormat="1" ht="13.5" hidden="1" customHeight="1" x14ac:dyDescent="0.25">
      <c r="A673" t="str">
        <f>IF(R673=0,"",COUNTIF(A$13:A672,"&gt;0")+1)</f>
        <v/>
      </c>
      <c r="B673" s="4"/>
      <c r="C673" s="5" t="s">
        <v>22</v>
      </c>
      <c r="D673" s="7" t="s">
        <v>361</v>
      </c>
      <c r="E673" s="31"/>
      <c r="F673" s="31"/>
      <c r="G673" s="6" t="s">
        <v>359</v>
      </c>
      <c r="H673" s="7">
        <f>VLOOKUP(D673,A!B$1:L$1126,3,FALSE)</f>
        <v>0</v>
      </c>
      <c r="I673" s="31">
        <f>VLOOKUP(D673,A!B$1:L$1126,3,FALSE)</f>
        <v>0</v>
      </c>
      <c r="J673" s="92"/>
      <c r="K673" s="91" t="str">
        <f>VLOOKUP(D673,A!B$1:L$1126,6,FALSE)</f>
        <v/>
      </c>
      <c r="L673" s="162"/>
      <c r="M673" s="41" t="s">
        <v>362</v>
      </c>
      <c r="N673" s="94">
        <f>VLOOKUP(D673,A!B$1:L$1125,2,FALSE)</f>
        <v>0</v>
      </c>
      <c r="O673" s="94">
        <f>VLOOKUP(D673,A!B$1:L$1126,4,FALSE)</f>
        <v>0</v>
      </c>
      <c r="P673" s="10">
        <v>10</v>
      </c>
      <c r="Q673" s="10">
        <v>3.25</v>
      </c>
      <c r="R673" s="10">
        <f t="shared" si="102"/>
        <v>0</v>
      </c>
      <c r="S673" s="10">
        <f t="shared" si="103"/>
        <v>0</v>
      </c>
      <c r="T673" s="10" t="s">
        <v>323</v>
      </c>
      <c r="U673" s="145">
        <v>0.33</v>
      </c>
      <c r="V673" s="10" t="str">
        <f>VLOOKUP(D673,A!B$1:T$1125,16,FALSE)</f>
        <v/>
      </c>
      <c r="W673" s="10">
        <f t="shared" si="104"/>
        <v>0</v>
      </c>
      <c r="X673" s="29"/>
      <c r="Y673" s="29"/>
      <c r="Z673" s="29"/>
      <c r="AA673" s="29"/>
    </row>
    <row r="674" spans="1:27" s="3" customFormat="1" ht="13.5" hidden="1" customHeight="1" x14ac:dyDescent="0.25">
      <c r="A674" t="str">
        <f>IF(R674=0,"",COUNTIF(A$13:A673,"&gt;0")+1)</f>
        <v/>
      </c>
      <c r="B674" s="4"/>
      <c r="C674" s="5" t="s">
        <v>22</v>
      </c>
      <c r="D674" s="7" t="s">
        <v>363</v>
      </c>
      <c r="E674" s="31"/>
      <c r="F674" s="31"/>
      <c r="G674" s="6" t="s">
        <v>364</v>
      </c>
      <c r="H674" s="7">
        <f>VLOOKUP(D674,A!B$1:L$1126,3,FALSE)</f>
        <v>0</v>
      </c>
      <c r="I674" s="31">
        <f>VLOOKUP(D674,A!B$1:L$1126,3,FALSE)</f>
        <v>0</v>
      </c>
      <c r="J674" s="92"/>
      <c r="K674" s="91" t="str">
        <f>VLOOKUP(D674,A!B$1:L$1126,6,FALSE)</f>
        <v/>
      </c>
      <c r="L674" s="162"/>
      <c r="M674" s="43" t="s">
        <v>365</v>
      </c>
      <c r="N674" s="94">
        <f>VLOOKUP(D674,A!B$1:L$1125,2,FALSE)</f>
        <v>0</v>
      </c>
      <c r="O674" s="94">
        <f>VLOOKUP(D674,A!B$1:L$1126,4,FALSE)</f>
        <v>0</v>
      </c>
      <c r="P674" s="10">
        <v>10</v>
      </c>
      <c r="Q674" s="10">
        <v>3.25</v>
      </c>
      <c r="R674" s="10">
        <f t="shared" si="102"/>
        <v>0</v>
      </c>
      <c r="S674" s="10">
        <f t="shared" si="103"/>
        <v>0</v>
      </c>
      <c r="T674" s="10" t="s">
        <v>323</v>
      </c>
      <c r="U674" s="145">
        <v>0.33</v>
      </c>
      <c r="V674" s="10" t="str">
        <f>VLOOKUP(D674,A!B$1:T$1125,16,FALSE)</f>
        <v/>
      </c>
      <c r="W674" s="10">
        <f t="shared" si="104"/>
        <v>0</v>
      </c>
      <c r="X674" s="29"/>
      <c r="Y674" s="29"/>
      <c r="Z674" s="29"/>
      <c r="AA674" s="29"/>
    </row>
    <row r="675" spans="1:27" s="3" customFormat="1" ht="13.5" hidden="1" customHeight="1" x14ac:dyDescent="0.25">
      <c r="A675" t="str">
        <f>IF(R675=0,"",COUNTIF(A$13:A674,"&gt;0")+1)</f>
        <v/>
      </c>
      <c r="B675" s="4"/>
      <c r="C675" s="5" t="s">
        <v>22</v>
      </c>
      <c r="D675" s="7" t="s">
        <v>366</v>
      </c>
      <c r="E675" s="31"/>
      <c r="F675" s="31"/>
      <c r="G675" s="6" t="s">
        <v>364</v>
      </c>
      <c r="H675" s="7">
        <f>VLOOKUP(D675,A!B$1:L$1126,3,FALSE)</f>
        <v>0</v>
      </c>
      <c r="I675" s="31">
        <f>VLOOKUP(D675,A!B$1:L$1126,3,FALSE)</f>
        <v>0</v>
      </c>
      <c r="J675" s="92"/>
      <c r="K675" s="91" t="str">
        <f>VLOOKUP(D675,A!B$1:L$1126,6,FALSE)</f>
        <v/>
      </c>
      <c r="L675" s="162"/>
      <c r="M675" s="43" t="s">
        <v>367</v>
      </c>
      <c r="N675" s="94">
        <f>VLOOKUP(D675,A!B$1:L$1125,2,FALSE)</f>
        <v>0</v>
      </c>
      <c r="O675" s="94">
        <f>VLOOKUP(D675,A!B$1:L$1126,4,FALSE)</f>
        <v>0</v>
      </c>
      <c r="P675" s="10">
        <v>10</v>
      </c>
      <c r="Q675" s="10">
        <v>3.25</v>
      </c>
      <c r="R675" s="10">
        <f t="shared" si="102"/>
        <v>0</v>
      </c>
      <c r="S675" s="10">
        <f t="shared" si="103"/>
        <v>0</v>
      </c>
      <c r="T675" s="10" t="s">
        <v>323</v>
      </c>
      <c r="U675" s="145">
        <v>0.33</v>
      </c>
      <c r="V675" s="10" t="str">
        <f>VLOOKUP(D675,A!B$1:T$1125,16,FALSE)</f>
        <v/>
      </c>
      <c r="W675" s="10">
        <f t="shared" si="104"/>
        <v>0</v>
      </c>
      <c r="X675" s="29"/>
      <c r="Y675" s="29"/>
      <c r="Z675" s="29"/>
      <c r="AA675" s="29"/>
    </row>
    <row r="676" spans="1:27" s="3" customFormat="1" ht="13.5" hidden="1" customHeight="1" x14ac:dyDescent="0.25">
      <c r="A676" t="str">
        <f>IF(R676=0,"",COUNTIF(A$13:A675,"&gt;0")+1)</f>
        <v/>
      </c>
      <c r="B676" s="4"/>
      <c r="C676" s="5" t="s">
        <v>22</v>
      </c>
      <c r="D676" s="7" t="s">
        <v>368</v>
      </c>
      <c r="E676" s="31"/>
      <c r="F676" s="31"/>
      <c r="G676" s="6" t="s">
        <v>369</v>
      </c>
      <c r="H676" s="7">
        <f>VLOOKUP(D676,A!B$1:L$1126,3,FALSE)</f>
        <v>0</v>
      </c>
      <c r="I676" s="31">
        <f>VLOOKUP(D676,A!B$1:L$1126,3,FALSE)</f>
        <v>0</v>
      </c>
      <c r="J676" s="92"/>
      <c r="K676" s="91" t="str">
        <f>VLOOKUP(D676,A!B$1:L$1126,6,FALSE)</f>
        <v/>
      </c>
      <c r="L676" s="162"/>
      <c r="M676" s="43" t="s">
        <v>370</v>
      </c>
      <c r="N676" s="94">
        <f>VLOOKUP(D676,A!B$1:L$1125,2,FALSE)</f>
        <v>0</v>
      </c>
      <c r="O676" s="94">
        <f>VLOOKUP(D676,A!B$1:L$1126,4,FALSE)</f>
        <v>0</v>
      </c>
      <c r="P676" s="10">
        <v>10</v>
      </c>
      <c r="Q676" s="10">
        <v>3.25</v>
      </c>
      <c r="R676" s="10">
        <f t="shared" si="102"/>
        <v>0</v>
      </c>
      <c r="S676" s="10">
        <f t="shared" si="103"/>
        <v>0</v>
      </c>
      <c r="T676" s="10" t="s">
        <v>323</v>
      </c>
      <c r="U676" s="145">
        <v>0.33</v>
      </c>
      <c r="V676" s="10" t="str">
        <f>VLOOKUP(D676,A!B$1:T$1125,16,FALSE)</f>
        <v/>
      </c>
      <c r="W676" s="10">
        <f t="shared" si="104"/>
        <v>0</v>
      </c>
      <c r="X676" s="29"/>
      <c r="Y676" s="29"/>
      <c r="Z676" s="29"/>
      <c r="AA676" s="29"/>
    </row>
    <row r="677" spans="1:27" s="3" customFormat="1" ht="13.5" customHeight="1" x14ac:dyDescent="0.25">
      <c r="A677" t="str">
        <f>IF(R677=0,"",COUNTIF(A$13:A676,"&gt;0")+1)</f>
        <v/>
      </c>
      <c r="B677" s="4"/>
      <c r="C677" s="5" t="s">
        <v>22</v>
      </c>
      <c r="D677" s="7" t="s">
        <v>1821</v>
      </c>
      <c r="E677" s="31"/>
      <c r="F677" s="31"/>
      <c r="G677" s="6"/>
      <c r="H677" s="7">
        <f>VLOOKUP(D677,A!B$1:L$1126,3,FALSE)</f>
        <v>1</v>
      </c>
      <c r="I677" s="31">
        <f>VLOOKUP(D677,A!B$1:L$1126,3,FALSE)</f>
        <v>1</v>
      </c>
      <c r="J677" s="92"/>
      <c r="K677" s="91" t="str">
        <f>VLOOKUP(D677,A!B$1:L$1126,6,FALSE)</f>
        <v/>
      </c>
      <c r="L677" s="162"/>
      <c r="M677" s="43" t="s">
        <v>1832</v>
      </c>
      <c r="N677" s="94" t="str">
        <f>VLOOKUP(D677,A!B$1:L$1125,2,FALSE)</f>
        <v>Y</v>
      </c>
      <c r="O677" s="94">
        <f>VLOOKUP(D677,A!B$1:L$1126,4,FALSE)</f>
        <v>0</v>
      </c>
      <c r="P677" s="10">
        <v>10</v>
      </c>
      <c r="Q677" s="10">
        <v>3.25</v>
      </c>
      <c r="R677" s="10">
        <f t="shared" ref="R677" si="105">B677*P677</f>
        <v>0</v>
      </c>
      <c r="S677" s="10">
        <f t="shared" ref="S677" si="106">R677*Q677</f>
        <v>0</v>
      </c>
      <c r="T677" s="10" t="s">
        <v>323</v>
      </c>
      <c r="U677" s="145">
        <v>0.33</v>
      </c>
      <c r="V677" s="10">
        <f>VLOOKUP(D677,A!B$1:T$1125,16,FALSE)</f>
        <v>0</v>
      </c>
      <c r="W677" s="10">
        <f t="shared" ref="W677" si="107">U677*B677</f>
        <v>0</v>
      </c>
      <c r="X677" s="29"/>
      <c r="Y677" s="29"/>
      <c r="Z677" s="29"/>
      <c r="AA677" s="29"/>
    </row>
    <row r="678" spans="1:27" s="3" customFormat="1" ht="13.5" hidden="1" customHeight="1" x14ac:dyDescent="0.25">
      <c r="A678" t="str">
        <f>IF(R678=0,"",COUNTIF(A$13:A677,"&gt;0")+1)</f>
        <v/>
      </c>
      <c r="B678" s="4"/>
      <c r="C678" s="5" t="s">
        <v>22</v>
      </c>
      <c r="D678" s="7" t="s">
        <v>371</v>
      </c>
      <c r="E678" s="31"/>
      <c r="F678" s="31"/>
      <c r="G678" s="6" t="s">
        <v>372</v>
      </c>
      <c r="H678" s="7">
        <f>VLOOKUP(D678,A!B$1:L$1126,3,FALSE)</f>
        <v>0</v>
      </c>
      <c r="I678" s="31">
        <f>VLOOKUP(D678,A!B$1:L$1126,3,FALSE)</f>
        <v>0</v>
      </c>
      <c r="J678" s="92"/>
      <c r="K678" s="91" t="str">
        <f>VLOOKUP(D678,A!B$1:L$1126,6,FALSE)</f>
        <v/>
      </c>
      <c r="L678" s="162"/>
      <c r="M678" s="43" t="s">
        <v>373</v>
      </c>
      <c r="N678" s="94">
        <f>VLOOKUP(D678,A!B$1:L$1125,2,FALSE)</f>
        <v>0</v>
      </c>
      <c r="O678" s="94">
        <f>VLOOKUP(D678,A!B$1:L$1126,4,FALSE)</f>
        <v>0</v>
      </c>
      <c r="P678" s="10">
        <v>10</v>
      </c>
      <c r="Q678" s="10">
        <v>3.25</v>
      </c>
      <c r="R678" s="10">
        <f t="shared" si="102"/>
        <v>0</v>
      </c>
      <c r="S678" s="10">
        <f t="shared" si="103"/>
        <v>0</v>
      </c>
      <c r="T678" s="10" t="s">
        <v>323</v>
      </c>
      <c r="U678" s="145">
        <v>0.33</v>
      </c>
      <c r="V678" s="10" t="str">
        <f>VLOOKUP(D678,A!B$1:T$1125,16,FALSE)</f>
        <v/>
      </c>
      <c r="W678" s="10">
        <f t="shared" si="104"/>
        <v>0</v>
      </c>
      <c r="X678" s="29"/>
      <c r="Y678" s="29"/>
      <c r="Z678" s="29"/>
      <c r="AA678" s="29"/>
    </row>
    <row r="679" spans="1:27" s="3" customFormat="1" ht="13.5" hidden="1" customHeight="1" x14ac:dyDescent="0.25">
      <c r="A679" t="str">
        <f>IF(R679=0,"",COUNTIF(A$13:A678,"&gt;0")+1)</f>
        <v/>
      </c>
      <c r="B679" s="4"/>
      <c r="C679" s="5" t="s">
        <v>22</v>
      </c>
      <c r="D679" s="7" t="s">
        <v>374</v>
      </c>
      <c r="E679" s="31"/>
      <c r="F679" s="31"/>
      <c r="G679" s="6" t="s">
        <v>375</v>
      </c>
      <c r="H679" s="7">
        <f>VLOOKUP(D679,A!B$1:L$1126,3,FALSE)</f>
        <v>0</v>
      </c>
      <c r="I679" s="31">
        <f>VLOOKUP(D679,A!B$1:L$1126,3,FALSE)</f>
        <v>0</v>
      </c>
      <c r="J679" s="92"/>
      <c r="K679" s="91" t="str">
        <f>VLOOKUP(D679,A!B$1:L$1126,6,FALSE)</f>
        <v/>
      </c>
      <c r="L679" s="162"/>
      <c r="M679" s="41" t="s">
        <v>376</v>
      </c>
      <c r="N679" s="94">
        <f>VLOOKUP(D679,A!B$1:L$1125,2,FALSE)</f>
        <v>0</v>
      </c>
      <c r="O679" s="94">
        <f>VLOOKUP(D679,A!B$1:L$1126,4,FALSE)</f>
        <v>0</v>
      </c>
      <c r="P679" s="10">
        <v>10</v>
      </c>
      <c r="Q679" s="10">
        <v>3.25</v>
      </c>
      <c r="R679" s="10">
        <f t="shared" si="102"/>
        <v>0</v>
      </c>
      <c r="S679" s="10">
        <f t="shared" si="103"/>
        <v>0</v>
      </c>
      <c r="T679" s="10" t="s">
        <v>323</v>
      </c>
      <c r="U679" s="145">
        <v>0.33</v>
      </c>
      <c r="V679" s="10" t="str">
        <f>VLOOKUP(D679,A!B$1:T$1125,16,FALSE)</f>
        <v/>
      </c>
      <c r="W679" s="10">
        <f t="shared" si="104"/>
        <v>0</v>
      </c>
      <c r="X679" s="29"/>
      <c r="Y679" s="29"/>
      <c r="Z679" s="29"/>
      <c r="AA679" s="29"/>
    </row>
    <row r="680" spans="1:27" s="3" customFormat="1" ht="13.5" hidden="1" customHeight="1" x14ac:dyDescent="0.25">
      <c r="A680" t="str">
        <f>IF(R680=0,"",COUNTIF(A$13:A679,"&gt;0")+1)</f>
        <v/>
      </c>
      <c r="B680" s="4"/>
      <c r="C680" s="5" t="s">
        <v>22</v>
      </c>
      <c r="D680" s="7" t="s">
        <v>98</v>
      </c>
      <c r="E680" s="31"/>
      <c r="F680" s="31"/>
      <c r="G680" s="6" t="s">
        <v>99</v>
      </c>
      <c r="H680" s="7">
        <f>VLOOKUP(D680,A!B$1:L$1126,3,FALSE)</f>
        <v>0</v>
      </c>
      <c r="I680" s="31">
        <f>VLOOKUP(D680,A!B$1:L$1126,3,FALSE)</f>
        <v>0</v>
      </c>
      <c r="J680" s="92"/>
      <c r="K680" s="91" t="str">
        <f>VLOOKUP(D680,A!B$1:L$1126,6,FALSE)</f>
        <v/>
      </c>
      <c r="L680" s="162"/>
      <c r="M680" s="43" t="s">
        <v>100</v>
      </c>
      <c r="N680" s="94">
        <f>VLOOKUP(D680,A!B$1:L$1125,2,FALSE)</f>
        <v>0</v>
      </c>
      <c r="O680" s="94">
        <f>VLOOKUP(D680,A!B$1:L$1126,4,FALSE)</f>
        <v>0</v>
      </c>
      <c r="P680" s="10">
        <v>10</v>
      </c>
      <c r="Q680" s="10">
        <v>3.25</v>
      </c>
      <c r="R680" s="10">
        <f t="shared" si="102"/>
        <v>0</v>
      </c>
      <c r="S680" s="10">
        <f t="shared" si="103"/>
        <v>0</v>
      </c>
      <c r="T680" s="10" t="s">
        <v>323</v>
      </c>
      <c r="U680" s="145">
        <v>0.33</v>
      </c>
      <c r="V680" s="10" t="str">
        <f>VLOOKUP(D680,A!B$1:T$1125,16,FALSE)</f>
        <v/>
      </c>
      <c r="W680" s="10">
        <f t="shared" si="104"/>
        <v>0</v>
      </c>
      <c r="X680" s="29"/>
      <c r="Y680" s="29"/>
      <c r="Z680" s="29"/>
      <c r="AA680" s="29"/>
    </row>
    <row r="681" spans="1:27" s="3" customFormat="1" ht="13.5" hidden="1" customHeight="1" x14ac:dyDescent="0.25">
      <c r="A681" t="str">
        <f>IF(R681=0,"",COUNTIF(A$13:A680,"&gt;0")+1)</f>
        <v/>
      </c>
      <c r="B681" s="4"/>
      <c r="C681" s="5" t="s">
        <v>22</v>
      </c>
      <c r="D681" s="7" t="s">
        <v>380</v>
      </c>
      <c r="E681" s="31"/>
      <c r="F681" s="31"/>
      <c r="G681" s="6" t="s">
        <v>381</v>
      </c>
      <c r="H681" s="7">
        <f>VLOOKUP(D681,A!B$1:L$1126,3,FALSE)</f>
        <v>0</v>
      </c>
      <c r="I681" s="31">
        <f>VLOOKUP(D681,A!B$1:L$1126,3,FALSE)</f>
        <v>0</v>
      </c>
      <c r="J681" s="92"/>
      <c r="K681" s="91" t="str">
        <f>VLOOKUP(D681,A!B$1:L$1126,6,FALSE)</f>
        <v/>
      </c>
      <c r="L681" s="162"/>
      <c r="M681" s="43" t="s">
        <v>382</v>
      </c>
      <c r="N681" s="94">
        <f>VLOOKUP(D681,A!B$1:L$1125,2,FALSE)</f>
        <v>0</v>
      </c>
      <c r="O681" s="94">
        <f>VLOOKUP(D681,A!B$1:L$1126,4,FALSE)</f>
        <v>0</v>
      </c>
      <c r="P681" s="10">
        <v>10</v>
      </c>
      <c r="Q681" s="10">
        <v>3.25</v>
      </c>
      <c r="R681" s="10">
        <f t="shared" si="102"/>
        <v>0</v>
      </c>
      <c r="S681" s="10">
        <f t="shared" si="103"/>
        <v>0</v>
      </c>
      <c r="T681" s="10" t="s">
        <v>323</v>
      </c>
      <c r="U681" s="145">
        <v>0.33</v>
      </c>
      <c r="V681" s="10" t="str">
        <f>VLOOKUP(D681,A!B$1:T$1125,16,FALSE)</f>
        <v/>
      </c>
      <c r="W681" s="10">
        <f t="shared" si="104"/>
        <v>0</v>
      </c>
      <c r="X681" s="29"/>
      <c r="Y681" s="29"/>
      <c r="Z681" s="29"/>
      <c r="AA681" s="29"/>
    </row>
    <row r="682" spans="1:27" s="3" customFormat="1" ht="13.5" hidden="1" customHeight="1" x14ac:dyDescent="0.25">
      <c r="A682" t="str">
        <f>IF(R682=0,"",COUNTIF(A$13:A681,"&gt;0")+1)</f>
        <v/>
      </c>
      <c r="B682" s="4"/>
      <c r="C682" s="5" t="s">
        <v>22</v>
      </c>
      <c r="D682" s="7" t="s">
        <v>383</v>
      </c>
      <c r="E682" s="31"/>
      <c r="F682" s="31"/>
      <c r="G682" s="6" t="s">
        <v>384</v>
      </c>
      <c r="H682" s="7">
        <f>VLOOKUP(D682,A!B$1:L$1126,3,FALSE)</f>
        <v>0</v>
      </c>
      <c r="I682" s="31">
        <f>VLOOKUP(D682,A!B$1:L$1126,3,FALSE)</f>
        <v>0</v>
      </c>
      <c r="J682" s="92"/>
      <c r="K682" s="91" t="str">
        <f>VLOOKUP(D682,A!B$1:L$1126,6,FALSE)</f>
        <v/>
      </c>
      <c r="L682" s="162"/>
      <c r="M682" s="43" t="s">
        <v>385</v>
      </c>
      <c r="N682" s="94">
        <f>VLOOKUP(D682,A!B$1:L$1125,2,FALSE)</f>
        <v>0</v>
      </c>
      <c r="O682" s="94">
        <f>VLOOKUP(D682,A!B$1:L$1126,4,FALSE)</f>
        <v>0</v>
      </c>
      <c r="P682" s="10">
        <v>10</v>
      </c>
      <c r="Q682" s="10">
        <v>3.25</v>
      </c>
      <c r="R682" s="10">
        <f t="shared" si="102"/>
        <v>0</v>
      </c>
      <c r="S682" s="10">
        <f t="shared" si="103"/>
        <v>0</v>
      </c>
      <c r="T682" s="10" t="s">
        <v>323</v>
      </c>
      <c r="U682" s="145">
        <v>0.33</v>
      </c>
      <c r="V682" s="10" t="str">
        <f>VLOOKUP(D682,A!B$1:T$1125,16,FALSE)</f>
        <v/>
      </c>
      <c r="W682" s="10">
        <f t="shared" si="104"/>
        <v>0</v>
      </c>
      <c r="X682" s="29"/>
      <c r="Y682" s="29"/>
      <c r="Z682" s="29"/>
      <c r="AA682" s="29"/>
    </row>
    <row r="683" spans="1:27" s="3" customFormat="1" ht="13.5" customHeight="1" x14ac:dyDescent="0.25">
      <c r="A683" t="str">
        <f>IF(R683=0,"",COUNTIF(A$13:A682,"&gt;0")+1)</f>
        <v/>
      </c>
      <c r="B683" s="4"/>
      <c r="C683" s="5" t="s">
        <v>22</v>
      </c>
      <c r="D683" s="7" t="s">
        <v>386</v>
      </c>
      <c r="E683" s="31"/>
      <c r="F683" s="31"/>
      <c r="G683" s="6" t="s">
        <v>387</v>
      </c>
      <c r="H683" s="7">
        <f>VLOOKUP(D683,A!B$1:L$1126,3,FALSE)</f>
        <v>1</v>
      </c>
      <c r="I683" s="31">
        <f>VLOOKUP(D683,A!B$1:L$1126,3,FALSE)</f>
        <v>1</v>
      </c>
      <c r="J683" s="92"/>
      <c r="K683" s="91" t="str">
        <f>VLOOKUP(D683,A!B$1:L$1126,6,FALSE)</f>
        <v/>
      </c>
      <c r="L683" s="162"/>
      <c r="M683" s="43" t="s">
        <v>388</v>
      </c>
      <c r="N683" s="94" t="str">
        <f>VLOOKUP(D683,A!B$1:L$1125,2,FALSE)</f>
        <v>y</v>
      </c>
      <c r="O683" s="94">
        <f>VLOOKUP(D683,A!B$1:L$1126,4,FALSE)</f>
        <v>0</v>
      </c>
      <c r="P683" s="10">
        <v>10</v>
      </c>
      <c r="Q683" s="10">
        <v>3.25</v>
      </c>
      <c r="R683" s="10">
        <f t="shared" si="102"/>
        <v>0</v>
      </c>
      <c r="S683" s="10">
        <f t="shared" si="103"/>
        <v>0</v>
      </c>
      <c r="T683" s="10" t="s">
        <v>323</v>
      </c>
      <c r="U683" s="145">
        <v>0.33</v>
      </c>
      <c r="V683" s="10" t="str">
        <f>VLOOKUP(D683,A!B$1:T$1125,16,FALSE)</f>
        <v/>
      </c>
      <c r="W683" s="10">
        <f t="shared" si="104"/>
        <v>0</v>
      </c>
      <c r="X683" s="29"/>
      <c r="Y683" s="29"/>
      <c r="Z683" s="29"/>
      <c r="AA683" s="29"/>
    </row>
    <row r="684" spans="1:27" s="3" customFormat="1" ht="13.5" customHeight="1" x14ac:dyDescent="0.25">
      <c r="A684" t="str">
        <f>IF(R684=0,"",COUNTIF(A$13:A683,"&gt;0")+1)</f>
        <v/>
      </c>
      <c r="B684" s="4"/>
      <c r="C684" s="5" t="s">
        <v>22</v>
      </c>
      <c r="D684" s="7" t="s">
        <v>130</v>
      </c>
      <c r="E684" s="31"/>
      <c r="F684" s="31"/>
      <c r="G684" s="6" t="s">
        <v>131</v>
      </c>
      <c r="H684" s="7">
        <f>VLOOKUP(D684,A!B$1:L$1126,3,FALSE)</f>
        <v>1</v>
      </c>
      <c r="I684" s="31">
        <f>VLOOKUP(D684,A!B$1:L$1126,3,FALSE)</f>
        <v>1</v>
      </c>
      <c r="J684" s="92"/>
      <c r="K684" s="91" t="str">
        <f>VLOOKUP(D684,A!B$1:L$1126,6,FALSE)</f>
        <v/>
      </c>
      <c r="L684" s="162"/>
      <c r="M684" s="43" t="s">
        <v>132</v>
      </c>
      <c r="N684" s="94" t="str">
        <f>VLOOKUP(D684,A!B$1:L$1125,2,FALSE)</f>
        <v>y</v>
      </c>
      <c r="O684" s="94">
        <f>VLOOKUP(D684,A!B$1:L$1126,4,FALSE)</f>
        <v>0</v>
      </c>
      <c r="P684" s="10">
        <v>10</v>
      </c>
      <c r="Q684" s="10">
        <v>3.25</v>
      </c>
      <c r="R684" s="10">
        <f t="shared" si="102"/>
        <v>0</v>
      </c>
      <c r="S684" s="10">
        <f t="shared" si="103"/>
        <v>0</v>
      </c>
      <c r="T684" s="10" t="s">
        <v>323</v>
      </c>
      <c r="U684" s="145">
        <v>0.33</v>
      </c>
      <c r="V684" s="10" t="str">
        <f>VLOOKUP(D684,A!B$1:T$1125,16,FALSE)</f>
        <v/>
      </c>
      <c r="W684" s="10">
        <f t="shared" si="104"/>
        <v>0</v>
      </c>
      <c r="X684" s="29"/>
      <c r="Y684" s="29"/>
      <c r="Z684" s="29"/>
      <c r="AA684" s="29"/>
    </row>
    <row r="685" spans="1:27" s="3" customFormat="1" ht="13.5" customHeight="1" x14ac:dyDescent="0.25">
      <c r="A685" t="str">
        <f>IF(R685=0,"",COUNTIF(A$13:A684,"&gt;0")+1)</f>
        <v/>
      </c>
      <c r="B685" s="4"/>
      <c r="C685" s="5" t="s">
        <v>22</v>
      </c>
      <c r="D685" s="7" t="s">
        <v>181</v>
      </c>
      <c r="E685" s="31"/>
      <c r="F685" s="31"/>
      <c r="G685" s="6" t="s">
        <v>182</v>
      </c>
      <c r="H685" s="7">
        <f>VLOOKUP(D685,A!B$1:L$1126,3,FALSE)</f>
        <v>1</v>
      </c>
      <c r="I685" s="31">
        <f>VLOOKUP(D685,A!B$1:L$1126,3,FALSE)</f>
        <v>1</v>
      </c>
      <c r="J685" s="92"/>
      <c r="K685" s="91" t="str">
        <f>VLOOKUP(D685,A!B$1:L$1126,6,FALSE)</f>
        <v/>
      </c>
      <c r="L685" s="2"/>
      <c r="M685" s="43" t="s">
        <v>183</v>
      </c>
      <c r="N685" s="94" t="str">
        <f>VLOOKUP(D685,A!B$1:L$1125,2,FALSE)</f>
        <v>y</v>
      </c>
      <c r="O685" s="94">
        <f>VLOOKUP(D685,A!B$1:L$1126,4,FALSE)</f>
        <v>0</v>
      </c>
      <c r="P685" s="10">
        <v>10</v>
      </c>
      <c r="Q685" s="10">
        <v>3.25</v>
      </c>
      <c r="R685" s="10">
        <f t="shared" si="102"/>
        <v>0</v>
      </c>
      <c r="S685" s="10">
        <f t="shared" si="103"/>
        <v>0</v>
      </c>
      <c r="T685" s="10" t="s">
        <v>323</v>
      </c>
      <c r="U685" s="145">
        <v>0.33</v>
      </c>
      <c r="V685" s="10" t="str">
        <f>VLOOKUP(D685,A!B$1:T$1125,16,FALSE)</f>
        <v/>
      </c>
      <c r="W685" s="10">
        <f t="shared" si="104"/>
        <v>0</v>
      </c>
      <c r="X685" s="10"/>
      <c r="Y685" s="10"/>
      <c r="Z685" s="10"/>
      <c r="AA685" s="29"/>
    </row>
    <row r="686" spans="1:27" s="3" customFormat="1" ht="13.5" customHeight="1" x14ac:dyDescent="0.25">
      <c r="A686" t="str">
        <f>IF(R686=0,"",COUNTIF(A$13:A685,"&gt;0")+1)</f>
        <v/>
      </c>
      <c r="B686" s="4"/>
      <c r="C686" s="5" t="s">
        <v>22</v>
      </c>
      <c r="D686" s="7" t="s">
        <v>389</v>
      </c>
      <c r="E686" s="31"/>
      <c r="F686" s="31"/>
      <c r="G686" s="6" t="s">
        <v>390</v>
      </c>
      <c r="H686" s="7">
        <f>VLOOKUP(D686,A!B$1:L$1126,3,FALSE)</f>
        <v>1</v>
      </c>
      <c r="I686" s="31">
        <f>VLOOKUP(D686,A!B$1:L$1126,3,FALSE)</f>
        <v>1</v>
      </c>
      <c r="J686" s="92"/>
      <c r="K686" s="91" t="str">
        <f>VLOOKUP(D686,A!B$1:L$1126,6,FALSE)</f>
        <v/>
      </c>
      <c r="L686" s="162"/>
      <c r="M686" s="43" t="s">
        <v>391</v>
      </c>
      <c r="N686" s="94" t="str">
        <f>VLOOKUP(D686,A!B$1:L$1125,2,FALSE)</f>
        <v>y</v>
      </c>
      <c r="O686" s="94">
        <f>VLOOKUP(D686,A!B$1:L$1126,4,FALSE)</f>
        <v>0</v>
      </c>
      <c r="P686" s="10">
        <v>10</v>
      </c>
      <c r="Q686" s="10">
        <v>3.25</v>
      </c>
      <c r="R686" s="10">
        <f t="shared" si="102"/>
        <v>0</v>
      </c>
      <c r="S686" s="10">
        <f t="shared" si="103"/>
        <v>0</v>
      </c>
      <c r="T686" s="10" t="s">
        <v>323</v>
      </c>
      <c r="U686" s="145">
        <v>0.33</v>
      </c>
      <c r="V686" s="10" t="str">
        <f>VLOOKUP(D686,A!B$1:T$1125,16,FALSE)</f>
        <v/>
      </c>
      <c r="W686" s="10">
        <f t="shared" si="104"/>
        <v>0</v>
      </c>
      <c r="X686" s="29"/>
      <c r="Y686" s="29"/>
      <c r="Z686" s="29"/>
      <c r="AA686" s="29"/>
    </row>
    <row r="687" spans="1:27" s="3" customFormat="1" ht="13.5" hidden="1" customHeight="1" x14ac:dyDescent="0.25">
      <c r="A687" t="str">
        <f>IF(R687=0,"",COUNTIF(A$13:A686,"&gt;0")+1)</f>
        <v/>
      </c>
      <c r="B687" s="4"/>
      <c r="C687" s="5" t="s">
        <v>22</v>
      </c>
      <c r="D687" s="7" t="s">
        <v>377</v>
      </c>
      <c r="E687" s="31"/>
      <c r="F687" s="31"/>
      <c r="G687" s="6" t="s">
        <v>378</v>
      </c>
      <c r="H687" s="7">
        <f>VLOOKUP(D687,A!B$1:L$1126,3,FALSE)</f>
        <v>0</v>
      </c>
      <c r="I687" s="31">
        <f>VLOOKUP(D687,A!B$1:L$1126,3,FALSE)</f>
        <v>0</v>
      </c>
      <c r="J687" s="92"/>
      <c r="K687" s="91" t="str">
        <f>VLOOKUP(D687,A!B$1:L$1126,6,FALSE)</f>
        <v/>
      </c>
      <c r="L687" s="162"/>
      <c r="M687" s="43" t="s">
        <v>379</v>
      </c>
      <c r="N687" s="94">
        <f>VLOOKUP(D687,A!B$1:L$1125,2,FALSE)</f>
        <v>0</v>
      </c>
      <c r="O687" s="94">
        <f>VLOOKUP(D687,A!B$1:L$1126,4,FALSE)</f>
        <v>0</v>
      </c>
      <c r="P687" s="10">
        <v>10</v>
      </c>
      <c r="Q687" s="10">
        <v>3.25</v>
      </c>
      <c r="R687" s="10">
        <f t="shared" si="102"/>
        <v>0</v>
      </c>
      <c r="S687" s="10">
        <f t="shared" si="103"/>
        <v>0</v>
      </c>
      <c r="T687" s="10" t="s">
        <v>323</v>
      </c>
      <c r="U687" s="145">
        <v>0.33</v>
      </c>
      <c r="V687" s="10" t="str">
        <f>VLOOKUP(D687,A!B$1:T$1125,16,FALSE)</f>
        <v/>
      </c>
      <c r="W687" s="10">
        <f t="shared" si="104"/>
        <v>0</v>
      </c>
      <c r="X687" s="29"/>
      <c r="Y687" s="29"/>
      <c r="Z687" s="29"/>
      <c r="AA687" s="29"/>
    </row>
    <row r="688" spans="1:27" s="3" customFormat="1" ht="13.5" hidden="1" customHeight="1" x14ac:dyDescent="0.25">
      <c r="A688" t="str">
        <f>IF(R688=0,"",COUNTIF(A$13:A687,"&gt;0")+1)</f>
        <v/>
      </c>
      <c r="B688" s="4"/>
      <c r="C688" s="5" t="s">
        <v>22</v>
      </c>
      <c r="D688" s="7" t="s">
        <v>392</v>
      </c>
      <c r="E688" s="31"/>
      <c r="F688" s="31"/>
      <c r="G688" s="6" t="s">
        <v>393</v>
      </c>
      <c r="H688" s="7">
        <f>VLOOKUP(D688,A!B$1:L$1126,3,FALSE)</f>
        <v>0</v>
      </c>
      <c r="I688" s="31">
        <f>VLOOKUP(D688,A!B$1:L$1126,3,FALSE)</f>
        <v>0</v>
      </c>
      <c r="J688" s="92"/>
      <c r="K688" s="91" t="str">
        <f>VLOOKUP(D688,A!B$1:L$1126,6,FALSE)</f>
        <v/>
      </c>
      <c r="L688" s="162"/>
      <c r="M688" s="43" t="s">
        <v>394</v>
      </c>
      <c r="N688" s="94">
        <f>VLOOKUP(D688,A!B$1:L$1125,2,FALSE)</f>
        <v>0</v>
      </c>
      <c r="O688" s="94">
        <f>VLOOKUP(D688,A!B$1:L$1126,4,FALSE)</f>
        <v>0</v>
      </c>
      <c r="P688" s="10">
        <v>10</v>
      </c>
      <c r="Q688" s="10">
        <v>3.25</v>
      </c>
      <c r="R688" s="10">
        <f t="shared" si="102"/>
        <v>0</v>
      </c>
      <c r="S688" s="10">
        <f t="shared" si="103"/>
        <v>0</v>
      </c>
      <c r="T688" s="10" t="s">
        <v>323</v>
      </c>
      <c r="U688" s="145">
        <v>0.33</v>
      </c>
      <c r="V688" s="10" t="str">
        <f>VLOOKUP(D688,A!B$1:T$1125,16,FALSE)</f>
        <v/>
      </c>
      <c r="W688" s="10">
        <f t="shared" si="104"/>
        <v>0</v>
      </c>
      <c r="X688" s="29"/>
      <c r="Y688" s="29"/>
      <c r="Z688" s="29"/>
      <c r="AA688" s="29"/>
    </row>
    <row r="689" spans="1:67" s="3" customFormat="1" ht="13.5" customHeight="1" x14ac:dyDescent="0.25">
      <c r="A689" t="str">
        <f>IF(R689=0,"",COUNTIF(A$13:A688,"&gt;0")+1)</f>
        <v/>
      </c>
      <c r="B689" s="4"/>
      <c r="C689" s="5" t="s">
        <v>22</v>
      </c>
      <c r="D689" s="7" t="s">
        <v>395</v>
      </c>
      <c r="E689" s="31"/>
      <c r="F689" s="31"/>
      <c r="G689" s="6" t="s">
        <v>396</v>
      </c>
      <c r="H689" s="7">
        <f>VLOOKUP(D689,A!B$1:L$1126,3,FALSE)</f>
        <v>1</v>
      </c>
      <c r="I689" s="31">
        <f>VLOOKUP(D689,A!B$1:L$1126,3,FALSE)</f>
        <v>1</v>
      </c>
      <c r="J689" s="92"/>
      <c r="K689" s="91" t="str">
        <f>VLOOKUP(D689,A!B$1:L$1126,6,FALSE)</f>
        <v/>
      </c>
      <c r="L689" s="162"/>
      <c r="M689" s="42" t="s">
        <v>397</v>
      </c>
      <c r="N689" s="94" t="str">
        <f>VLOOKUP(D689,A!B$1:L$1125,2,FALSE)</f>
        <v>y</v>
      </c>
      <c r="O689" s="94">
        <f>VLOOKUP(D689,A!B$1:L$1126,4,FALSE)</f>
        <v>0</v>
      </c>
      <c r="P689" s="10">
        <v>10</v>
      </c>
      <c r="Q689" s="10">
        <v>3.25</v>
      </c>
      <c r="R689" s="10">
        <f t="shared" si="102"/>
        <v>0</v>
      </c>
      <c r="S689" s="10">
        <f t="shared" si="103"/>
        <v>0</v>
      </c>
      <c r="T689" s="10" t="s">
        <v>323</v>
      </c>
      <c r="U689" s="145">
        <v>0.33</v>
      </c>
      <c r="V689" s="10" t="str">
        <f>VLOOKUP(D689,A!B$1:T$1125,16,FALSE)</f>
        <v/>
      </c>
      <c r="W689" s="10">
        <f t="shared" si="104"/>
        <v>0</v>
      </c>
      <c r="X689" s="29"/>
      <c r="Y689" s="29"/>
      <c r="Z689" s="29"/>
      <c r="AA689" s="29"/>
    </row>
    <row r="690" spans="1:67" s="3" customFormat="1" ht="13.5" hidden="1" customHeight="1" x14ac:dyDescent="0.25">
      <c r="A690" t="str">
        <f>IF(R690=0,"",COUNTIF(A$13:A689,"&gt;0")+1)</f>
        <v/>
      </c>
      <c r="B690" s="4"/>
      <c r="C690" s="5" t="s">
        <v>22</v>
      </c>
      <c r="D690" s="18" t="s">
        <v>398</v>
      </c>
      <c r="E690" s="87"/>
      <c r="F690" s="87"/>
      <c r="G690" s="6" t="s">
        <v>399</v>
      </c>
      <c r="H690" s="7">
        <f>VLOOKUP(D690,A!B$1:L$1126,3,FALSE)</f>
        <v>0</v>
      </c>
      <c r="I690" s="31">
        <f>VLOOKUP(D690,A!B$1:L$1126,3,FALSE)</f>
        <v>0</v>
      </c>
      <c r="J690" s="92"/>
      <c r="K690" s="91" t="str">
        <f>VLOOKUP(D690,A!B$1:L$1126,6,FALSE)</f>
        <v/>
      </c>
      <c r="L690" s="163"/>
      <c r="M690" s="164" t="s">
        <v>400</v>
      </c>
      <c r="N690" s="94">
        <f>VLOOKUP(D690,A!B$1:L$1125,2,FALSE)</f>
        <v>0</v>
      </c>
      <c r="O690" s="94">
        <f>VLOOKUP(D690,A!B$1:L$1126,4,FALSE)</f>
        <v>0</v>
      </c>
      <c r="P690" s="10">
        <v>10</v>
      </c>
      <c r="Q690" s="10">
        <v>3.25</v>
      </c>
      <c r="R690" s="10">
        <f t="shared" si="102"/>
        <v>0</v>
      </c>
      <c r="S690" s="10">
        <f t="shared" si="103"/>
        <v>0</v>
      </c>
      <c r="T690" s="10" t="s">
        <v>323</v>
      </c>
      <c r="U690" s="145">
        <v>0.33</v>
      </c>
      <c r="V690" s="10" t="str">
        <f>VLOOKUP(D690,A!B$1:T$1125,16,FALSE)</f>
        <v/>
      </c>
      <c r="W690" s="10">
        <f t="shared" si="104"/>
        <v>0</v>
      </c>
      <c r="X690" s="29"/>
      <c r="Y690" s="29"/>
      <c r="Z690" s="29"/>
      <c r="AA690" s="29"/>
    </row>
    <row r="691" spans="1:67" s="3" customFormat="1" ht="13.5" customHeight="1" x14ac:dyDescent="0.25">
      <c r="A691" t="str">
        <f>IF(R691=0,"",COUNTIF(A$13:A690,"&gt;0")+1)</f>
        <v/>
      </c>
      <c r="B691" s="4"/>
      <c r="C691" s="5" t="s">
        <v>22</v>
      </c>
      <c r="D691" s="7" t="s">
        <v>401</v>
      </c>
      <c r="E691" s="31"/>
      <c r="F691" s="31"/>
      <c r="G691" s="6" t="s">
        <v>402</v>
      </c>
      <c r="H691" s="7">
        <f>VLOOKUP(D691,A!B$1:L$1126,3,FALSE)</f>
        <v>1</v>
      </c>
      <c r="I691" s="31">
        <f>VLOOKUP(D691,A!B$1:L$1126,3,FALSE)</f>
        <v>1</v>
      </c>
      <c r="J691" s="92"/>
      <c r="K691" s="91" t="str">
        <f>VLOOKUP(D691,A!B$1:L$1126,6,FALSE)</f>
        <v/>
      </c>
      <c r="L691" s="162"/>
      <c r="M691" s="40" t="s">
        <v>403</v>
      </c>
      <c r="N691" s="94" t="str">
        <f>VLOOKUP(D691,A!B$1:L$1125,2,FALSE)</f>
        <v>y</v>
      </c>
      <c r="O691" s="94">
        <f>VLOOKUP(D691,A!B$1:L$1126,4,FALSE)</f>
        <v>0</v>
      </c>
      <c r="P691" s="10">
        <v>10</v>
      </c>
      <c r="Q691" s="10">
        <v>3.25</v>
      </c>
      <c r="R691" s="10">
        <f t="shared" si="102"/>
        <v>0</v>
      </c>
      <c r="S691" s="10">
        <f t="shared" si="103"/>
        <v>0</v>
      </c>
      <c r="T691" s="10" t="s">
        <v>323</v>
      </c>
      <c r="U691" s="145">
        <v>0.33</v>
      </c>
      <c r="V691" s="10" t="str">
        <f>VLOOKUP(D691,A!B$1:T$1125,16,FALSE)</f>
        <v/>
      </c>
      <c r="W691" s="10">
        <f t="shared" si="104"/>
        <v>0</v>
      </c>
      <c r="X691" s="29"/>
      <c r="Y691" s="29"/>
      <c r="Z691" s="29"/>
      <c r="AA691" s="29"/>
    </row>
    <row r="692" spans="1:67" s="3" customFormat="1" ht="13.5" hidden="1" customHeight="1" x14ac:dyDescent="0.25">
      <c r="A692" t="str">
        <f>IF(R692=0,"",COUNTIF(A$13:A691,"&gt;0")+1)</f>
        <v/>
      </c>
      <c r="B692" s="4"/>
      <c r="C692" s="5" t="s">
        <v>22</v>
      </c>
      <c r="D692" s="7" t="s">
        <v>404</v>
      </c>
      <c r="E692" s="31"/>
      <c r="F692" s="31"/>
      <c r="G692" s="6" t="s">
        <v>405</v>
      </c>
      <c r="H692" s="7">
        <f>VLOOKUP(D692,A!B$1:L$1126,3,FALSE)</f>
        <v>0</v>
      </c>
      <c r="I692" s="31">
        <f>VLOOKUP(D692,A!B$1:L$1126,3,FALSE)</f>
        <v>0</v>
      </c>
      <c r="J692" s="92"/>
      <c r="K692" s="91" t="str">
        <f>VLOOKUP(D692,A!B$1:L$1126,6,FALSE)</f>
        <v/>
      </c>
      <c r="L692" s="162"/>
      <c r="M692" s="43" t="s">
        <v>406</v>
      </c>
      <c r="N692" s="94">
        <f>VLOOKUP(D692,A!B$1:L$1125,2,FALSE)</f>
        <v>0</v>
      </c>
      <c r="O692" s="94">
        <f>VLOOKUP(D692,A!B$1:L$1126,4,FALSE)</f>
        <v>0</v>
      </c>
      <c r="P692" s="10">
        <v>10</v>
      </c>
      <c r="Q692" s="10">
        <v>3.25</v>
      </c>
      <c r="R692" s="10">
        <f t="shared" si="102"/>
        <v>0</v>
      </c>
      <c r="S692" s="10">
        <f t="shared" si="103"/>
        <v>0</v>
      </c>
      <c r="T692" s="10" t="s">
        <v>323</v>
      </c>
      <c r="U692" s="145">
        <v>0.33</v>
      </c>
      <c r="V692" s="10" t="str">
        <f>VLOOKUP(D692,A!B$1:T$1125,16,FALSE)</f>
        <v/>
      </c>
      <c r="W692" s="10">
        <f t="shared" si="104"/>
        <v>0</v>
      </c>
      <c r="X692" s="29"/>
      <c r="Y692" s="29"/>
      <c r="Z692" s="29"/>
      <c r="AA692" s="29"/>
    </row>
    <row r="693" spans="1:67" s="3" customFormat="1" ht="13.5" hidden="1" customHeight="1" x14ac:dyDescent="0.25">
      <c r="A693" t="str">
        <f>IF(R693=0,"",COUNTIF(A$13:A692,"&gt;0")+1)</f>
        <v/>
      </c>
      <c r="B693" s="4"/>
      <c r="C693" s="5" t="s">
        <v>22</v>
      </c>
      <c r="D693" s="7" t="s">
        <v>407</v>
      </c>
      <c r="E693" s="31"/>
      <c r="F693" s="31"/>
      <c r="G693" s="6" t="s">
        <v>408</v>
      </c>
      <c r="H693" s="7">
        <f>VLOOKUP(D693,A!B$1:L$1126,3,FALSE)</f>
        <v>0</v>
      </c>
      <c r="I693" s="31">
        <f>VLOOKUP(D693,A!B$1:L$1126,3,FALSE)</f>
        <v>0</v>
      </c>
      <c r="J693" s="92"/>
      <c r="K693" s="91" t="str">
        <f>VLOOKUP(D693,A!B$1:L$1126,6,FALSE)</f>
        <v/>
      </c>
      <c r="L693" s="162"/>
      <c r="M693" s="43" t="s">
        <v>409</v>
      </c>
      <c r="N693" s="94">
        <f>VLOOKUP(D693,A!B$1:L$1125,2,FALSE)</f>
        <v>0</v>
      </c>
      <c r="O693" s="94">
        <f>VLOOKUP(D693,A!B$1:L$1126,4,FALSE)</f>
        <v>0</v>
      </c>
      <c r="P693" s="10">
        <v>10</v>
      </c>
      <c r="Q693" s="10">
        <v>3.25</v>
      </c>
      <c r="R693" s="10">
        <f t="shared" si="102"/>
        <v>0</v>
      </c>
      <c r="S693" s="10">
        <f t="shared" si="103"/>
        <v>0</v>
      </c>
      <c r="T693" s="10" t="s">
        <v>323</v>
      </c>
      <c r="U693" s="145">
        <v>0.33</v>
      </c>
      <c r="V693" s="10" t="str">
        <f>VLOOKUP(D693,A!B$1:T$1125,16,FALSE)</f>
        <v/>
      </c>
      <c r="W693" s="10">
        <f t="shared" si="104"/>
        <v>0</v>
      </c>
      <c r="X693" s="29"/>
      <c r="Y693" s="29"/>
      <c r="Z693" s="29"/>
      <c r="AA693" s="29"/>
    </row>
    <row r="694" spans="1:67" s="3" customFormat="1" ht="13.5" hidden="1" customHeight="1" x14ac:dyDescent="0.25">
      <c r="A694" t="str">
        <f>IF(R694=0,"",COUNTIF(A$13:A693,"&gt;0")+1)</f>
        <v/>
      </c>
      <c r="B694" s="4"/>
      <c r="C694" s="5" t="s">
        <v>22</v>
      </c>
      <c r="D694" s="7" t="s">
        <v>410</v>
      </c>
      <c r="E694" s="31"/>
      <c r="F694" s="31"/>
      <c r="G694" s="6" t="s">
        <v>411</v>
      </c>
      <c r="H694" s="7">
        <f>VLOOKUP(D694,A!B$1:L$1126,3,FALSE)</f>
        <v>0</v>
      </c>
      <c r="I694" s="31">
        <f>VLOOKUP(D694,A!B$1:L$1126,3,FALSE)</f>
        <v>0</v>
      </c>
      <c r="J694" s="92"/>
      <c r="K694" s="91" t="str">
        <f>VLOOKUP(D694,A!B$1:L$1126,6,FALSE)</f>
        <v/>
      </c>
      <c r="L694" s="162"/>
      <c r="M694" s="43" t="s">
        <v>412</v>
      </c>
      <c r="N694" s="94">
        <f>VLOOKUP(D694,A!B$1:L$1125,2,FALSE)</f>
        <v>0</v>
      </c>
      <c r="O694" s="94">
        <f>VLOOKUP(D694,A!B$1:L$1126,4,FALSE)</f>
        <v>0</v>
      </c>
      <c r="P694" s="10">
        <v>10</v>
      </c>
      <c r="Q694" s="10">
        <v>3.25</v>
      </c>
      <c r="R694" s="10">
        <f t="shared" si="102"/>
        <v>0</v>
      </c>
      <c r="S694" s="10">
        <f t="shared" si="103"/>
        <v>0</v>
      </c>
      <c r="T694" s="10" t="s">
        <v>323</v>
      </c>
      <c r="U694" s="145">
        <v>0.33</v>
      </c>
      <c r="V694" s="10" t="str">
        <f>VLOOKUP(D694,A!B$1:T$1125,16,FALSE)</f>
        <v/>
      </c>
      <c r="W694" s="10">
        <f t="shared" si="104"/>
        <v>0</v>
      </c>
      <c r="X694" s="29"/>
      <c r="Y694" s="29"/>
      <c r="Z694" s="29"/>
      <c r="AA694" s="29"/>
    </row>
    <row r="695" spans="1:67" s="3" customFormat="1" ht="13.5" customHeight="1" x14ac:dyDescent="0.25">
      <c r="A695" t="str">
        <f>IF(R695=0,"",COUNTIF(A$13:A694,"&gt;0")+1)</f>
        <v/>
      </c>
      <c r="B695" s="4"/>
      <c r="C695" s="5" t="s">
        <v>22</v>
      </c>
      <c r="D695" s="7" t="s">
        <v>133</v>
      </c>
      <c r="E695" s="31"/>
      <c r="F695" s="31"/>
      <c r="G695" s="6" t="s">
        <v>134</v>
      </c>
      <c r="H695" s="7">
        <f>VLOOKUP(D695,A!B$1:L$1126,3,FALSE)</f>
        <v>1</v>
      </c>
      <c r="I695" s="31">
        <f>VLOOKUP(D695,A!B$1:L$1126,3,FALSE)</f>
        <v>1</v>
      </c>
      <c r="J695" s="92"/>
      <c r="K695" s="91" t="str">
        <f>VLOOKUP(D695,A!B$1:L$1126,6,FALSE)</f>
        <v/>
      </c>
      <c r="L695" s="2"/>
      <c r="M695" s="42" t="s">
        <v>263</v>
      </c>
      <c r="N695" s="94" t="str">
        <f>VLOOKUP(D695,A!B$1:L$1125,2,FALSE)</f>
        <v>y</v>
      </c>
      <c r="O695" s="94">
        <f>VLOOKUP(D695,A!B$1:L$1126,4,FALSE)</f>
        <v>0</v>
      </c>
      <c r="P695" s="10">
        <v>10</v>
      </c>
      <c r="Q695" s="10">
        <v>3.25</v>
      </c>
      <c r="R695" s="10">
        <f>B695*P695</f>
        <v>0</v>
      </c>
      <c r="S695" s="10">
        <f>R695*Q695</f>
        <v>0</v>
      </c>
      <c r="T695" s="10" t="s">
        <v>323</v>
      </c>
      <c r="U695" s="145">
        <v>0.33</v>
      </c>
      <c r="V695" s="10" t="str">
        <f>VLOOKUP(D695,A!B$1:T$1125,16,FALSE)</f>
        <v/>
      </c>
      <c r="W695" s="10">
        <f>U695*B695</f>
        <v>0</v>
      </c>
      <c r="X695" s="10"/>
      <c r="Y695" s="10"/>
      <c r="Z695" s="10"/>
      <c r="AA695" s="29"/>
    </row>
    <row r="696" spans="1:67" s="3" customFormat="1" ht="12" hidden="1" customHeight="1" x14ac:dyDescent="0.25">
      <c r="A696" t="str">
        <f>IF(R696=0,"",COUNTIF(A$13:A695,"&gt;0")+1)</f>
        <v/>
      </c>
      <c r="B696" s="4"/>
      <c r="C696" s="5" t="s">
        <v>22</v>
      </c>
      <c r="D696" s="7" t="s">
        <v>414</v>
      </c>
      <c r="E696" s="31"/>
      <c r="F696" s="31"/>
      <c r="G696" s="6" t="s">
        <v>134</v>
      </c>
      <c r="H696" s="7">
        <f>VLOOKUP(D696,A!B$1:L$1126,3,FALSE)</f>
        <v>0</v>
      </c>
      <c r="I696" s="31">
        <f>VLOOKUP(D696,A!B$1:L$1126,3,FALSE)</f>
        <v>0</v>
      </c>
      <c r="J696" s="92"/>
      <c r="K696" s="91" t="str">
        <f>VLOOKUP(D696,A!B$1:L$1126,6,FALSE)</f>
        <v/>
      </c>
      <c r="L696" s="162"/>
      <c r="M696" s="42" t="s">
        <v>263</v>
      </c>
      <c r="N696" s="94">
        <f>VLOOKUP(D696,A!B$1:L$1125,2,FALSE)</f>
        <v>0</v>
      </c>
      <c r="O696" s="94">
        <f>VLOOKUP(D696,A!B$1:L$1126,4,FALSE)</f>
        <v>0</v>
      </c>
      <c r="P696" s="10">
        <v>10</v>
      </c>
      <c r="Q696" s="10">
        <v>3.25</v>
      </c>
      <c r="R696" s="10">
        <f t="shared" ref="R696:R697" si="108">B696*P696</f>
        <v>0</v>
      </c>
      <c r="S696" s="10">
        <f t="shared" ref="S696:S697" si="109">R696*Q696</f>
        <v>0</v>
      </c>
      <c r="T696" s="10" t="s">
        <v>323</v>
      </c>
      <c r="U696" s="145">
        <v>0.33</v>
      </c>
      <c r="V696" s="10" t="str">
        <f>VLOOKUP(D696,A!B$1:T$1125,16,FALSE)</f>
        <v/>
      </c>
      <c r="W696" s="10">
        <f t="shared" ref="W696:W697" si="110">U696*B696</f>
        <v>0</v>
      </c>
      <c r="X696" s="29"/>
      <c r="Y696" s="29"/>
      <c r="Z696" s="29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</row>
    <row r="697" spans="1:67" s="3" customFormat="1" ht="12" hidden="1" customHeight="1" x14ac:dyDescent="0.25">
      <c r="A697" t="str">
        <f>IF(R697=0,"",COUNTIF(A$13:A696,"&gt;0")+1)</f>
        <v/>
      </c>
      <c r="B697" s="4"/>
      <c r="C697" s="5" t="s">
        <v>22</v>
      </c>
      <c r="D697" s="7" t="s">
        <v>415</v>
      </c>
      <c r="E697" s="31"/>
      <c r="F697" s="31"/>
      <c r="G697" s="6" t="s">
        <v>416</v>
      </c>
      <c r="H697" s="7">
        <f>VLOOKUP(D697,A!B$1:L$1126,3,FALSE)</f>
        <v>0</v>
      </c>
      <c r="I697" s="31">
        <f>VLOOKUP(D697,A!B$1:L$1126,3,FALSE)</f>
        <v>0</v>
      </c>
      <c r="J697" s="92"/>
      <c r="K697" s="91" t="str">
        <f>VLOOKUP(D697,A!B$1:L$1126,6,FALSE)</f>
        <v/>
      </c>
      <c r="L697" s="162"/>
      <c r="M697" s="43" t="s">
        <v>417</v>
      </c>
      <c r="N697" s="94">
        <f>VLOOKUP(D697,A!B$1:L$1125,2,FALSE)</f>
        <v>0</v>
      </c>
      <c r="O697" s="94">
        <f>VLOOKUP(D697,A!B$1:L$1126,4,FALSE)</f>
        <v>0</v>
      </c>
      <c r="P697" s="10">
        <v>10</v>
      </c>
      <c r="Q697" s="10">
        <v>3.25</v>
      </c>
      <c r="R697" s="10">
        <f t="shared" si="108"/>
        <v>0</v>
      </c>
      <c r="S697" s="10">
        <f t="shared" si="109"/>
        <v>0</v>
      </c>
      <c r="T697" s="10" t="s">
        <v>323</v>
      </c>
      <c r="U697" s="145">
        <v>0.33</v>
      </c>
      <c r="V697" s="10" t="str">
        <f>VLOOKUP(D697,A!B$1:T$1125,16,FALSE)</f>
        <v/>
      </c>
      <c r="W697" s="10">
        <f t="shared" si="110"/>
        <v>0</v>
      </c>
      <c r="X697" s="29"/>
      <c r="Y697" s="29"/>
      <c r="Z697" s="29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</row>
    <row r="698" spans="1:67" s="3" customFormat="1" ht="13.5" customHeight="1" x14ac:dyDescent="0.25">
      <c r="A698" t="str">
        <f>IF(R698=0,"",COUNTIF(A$13:A697,"&gt;0")+1)</f>
        <v/>
      </c>
      <c r="B698" s="82">
        <f>SUM(B671:B697)</f>
        <v>0</v>
      </c>
      <c r="C698" s="5" t="s">
        <v>22</v>
      </c>
      <c r="D698" s="24" t="s">
        <v>36</v>
      </c>
      <c r="E698" s="88"/>
      <c r="F698" s="96"/>
      <c r="G698" s="84"/>
      <c r="H698" s="84"/>
      <c r="I698" s="84"/>
      <c r="J698" s="84"/>
      <c r="K698" s="84"/>
      <c r="L698" s="84"/>
      <c r="M698" s="84"/>
      <c r="N698" s="100"/>
      <c r="O698" s="100"/>
      <c r="P698" s="10">
        <v>10</v>
      </c>
      <c r="Q698" s="151"/>
      <c r="R698" s="10">
        <f>B698*P698</f>
        <v>0</v>
      </c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</row>
    <row r="699" spans="1:67" ht="9.75" customHeight="1" x14ac:dyDescent="0.25">
      <c r="A699" t="str">
        <f>IF(R699=0,"",COUNTIF(A$13:A698,"&gt;0")+1)</f>
        <v/>
      </c>
      <c r="N699" s="102"/>
      <c r="O699" s="102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/>
      <c r="AA699" s="115"/>
      <c r="AB699" s="115"/>
      <c r="AC699" s="115"/>
      <c r="AD699" s="115"/>
      <c r="AE699" s="115"/>
      <c r="AF699" s="115"/>
      <c r="AG699" s="115"/>
      <c r="AH699" s="115"/>
      <c r="AI699" s="115"/>
      <c r="AJ699" s="115"/>
      <c r="AK699" s="115"/>
      <c r="AL699" s="115"/>
      <c r="AM699" s="115"/>
      <c r="AN699" s="115"/>
      <c r="AO699" s="115"/>
      <c r="AP699" s="115"/>
      <c r="AQ699" s="115"/>
      <c r="AR699" s="115"/>
      <c r="AS699" s="115"/>
      <c r="AT699" s="115"/>
      <c r="AU699" s="115"/>
      <c r="AV699" s="115"/>
      <c r="AW699" s="115"/>
      <c r="AX699" s="115"/>
      <c r="AY699" s="115"/>
      <c r="AZ699" s="115"/>
      <c r="BA699" s="115"/>
      <c r="BB699" s="115"/>
      <c r="BC699" s="115"/>
      <c r="BD699" s="115"/>
      <c r="BE699" s="115"/>
      <c r="BF699" s="115"/>
      <c r="BG699" s="115"/>
      <c r="BH699" s="115"/>
      <c r="BI699" s="115"/>
      <c r="BJ699" s="115"/>
      <c r="BK699" s="115"/>
      <c r="BL699" s="115"/>
      <c r="BM699" s="115"/>
      <c r="BN699" s="115"/>
      <c r="BO699" s="115"/>
    </row>
    <row r="700" spans="1:67" s="3" customFormat="1" ht="19.5" x14ac:dyDescent="0.25">
      <c r="A700" t="str">
        <f>IF(R700=0,"",COUNTIF(A$13:A699,"&gt;0")+1)</f>
        <v/>
      </c>
      <c r="B700" s="234" t="s">
        <v>1826</v>
      </c>
      <c r="C700" s="235"/>
      <c r="D700" s="235"/>
      <c r="E700" s="235"/>
      <c r="F700" s="235"/>
      <c r="G700" s="236"/>
      <c r="H700" s="123"/>
      <c r="I700" s="124"/>
      <c r="J700" s="137"/>
      <c r="K700" s="137"/>
      <c r="L700" s="137" t="s">
        <v>73</v>
      </c>
      <c r="M700" s="27">
        <v>7.99</v>
      </c>
      <c r="N700" s="93"/>
      <c r="O700" s="93"/>
      <c r="P700" s="30"/>
      <c r="Q700" s="30"/>
      <c r="R700" s="3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</row>
    <row r="701" spans="1:67" s="3" customFormat="1" ht="12" customHeight="1" x14ac:dyDescent="0.25">
      <c r="A701" t="str">
        <f>IF(R701=0,"",COUNTIF(A$13:A700,"&gt;0")+1)</f>
        <v/>
      </c>
      <c r="B701" s="237" t="s">
        <v>18</v>
      </c>
      <c r="C701" s="238"/>
      <c r="D701" s="16" t="s">
        <v>19</v>
      </c>
      <c r="E701" s="86"/>
      <c r="F701" s="86"/>
      <c r="G701" s="17" t="s">
        <v>20</v>
      </c>
      <c r="H701" s="118"/>
      <c r="I701" s="117"/>
      <c r="J701" s="117"/>
      <c r="K701" s="122" t="s">
        <v>17</v>
      </c>
      <c r="L701" s="119"/>
      <c r="M701" s="120" t="s">
        <v>21</v>
      </c>
      <c r="N701" s="93"/>
      <c r="O701" s="93"/>
      <c r="P701" s="30"/>
      <c r="Q701" s="30"/>
      <c r="R701" s="30"/>
      <c r="S701" s="10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</row>
    <row r="702" spans="1:67" s="3" customFormat="1" ht="13.5" hidden="1" customHeight="1" x14ac:dyDescent="0.25">
      <c r="A702" t="str">
        <f>IF(R702=0,"",COUNTIF(A$13:A701,"&gt;0")+1)</f>
        <v/>
      </c>
      <c r="B702" s="4"/>
      <c r="C702" s="5" t="s">
        <v>141</v>
      </c>
      <c r="D702" s="7" t="s">
        <v>418</v>
      </c>
      <c r="E702" s="31"/>
      <c r="F702" s="31"/>
      <c r="G702" s="6" t="s">
        <v>419</v>
      </c>
      <c r="H702" s="7">
        <f>VLOOKUP(D702,A!B$1:L$1126,3,FALSE)</f>
        <v>0</v>
      </c>
      <c r="I702" s="31">
        <f>VLOOKUP(D702,A!B$1:L$1126,3,FALSE)</f>
        <v>0</v>
      </c>
      <c r="J702" s="92"/>
      <c r="K702" s="91" t="str">
        <f>VLOOKUP(D702,A!B$1:L$1126,6,FALSE)</f>
        <v/>
      </c>
      <c r="L702" s="162"/>
      <c r="M702" s="43" t="s">
        <v>420</v>
      </c>
      <c r="N702" s="94">
        <f>VLOOKUP(D702,A!B$1:L$1125,2,FALSE)</f>
        <v>0</v>
      </c>
      <c r="O702" s="94">
        <f>VLOOKUP(D702,A!B$1:L$1126,4,FALSE)</f>
        <v>0</v>
      </c>
      <c r="P702" s="10">
        <v>3</v>
      </c>
      <c r="Q702" s="10">
        <v>7.99</v>
      </c>
      <c r="R702" s="10">
        <f>B702*P702</f>
        <v>0</v>
      </c>
      <c r="S702" s="10">
        <f>R702*Q702</f>
        <v>0</v>
      </c>
      <c r="T702" s="10" t="s">
        <v>324</v>
      </c>
      <c r="U702" s="145">
        <f>0.1</f>
        <v>0.1</v>
      </c>
      <c r="V702" s="10">
        <f>VLOOKUP(D702,A!B$1:T$1125,16,FALSE)</f>
        <v>0</v>
      </c>
      <c r="W702" s="10">
        <f>U702*B702</f>
        <v>0</v>
      </c>
      <c r="X702" s="29"/>
      <c r="Y702" s="29"/>
      <c r="Z702" s="29"/>
      <c r="AA702" s="29"/>
    </row>
    <row r="703" spans="1:67" s="3" customFormat="1" ht="13.5" hidden="1" customHeight="1" x14ac:dyDescent="0.25">
      <c r="A703" t="str">
        <f>IF(R703=0,"",COUNTIF(A$13:A702,"&gt;0")+1)</f>
        <v/>
      </c>
      <c r="B703" s="4"/>
      <c r="C703" s="5" t="s">
        <v>141</v>
      </c>
      <c r="D703" s="7" t="s">
        <v>421</v>
      </c>
      <c r="E703" s="31"/>
      <c r="F703" s="31"/>
      <c r="G703" s="6" t="s">
        <v>121</v>
      </c>
      <c r="H703" s="7">
        <f>VLOOKUP(D703,A!B$1:L$1126,3,FALSE)</f>
        <v>0</v>
      </c>
      <c r="I703" s="31">
        <f>VLOOKUP(D703,A!B$1:L$1126,3,FALSE)</f>
        <v>0</v>
      </c>
      <c r="J703" s="92"/>
      <c r="K703" s="91" t="str">
        <f>VLOOKUP(D703,A!B$1:L$1126,6,FALSE)</f>
        <v/>
      </c>
      <c r="L703" s="162"/>
      <c r="M703" s="42" t="s">
        <v>422</v>
      </c>
      <c r="N703" s="94">
        <f>VLOOKUP(D703,A!B$1:L$1125,2,FALSE)</f>
        <v>0</v>
      </c>
      <c r="O703" s="94">
        <f>VLOOKUP(D703,A!B$1:L$1126,4,FALSE)</f>
        <v>0</v>
      </c>
      <c r="P703" s="10">
        <v>3</v>
      </c>
      <c r="Q703" s="10">
        <v>7.99</v>
      </c>
      <c r="R703" s="10">
        <f t="shared" ref="R703:R715" si="111">B703*P703</f>
        <v>0</v>
      </c>
      <c r="S703" s="10">
        <f t="shared" ref="S703:S715" si="112">R703*Q703</f>
        <v>0</v>
      </c>
      <c r="T703" s="10" t="s">
        <v>324</v>
      </c>
      <c r="U703" s="145">
        <f t="shared" ref="U703:U715" si="113">0.1</f>
        <v>0.1</v>
      </c>
      <c r="V703" s="10">
        <f>VLOOKUP(D703,A!B$1:T$1125,16,FALSE)</f>
        <v>0</v>
      </c>
      <c r="W703" s="10">
        <f t="shared" ref="W703:W715" si="114">U703*B703</f>
        <v>0</v>
      </c>
      <c r="X703" s="29"/>
      <c r="Y703" s="29"/>
      <c r="Z703" s="29"/>
      <c r="AA703" s="29"/>
    </row>
    <row r="704" spans="1:67" s="3" customFormat="1" ht="13.5" hidden="1" customHeight="1" x14ac:dyDescent="0.25">
      <c r="A704" t="str">
        <f>IF(R704=0,"",COUNTIF(A$13:A703,"&gt;0")+1)</f>
        <v/>
      </c>
      <c r="B704" s="4"/>
      <c r="C704" s="5" t="s">
        <v>141</v>
      </c>
      <c r="D704" s="7" t="s">
        <v>423</v>
      </c>
      <c r="E704" s="31"/>
      <c r="F704" s="31"/>
      <c r="G704" s="6" t="s">
        <v>121</v>
      </c>
      <c r="H704" s="7">
        <f>VLOOKUP(D704,A!B$1:L$1126,3,FALSE)</f>
        <v>0</v>
      </c>
      <c r="I704" s="31">
        <f>VLOOKUP(D704,A!B$1:L$1126,3,FALSE)</f>
        <v>0</v>
      </c>
      <c r="J704" s="92"/>
      <c r="K704" s="91" t="str">
        <f>VLOOKUP(D704,A!B$1:L$1126,6,FALSE)</f>
        <v/>
      </c>
      <c r="L704" s="162"/>
      <c r="M704" s="43" t="s">
        <v>424</v>
      </c>
      <c r="N704" s="94">
        <f>VLOOKUP(D704,A!B$1:L$1125,2,FALSE)</f>
        <v>0</v>
      </c>
      <c r="O704" s="94">
        <f>VLOOKUP(D704,A!B$1:L$1126,4,FALSE)</f>
        <v>0</v>
      </c>
      <c r="P704" s="10">
        <v>3</v>
      </c>
      <c r="Q704" s="10">
        <v>7.99</v>
      </c>
      <c r="R704" s="10">
        <f t="shared" si="111"/>
        <v>0</v>
      </c>
      <c r="S704" s="10">
        <f t="shared" si="112"/>
        <v>0</v>
      </c>
      <c r="T704" s="10" t="s">
        <v>324</v>
      </c>
      <c r="U704" s="145">
        <f t="shared" si="113"/>
        <v>0.1</v>
      </c>
      <c r="V704" s="10">
        <f>VLOOKUP(D704,A!B$1:T$1125,16,FALSE)</f>
        <v>0</v>
      </c>
      <c r="W704" s="10">
        <f t="shared" si="114"/>
        <v>0</v>
      </c>
      <c r="X704" s="29"/>
      <c r="Y704" s="29"/>
      <c r="Z704" s="29"/>
      <c r="AA704" s="29"/>
    </row>
    <row r="705" spans="1:67" s="3" customFormat="1" ht="13.5" customHeight="1" x14ac:dyDescent="0.25">
      <c r="A705" t="str">
        <f>IF(R705=0,"",COUNTIF(A$13:A704,"&gt;0")+1)</f>
        <v/>
      </c>
      <c r="B705" s="4"/>
      <c r="C705" s="5" t="s">
        <v>141</v>
      </c>
      <c r="D705" s="7" t="s">
        <v>1825</v>
      </c>
      <c r="E705" s="31"/>
      <c r="F705" s="31"/>
      <c r="G705" s="6" t="s">
        <v>121</v>
      </c>
      <c r="H705" s="7">
        <f>VLOOKUP(D705,A!B$1:L$1126,3,FALSE)</f>
        <v>1</v>
      </c>
      <c r="I705" s="31">
        <f>VLOOKUP(D705,A!B$1:L$1126,3,FALSE)</f>
        <v>1</v>
      </c>
      <c r="J705" s="92"/>
      <c r="K705" s="91" t="str">
        <f>VLOOKUP(D705,A!B$1:L$1126,6,FALSE)</f>
        <v/>
      </c>
      <c r="L705" s="2"/>
      <c r="M705" s="43" t="s">
        <v>122</v>
      </c>
      <c r="N705" s="94" t="str">
        <f>VLOOKUP(D705,A!B$1:L$1125,2,FALSE)</f>
        <v>y</v>
      </c>
      <c r="O705" s="94">
        <f>VLOOKUP(D705,A!B$1:L$1126,4,FALSE)</f>
        <v>0</v>
      </c>
      <c r="P705" s="10">
        <v>3</v>
      </c>
      <c r="Q705" s="10">
        <v>7.99</v>
      </c>
      <c r="R705" s="10">
        <f t="shared" si="111"/>
        <v>0</v>
      </c>
      <c r="S705" s="10">
        <f t="shared" si="112"/>
        <v>0</v>
      </c>
      <c r="T705" s="10" t="s">
        <v>324</v>
      </c>
      <c r="U705" s="145">
        <f t="shared" si="113"/>
        <v>0.1</v>
      </c>
      <c r="V705" s="10" t="str">
        <f>VLOOKUP(D705,A!B$1:T$1125,16,FALSE)</f>
        <v/>
      </c>
      <c r="W705" s="10">
        <f t="shared" si="114"/>
        <v>0</v>
      </c>
      <c r="X705" s="10"/>
      <c r="Y705" s="29"/>
      <c r="Z705" s="29"/>
      <c r="AA705" s="29"/>
    </row>
    <row r="706" spans="1:67" s="3" customFormat="1" ht="13.5" customHeight="1" x14ac:dyDescent="0.25">
      <c r="A706" t="str">
        <f>IF(R706=0,"",COUNTIF(A$13:A705,"&gt;0")+1)</f>
        <v/>
      </c>
      <c r="B706" s="4"/>
      <c r="C706" s="5" t="s">
        <v>75</v>
      </c>
      <c r="D706" s="7" t="s">
        <v>1824</v>
      </c>
      <c r="E706" s="31"/>
      <c r="F706" s="31"/>
      <c r="G706" s="6" t="s">
        <v>121</v>
      </c>
      <c r="H706" s="7">
        <f>VLOOKUP(D706,A!B$1:L$1126,3,FALSE)</f>
        <v>1</v>
      </c>
      <c r="I706" s="31">
        <f>VLOOKUP(D706,A!B$1:L$1126,3,FALSE)</f>
        <v>1</v>
      </c>
      <c r="J706" s="92"/>
      <c r="K706" s="91" t="str">
        <f>VLOOKUP(D706,A!B$1:L$1126,6,FALSE)</f>
        <v/>
      </c>
      <c r="L706" s="2"/>
      <c r="M706" s="43" t="s">
        <v>122</v>
      </c>
      <c r="N706" s="94" t="str">
        <f>VLOOKUP(D706,A!B$1:L$1125,2,FALSE)</f>
        <v>y</v>
      </c>
      <c r="O706" s="94">
        <f>VLOOKUP(D706,A!B$1:L$1126,4,FALSE)</f>
        <v>0</v>
      </c>
      <c r="P706" s="10"/>
      <c r="Q706" s="10"/>
      <c r="R706" s="10"/>
      <c r="S706" s="10"/>
      <c r="T706" s="10"/>
      <c r="U706" s="145"/>
      <c r="V706" s="10"/>
      <c r="W706" s="10"/>
      <c r="X706" s="10"/>
      <c r="Y706" s="29"/>
      <c r="Z706" s="29"/>
      <c r="AA706" s="29"/>
    </row>
    <row r="707" spans="1:67" s="3" customFormat="1" ht="13.5" hidden="1" customHeight="1" x14ac:dyDescent="0.25">
      <c r="A707" t="str">
        <f>IF(R707=0,"",COUNTIF(A$13:A706,"&gt;0")+1)</f>
        <v/>
      </c>
      <c r="B707" s="4"/>
      <c r="C707" s="5" t="s">
        <v>141</v>
      </c>
      <c r="D707" s="7" t="s">
        <v>425</v>
      </c>
      <c r="E707" s="31"/>
      <c r="F707" s="31"/>
      <c r="G707" s="6" t="s">
        <v>425</v>
      </c>
      <c r="H707" s="7">
        <f>VLOOKUP(D707,A!B$1:L$1126,3,FALSE)</f>
        <v>0</v>
      </c>
      <c r="I707" s="31">
        <f>VLOOKUP(D707,A!B$1:L$1126,3,FALSE)</f>
        <v>0</v>
      </c>
      <c r="J707" s="92"/>
      <c r="K707" s="91" t="str">
        <f>VLOOKUP(D707,A!B$1:L$1126,6,FALSE)</f>
        <v/>
      </c>
      <c r="L707" s="162"/>
      <c r="M707" s="43" t="s">
        <v>426</v>
      </c>
      <c r="N707" s="94">
        <f>VLOOKUP(D707,A!B$1:L$1125,2,FALSE)</f>
        <v>0</v>
      </c>
      <c r="O707" s="94">
        <f>VLOOKUP(D707,A!B$1:L$1126,4,FALSE)</f>
        <v>0</v>
      </c>
      <c r="P707" s="10">
        <v>3</v>
      </c>
      <c r="Q707" s="10">
        <v>7.99</v>
      </c>
      <c r="R707" s="10">
        <f t="shared" si="111"/>
        <v>0</v>
      </c>
      <c r="S707" s="10">
        <f t="shared" si="112"/>
        <v>0</v>
      </c>
      <c r="T707" s="10" t="s">
        <v>324</v>
      </c>
      <c r="U707" s="145">
        <f t="shared" si="113"/>
        <v>0.1</v>
      </c>
      <c r="V707" s="10" t="str">
        <f>VLOOKUP(D707,A!B$1:T$1125,16,FALSE)</f>
        <v/>
      </c>
      <c r="W707" s="10">
        <f t="shared" si="114"/>
        <v>0</v>
      </c>
      <c r="X707" s="29"/>
      <c r="Y707" s="29"/>
      <c r="Z707" s="29"/>
      <c r="AA707" s="29"/>
    </row>
    <row r="708" spans="1:67" s="3" customFormat="1" ht="13.5" hidden="1" customHeight="1" x14ac:dyDescent="0.25">
      <c r="A708" t="str">
        <f>IF(R708=0,"",COUNTIF(A$13:A707,"&gt;0")+1)</f>
        <v/>
      </c>
      <c r="B708" s="4"/>
      <c r="C708" s="5" t="s">
        <v>141</v>
      </c>
      <c r="D708" s="7" t="s">
        <v>427</v>
      </c>
      <c r="E708" s="31"/>
      <c r="F708" s="31"/>
      <c r="G708" s="6" t="s">
        <v>427</v>
      </c>
      <c r="H708" s="7">
        <f>VLOOKUP(D708,A!B$1:L$1126,3,FALSE)</f>
        <v>0</v>
      </c>
      <c r="I708" s="31">
        <f>VLOOKUP(D708,A!B$1:L$1126,3,FALSE)</f>
        <v>0</v>
      </c>
      <c r="J708" s="92"/>
      <c r="K708" s="91" t="str">
        <f>VLOOKUP(D708,A!B$1:L$1126,6,FALSE)</f>
        <v/>
      </c>
      <c r="L708" s="162"/>
      <c r="M708" s="43" t="s">
        <v>428</v>
      </c>
      <c r="N708" s="94">
        <f>VLOOKUP(D708,A!B$1:L$1125,2,FALSE)</f>
        <v>0</v>
      </c>
      <c r="O708" s="94">
        <f>VLOOKUP(D708,A!B$1:L$1126,4,FALSE)</f>
        <v>0</v>
      </c>
      <c r="P708" s="10">
        <v>3</v>
      </c>
      <c r="Q708" s="10">
        <v>7.99</v>
      </c>
      <c r="R708" s="10">
        <f t="shared" si="111"/>
        <v>0</v>
      </c>
      <c r="S708" s="10">
        <f t="shared" si="112"/>
        <v>0</v>
      </c>
      <c r="T708" s="10" t="s">
        <v>324</v>
      </c>
      <c r="U708" s="145">
        <f t="shared" si="113"/>
        <v>0.1</v>
      </c>
      <c r="V708" s="10" t="str">
        <f>VLOOKUP(D708,A!B$1:T$1125,16,FALSE)</f>
        <v/>
      </c>
      <c r="W708" s="10">
        <f t="shared" si="114"/>
        <v>0</v>
      </c>
      <c r="X708" s="29"/>
      <c r="Y708" s="29"/>
      <c r="Z708" s="29"/>
      <c r="AA708" s="29"/>
    </row>
    <row r="709" spans="1:67" s="3" customFormat="1" ht="13.5" hidden="1" customHeight="1" x14ac:dyDescent="0.25">
      <c r="A709" t="str">
        <f>IF(R709=0,"",COUNTIF(A$13:A708,"&gt;0")+1)</f>
        <v/>
      </c>
      <c r="B709" s="4"/>
      <c r="C709" s="5" t="s">
        <v>141</v>
      </c>
      <c r="D709" s="7" t="s">
        <v>429</v>
      </c>
      <c r="E709" s="31"/>
      <c r="F709" s="31"/>
      <c r="G709" s="6" t="s">
        <v>430</v>
      </c>
      <c r="H709" s="7">
        <f>VLOOKUP(D709,A!B$1:L$1126,3,FALSE)</f>
        <v>0</v>
      </c>
      <c r="I709" s="31">
        <f>VLOOKUP(D709,A!B$1:L$1126,3,FALSE)</f>
        <v>0</v>
      </c>
      <c r="J709" s="92"/>
      <c r="K709" s="91" t="str">
        <f>VLOOKUP(D709,A!B$1:L$1126,6,FALSE)</f>
        <v/>
      </c>
      <c r="L709" s="162"/>
      <c r="M709" s="43" t="s">
        <v>431</v>
      </c>
      <c r="N709" s="94">
        <f>VLOOKUP(D709,A!B$1:L$1125,2,FALSE)</f>
        <v>0</v>
      </c>
      <c r="O709" s="94">
        <f>VLOOKUP(D709,A!B$1:L$1126,4,FALSE)</f>
        <v>0</v>
      </c>
      <c r="P709" s="10">
        <v>3</v>
      </c>
      <c r="Q709" s="10">
        <v>7.99</v>
      </c>
      <c r="R709" s="10">
        <f t="shared" si="111"/>
        <v>0</v>
      </c>
      <c r="S709" s="10">
        <f t="shared" si="112"/>
        <v>0</v>
      </c>
      <c r="T709" s="10" t="s">
        <v>324</v>
      </c>
      <c r="U709" s="145">
        <f t="shared" si="113"/>
        <v>0.1</v>
      </c>
      <c r="V709" s="10" t="str">
        <f>VLOOKUP(D709,A!B$1:T$1125,16,FALSE)</f>
        <v/>
      </c>
      <c r="W709" s="10">
        <f t="shared" si="114"/>
        <v>0</v>
      </c>
      <c r="X709" s="29"/>
      <c r="Y709" s="29"/>
      <c r="Z709" s="29"/>
      <c r="AA709" s="29"/>
    </row>
    <row r="710" spans="1:67" s="3" customFormat="1" ht="13.5" hidden="1" customHeight="1" x14ac:dyDescent="0.25">
      <c r="A710" t="str">
        <f>IF(R710=0,"",COUNTIF(A$13:A709,"&gt;0")+1)</f>
        <v/>
      </c>
      <c r="B710" s="4"/>
      <c r="C710" s="5" t="s">
        <v>141</v>
      </c>
      <c r="D710" s="7" t="s">
        <v>432</v>
      </c>
      <c r="E710" s="31"/>
      <c r="F710" s="31"/>
      <c r="G710" s="6" t="s">
        <v>433</v>
      </c>
      <c r="H710" s="7">
        <f>VLOOKUP(D710,A!B$1:L$1126,3,FALSE)</f>
        <v>0</v>
      </c>
      <c r="I710" s="31">
        <f>VLOOKUP(D710,A!B$1:L$1126,3,FALSE)</f>
        <v>0</v>
      </c>
      <c r="J710" s="92"/>
      <c r="K710" s="91" t="str">
        <f>VLOOKUP(D710,A!B$1:L$1126,6,FALSE)</f>
        <v/>
      </c>
      <c r="L710" s="162"/>
      <c r="M710" s="43" t="s">
        <v>434</v>
      </c>
      <c r="N710" s="94">
        <f>VLOOKUP(D710,A!B$1:L$1125,2,FALSE)</f>
        <v>0</v>
      </c>
      <c r="O710" s="94">
        <f>VLOOKUP(D710,A!B$1:L$1126,4,FALSE)</f>
        <v>0</v>
      </c>
      <c r="P710" s="10">
        <v>3</v>
      </c>
      <c r="Q710" s="10">
        <v>7.99</v>
      </c>
      <c r="R710" s="10">
        <f t="shared" si="111"/>
        <v>0</v>
      </c>
      <c r="S710" s="10">
        <f t="shared" si="112"/>
        <v>0</v>
      </c>
      <c r="T710" s="10" t="s">
        <v>324</v>
      </c>
      <c r="U710" s="145">
        <f t="shared" si="113"/>
        <v>0.1</v>
      </c>
      <c r="V710" s="10" t="str">
        <f>VLOOKUP(D710,A!B$1:T$1125,16,FALSE)</f>
        <v/>
      </c>
      <c r="W710" s="10">
        <f t="shared" si="114"/>
        <v>0</v>
      </c>
      <c r="X710" s="29"/>
      <c r="Y710" s="29"/>
      <c r="Z710" s="29"/>
      <c r="AA710" s="29"/>
    </row>
    <row r="711" spans="1:67" s="3" customFormat="1" ht="13.5" hidden="1" customHeight="1" x14ac:dyDescent="0.25">
      <c r="A711" t="str">
        <f>IF(R711=0,"",COUNTIF(A$13:A710,"&gt;0")+1)</f>
        <v/>
      </c>
      <c r="B711" s="4"/>
      <c r="C711" s="5" t="s">
        <v>141</v>
      </c>
      <c r="D711" s="7" t="s">
        <v>435</v>
      </c>
      <c r="E711" s="31"/>
      <c r="F711" s="31"/>
      <c r="G711" s="6" t="s">
        <v>436</v>
      </c>
      <c r="H711" s="7">
        <f>VLOOKUP(D711,A!B$1:L$1126,3,FALSE)</f>
        <v>0</v>
      </c>
      <c r="I711" s="31">
        <f>VLOOKUP(D711,A!B$1:L$1126,3,FALSE)</f>
        <v>0</v>
      </c>
      <c r="J711" s="92"/>
      <c r="K711" s="91" t="str">
        <f>VLOOKUP(D711,A!B$1:L$1126,6,FALSE)</f>
        <v/>
      </c>
      <c r="L711" s="162"/>
      <c r="M711" s="43" t="s">
        <v>437</v>
      </c>
      <c r="N711" s="94">
        <f>VLOOKUP(D711,A!B$1:L$1125,2,FALSE)</f>
        <v>0</v>
      </c>
      <c r="O711" s="94">
        <f>VLOOKUP(D711,A!B$1:L$1126,4,FALSE)</f>
        <v>0</v>
      </c>
      <c r="P711" s="10">
        <v>3</v>
      </c>
      <c r="Q711" s="10">
        <v>7.99</v>
      </c>
      <c r="R711" s="10">
        <f t="shared" si="111"/>
        <v>0</v>
      </c>
      <c r="S711" s="10">
        <f t="shared" si="112"/>
        <v>0</v>
      </c>
      <c r="T711" s="10" t="s">
        <v>324</v>
      </c>
      <c r="U711" s="145">
        <f t="shared" si="113"/>
        <v>0.1</v>
      </c>
      <c r="V711" s="10" t="str">
        <f>VLOOKUP(D711,A!B$1:T$1125,16,FALSE)</f>
        <v/>
      </c>
      <c r="W711" s="10">
        <f t="shared" si="114"/>
        <v>0</v>
      </c>
      <c r="X711" s="29"/>
      <c r="Y711" s="29"/>
      <c r="Z711" s="29"/>
      <c r="AA711" s="29"/>
    </row>
    <row r="712" spans="1:67" s="3" customFormat="1" ht="13.5" hidden="1" customHeight="1" x14ac:dyDescent="0.25">
      <c r="A712" t="str">
        <f>IF(R712=0,"",COUNTIF(A$13:A711,"&gt;0")+1)</f>
        <v/>
      </c>
      <c r="B712" s="4"/>
      <c r="C712" s="5" t="s">
        <v>141</v>
      </c>
      <c r="D712" s="7" t="s">
        <v>438</v>
      </c>
      <c r="E712" s="31"/>
      <c r="F712" s="31"/>
      <c r="G712" s="6" t="s">
        <v>439</v>
      </c>
      <c r="H712" s="7">
        <f>VLOOKUP(D712,A!B$1:L$1126,3,FALSE)</f>
        <v>0</v>
      </c>
      <c r="I712" s="31">
        <f>VLOOKUP(D712,A!B$1:L$1126,3,FALSE)</f>
        <v>0</v>
      </c>
      <c r="J712" s="92"/>
      <c r="K712" s="91" t="str">
        <f>VLOOKUP(D712,A!B$1:L$1126,6,FALSE)</f>
        <v/>
      </c>
      <c r="L712" s="162"/>
      <c r="M712" s="43" t="s">
        <v>440</v>
      </c>
      <c r="N712" s="94">
        <f>VLOOKUP(D712,A!B$1:L$1125,2,FALSE)</f>
        <v>0</v>
      </c>
      <c r="O712" s="94">
        <f>VLOOKUP(D712,A!B$1:L$1126,4,FALSE)</f>
        <v>0</v>
      </c>
      <c r="P712" s="10">
        <v>3</v>
      </c>
      <c r="Q712" s="10">
        <v>7.99</v>
      </c>
      <c r="R712" s="10">
        <f t="shared" si="111"/>
        <v>0</v>
      </c>
      <c r="S712" s="10">
        <f t="shared" si="112"/>
        <v>0</v>
      </c>
      <c r="T712" s="10" t="s">
        <v>324</v>
      </c>
      <c r="U712" s="145">
        <f t="shared" si="113"/>
        <v>0.1</v>
      </c>
      <c r="V712" s="10" t="str">
        <f>VLOOKUP(D712,A!B$1:T$1125,16,FALSE)</f>
        <v/>
      </c>
      <c r="W712" s="10">
        <f t="shared" si="114"/>
        <v>0</v>
      </c>
      <c r="X712" s="29"/>
      <c r="Y712" s="29"/>
      <c r="Z712" s="29"/>
      <c r="AA712" s="29"/>
    </row>
    <row r="713" spans="1:67" s="3" customFormat="1" ht="13.5" hidden="1" customHeight="1" x14ac:dyDescent="0.25">
      <c r="A713" t="str">
        <f>IF(R713=0,"",COUNTIF(A$13:A712,"&gt;0")+1)</f>
        <v/>
      </c>
      <c r="B713" s="4"/>
      <c r="C713" s="5" t="s">
        <v>141</v>
      </c>
      <c r="D713" s="7" t="s">
        <v>441</v>
      </c>
      <c r="E713" s="31"/>
      <c r="F713" s="31"/>
      <c r="G713" s="6" t="s">
        <v>442</v>
      </c>
      <c r="H713" s="7">
        <f>VLOOKUP(D713,A!B$1:L$1126,3,FALSE)</f>
        <v>0</v>
      </c>
      <c r="I713" s="31">
        <f>VLOOKUP(D713,A!B$1:L$1126,3,FALSE)</f>
        <v>0</v>
      </c>
      <c r="J713" s="92"/>
      <c r="K713" s="91" t="str">
        <f>VLOOKUP(D713,A!B$1:L$1126,6,FALSE)</f>
        <v/>
      </c>
      <c r="L713" s="162"/>
      <c r="M713" s="43" t="s">
        <v>443</v>
      </c>
      <c r="N713" s="94">
        <f>VLOOKUP(D713,A!B$1:L$1125,2,FALSE)</f>
        <v>0</v>
      </c>
      <c r="O713" s="94">
        <f>VLOOKUP(D713,A!B$1:L$1126,4,FALSE)</f>
        <v>0</v>
      </c>
      <c r="P713" s="10">
        <v>3</v>
      </c>
      <c r="Q713" s="10">
        <v>7.99</v>
      </c>
      <c r="R713" s="10">
        <f t="shared" si="111"/>
        <v>0</v>
      </c>
      <c r="S713" s="10">
        <f t="shared" si="112"/>
        <v>0</v>
      </c>
      <c r="T713" s="10" t="s">
        <v>324</v>
      </c>
      <c r="U713" s="145">
        <f t="shared" si="113"/>
        <v>0.1</v>
      </c>
      <c r="V713" s="10" t="str">
        <f>VLOOKUP(D713,A!B$1:T$1125,16,FALSE)</f>
        <v/>
      </c>
      <c r="W713" s="10">
        <f t="shared" si="114"/>
        <v>0</v>
      </c>
      <c r="X713" s="29"/>
      <c r="Y713" s="29"/>
      <c r="Z713" s="29"/>
      <c r="AA713" s="29"/>
    </row>
    <row r="714" spans="1:67" s="3" customFormat="1" ht="13.5" hidden="1" customHeight="1" x14ac:dyDescent="0.25">
      <c r="A714" t="str">
        <f>IF(R714=0,"",COUNTIF(A$13:A713,"&gt;0")+1)</f>
        <v/>
      </c>
      <c r="B714" s="4"/>
      <c r="C714" s="5" t="s">
        <v>141</v>
      </c>
      <c r="D714" s="7" t="s">
        <v>444</v>
      </c>
      <c r="E714" s="31"/>
      <c r="F714" s="31"/>
      <c r="G714" s="6" t="s">
        <v>445</v>
      </c>
      <c r="H714" s="7">
        <f>VLOOKUP(D714,A!B$1:L$1126,3,FALSE)</f>
        <v>0</v>
      </c>
      <c r="I714" s="31">
        <f>VLOOKUP(D714,A!B$1:L$1126,3,FALSE)</f>
        <v>0</v>
      </c>
      <c r="J714" s="92"/>
      <c r="K714" s="91" t="str">
        <f>VLOOKUP(D714,A!B$1:L$1126,6,FALSE)</f>
        <v/>
      </c>
      <c r="L714" s="162"/>
      <c r="M714" s="41" t="s">
        <v>446</v>
      </c>
      <c r="N714" s="94">
        <f>VLOOKUP(D714,A!B$1:L$1125,2,FALSE)</f>
        <v>0</v>
      </c>
      <c r="O714" s="94">
        <f>VLOOKUP(D714,A!B$1:L$1126,4,FALSE)</f>
        <v>0</v>
      </c>
      <c r="P714" s="10">
        <v>3</v>
      </c>
      <c r="Q714" s="10">
        <v>7.99</v>
      </c>
      <c r="R714" s="10">
        <f t="shared" si="111"/>
        <v>0</v>
      </c>
      <c r="S714" s="10">
        <f t="shared" si="112"/>
        <v>0</v>
      </c>
      <c r="T714" s="10" t="s">
        <v>324</v>
      </c>
      <c r="U714" s="145">
        <f t="shared" si="113"/>
        <v>0.1</v>
      </c>
      <c r="V714" s="10" t="str">
        <f>VLOOKUP(D714,A!B$1:T$1125,16,FALSE)</f>
        <v/>
      </c>
      <c r="W714" s="10">
        <f t="shared" si="114"/>
        <v>0</v>
      </c>
      <c r="X714" s="29"/>
      <c r="Y714" s="29"/>
      <c r="Z714" s="29"/>
      <c r="AA714" s="29"/>
    </row>
    <row r="715" spans="1:67" s="1" customFormat="1" ht="12" hidden="1" customHeight="1" x14ac:dyDescent="0.25">
      <c r="A715" t="str">
        <f>IF(R715=0,"",COUNTIF(A$13:A714,"&gt;0")+1)</f>
        <v/>
      </c>
      <c r="B715" s="4"/>
      <c r="C715" s="5" t="s">
        <v>141</v>
      </c>
      <c r="D715" s="7" t="s">
        <v>447</v>
      </c>
      <c r="E715" s="31"/>
      <c r="F715" s="31"/>
      <c r="G715" s="6" t="s">
        <v>448</v>
      </c>
      <c r="H715" s="7">
        <f>VLOOKUP(D715,A!B$1:L$1126,3,FALSE)</f>
        <v>0</v>
      </c>
      <c r="I715" s="31">
        <f>VLOOKUP(D715,A!B$1:L$1126,3,FALSE)</f>
        <v>0</v>
      </c>
      <c r="J715" s="92"/>
      <c r="K715" s="91" t="str">
        <f>VLOOKUP(D715,A!B$1:L$1126,6,FALSE)</f>
        <v/>
      </c>
      <c r="L715" s="162"/>
      <c r="M715" s="41" t="s">
        <v>449</v>
      </c>
      <c r="N715" s="94">
        <f>VLOOKUP(D715,A!B$1:L$1125,2,FALSE)</f>
        <v>0</v>
      </c>
      <c r="O715" s="94">
        <f>VLOOKUP(D715,A!B$1:L$1126,4,FALSE)</f>
        <v>0</v>
      </c>
      <c r="P715" s="10">
        <v>3</v>
      </c>
      <c r="Q715" s="10">
        <v>7.99</v>
      </c>
      <c r="R715" s="10">
        <f t="shared" si="111"/>
        <v>0</v>
      </c>
      <c r="S715" s="10">
        <f t="shared" si="112"/>
        <v>0</v>
      </c>
      <c r="T715" s="10" t="s">
        <v>324</v>
      </c>
      <c r="U715" s="145">
        <f t="shared" si="113"/>
        <v>0.1</v>
      </c>
      <c r="V715" s="10" t="str">
        <f>VLOOKUP(D715,A!B$1:T$1125,16,FALSE)</f>
        <v/>
      </c>
      <c r="W715" s="10">
        <f t="shared" si="114"/>
        <v>0</v>
      </c>
      <c r="X715" s="29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</row>
    <row r="716" spans="1:67" s="1" customFormat="1" ht="15" customHeight="1" x14ac:dyDescent="0.25">
      <c r="A716" t="str">
        <f>IF(R716=0,"",COUNTIF(A$13:A715,"&gt;0")+1)</f>
        <v/>
      </c>
      <c r="B716" s="58"/>
      <c r="C716" s="52"/>
      <c r="D716" s="53"/>
      <c r="E716" s="53"/>
      <c r="F716" s="53"/>
      <c r="G716" s="54"/>
      <c r="H716" s="55"/>
      <c r="I716" s="55"/>
      <c r="J716" s="55"/>
      <c r="K716" s="55"/>
      <c r="L716" s="56"/>
      <c r="M716" s="57"/>
      <c r="N716" s="100"/>
      <c r="O716" s="10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</row>
    <row r="717" spans="1:67" s="1" customFormat="1" ht="21" customHeight="1" x14ac:dyDescent="0.25">
      <c r="A717" t="str">
        <f>IF(R717=0,"",COUNTIF(A$13:A716,"&gt;0")+1)</f>
        <v/>
      </c>
      <c r="B717" s="156" t="s">
        <v>353</v>
      </c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  <c r="M717" s="130"/>
      <c r="N717" s="100"/>
      <c r="O717" s="10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</row>
    <row r="718" spans="1:67" s="1" customFormat="1" ht="18" customHeight="1" x14ac:dyDescent="0.25">
      <c r="A718" t="str">
        <f>IF(R718=0,"",COUNTIF(A$13:A717,"&gt;0")+1)</f>
        <v/>
      </c>
      <c r="B718" s="243" t="s">
        <v>177</v>
      </c>
      <c r="C718" s="244"/>
      <c r="D718" s="244"/>
      <c r="E718" s="244"/>
      <c r="F718" s="245"/>
      <c r="G718" s="75" t="s">
        <v>170</v>
      </c>
      <c r="H718" s="136" t="s">
        <v>21</v>
      </c>
      <c r="I718" s="70"/>
      <c r="K718" s="135"/>
      <c r="L718" s="135"/>
      <c r="M718" s="71" t="s">
        <v>77</v>
      </c>
      <c r="N718" s="100"/>
      <c r="O718" s="10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</row>
    <row r="719" spans="1:67" s="1" customFormat="1" ht="13.5" customHeight="1" x14ac:dyDescent="0.25">
      <c r="A719" t="str">
        <f>IF(R719=0,"",COUNTIF(A$13:A718,"&gt;0")+1)</f>
        <v/>
      </c>
      <c r="B719" s="246"/>
      <c r="C719" s="249" t="s">
        <v>75</v>
      </c>
      <c r="D719" s="63" t="s">
        <v>171</v>
      </c>
      <c r="E719" s="63"/>
      <c r="F719" s="63"/>
      <c r="G719" s="64">
        <v>30</v>
      </c>
      <c r="H719" s="131" t="s">
        <v>215</v>
      </c>
      <c r="I719" s="132"/>
      <c r="J719" s="132"/>
      <c r="K719" s="132"/>
      <c r="L719" s="133"/>
      <c r="M719" s="72">
        <v>97.8</v>
      </c>
      <c r="N719" s="100"/>
      <c r="O719" s="100"/>
      <c r="P719" s="10"/>
      <c r="Q719" s="10"/>
      <c r="R719" s="153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</row>
    <row r="720" spans="1:67" s="1" customFormat="1" ht="13.5" customHeight="1" x14ac:dyDescent="0.25">
      <c r="A720" t="str">
        <f>IF(R720=0,"",COUNTIF(A$13:A719,"&gt;0")+1)</f>
        <v/>
      </c>
      <c r="B720" s="247"/>
      <c r="C720" s="250"/>
      <c r="D720" s="63" t="s">
        <v>173</v>
      </c>
      <c r="E720" s="63"/>
      <c r="F720" s="63"/>
      <c r="G720" s="64">
        <v>30</v>
      </c>
      <c r="H720" s="131" t="s">
        <v>268</v>
      </c>
      <c r="I720" s="132"/>
      <c r="J720" s="132"/>
      <c r="K720" s="132"/>
      <c r="L720" s="133"/>
      <c r="M720" s="72">
        <v>97.8</v>
      </c>
      <c r="N720" s="100"/>
      <c r="O720" s="10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</row>
    <row r="721" spans="1:67" s="1" customFormat="1" ht="13.5" customHeight="1" x14ac:dyDescent="0.25">
      <c r="A721" t="str">
        <f>IF(R721=0,"",COUNTIF(A$13:A720,"&gt;0")+1)</f>
        <v/>
      </c>
      <c r="B721" s="247"/>
      <c r="C721" s="250"/>
      <c r="D721" s="63" t="s">
        <v>172</v>
      </c>
      <c r="E721" s="63"/>
      <c r="F721" s="63"/>
      <c r="G721" s="64">
        <v>60</v>
      </c>
      <c r="H721" s="131" t="s">
        <v>217</v>
      </c>
      <c r="I721" s="132"/>
      <c r="J721" s="132"/>
      <c r="K721" s="132"/>
      <c r="L721" s="133"/>
      <c r="M721" s="72">
        <v>161.4</v>
      </c>
      <c r="N721" s="100"/>
      <c r="O721" s="10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</row>
    <row r="722" spans="1:67" s="1" customFormat="1" ht="13.5" customHeight="1" x14ac:dyDescent="0.25">
      <c r="A722" t="str">
        <f>IF(R722=0,"",COUNTIF(A$13:A721,"&gt;0")+1)</f>
        <v/>
      </c>
      <c r="B722" s="248"/>
      <c r="C722" s="251"/>
      <c r="D722" s="63" t="s">
        <v>174</v>
      </c>
      <c r="E722" s="63"/>
      <c r="F722" s="63"/>
      <c r="G722" s="64">
        <v>30</v>
      </c>
      <c r="H722" s="131" t="s">
        <v>216</v>
      </c>
      <c r="I722" s="132"/>
      <c r="J722" s="132"/>
      <c r="K722" s="132"/>
      <c r="L722" s="133"/>
      <c r="M722" s="72">
        <v>80.7</v>
      </c>
      <c r="N722" s="100"/>
      <c r="O722" s="10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</row>
    <row r="723" spans="1:67" s="1" customFormat="1" ht="13.5" customHeight="1" x14ac:dyDescent="0.25">
      <c r="A723" t="str">
        <f>IF(R723=0,"",COUNTIF(A$13:A722,"&gt;0")+1)</f>
        <v/>
      </c>
      <c r="B723" s="62"/>
      <c r="C723" s="59"/>
      <c r="D723" s="53"/>
      <c r="E723" s="53"/>
      <c r="F723" s="53"/>
      <c r="G723" s="60"/>
      <c r="H723" s="60"/>
      <c r="I723" s="60"/>
      <c r="J723" s="60"/>
      <c r="K723" s="60"/>
      <c r="L723" s="69" t="s">
        <v>176</v>
      </c>
      <c r="M723" s="73">
        <v>437.7</v>
      </c>
      <c r="N723" s="100"/>
      <c r="O723" s="10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</row>
    <row r="724" spans="1:67" s="1" customFormat="1" ht="13.5" customHeight="1" x14ac:dyDescent="0.25">
      <c r="A724" t="str">
        <f>IF(R724=0,"",COUNTIF(A$13:A723,"&gt;0")+1)</f>
        <v/>
      </c>
      <c r="B724" s="158">
        <f>B719</f>
        <v>0</v>
      </c>
      <c r="C724" s="159" t="s">
        <v>75</v>
      </c>
      <c r="D724" s="153" t="s">
        <v>353</v>
      </c>
      <c r="E724" s="153"/>
      <c r="F724" s="53"/>
      <c r="G724" s="60"/>
      <c r="H724" s="60"/>
      <c r="I724" s="60"/>
      <c r="J724" s="60"/>
      <c r="K724" s="60"/>
      <c r="L724" s="68" t="s">
        <v>179</v>
      </c>
      <c r="M724" s="74">
        <v>385</v>
      </c>
      <c r="N724" s="100"/>
      <c r="O724" s="100"/>
      <c r="P724" s="10">
        <v>150</v>
      </c>
      <c r="Q724" s="151">
        <f>385/150</f>
        <v>2.5666666666666669</v>
      </c>
      <c r="R724" s="10">
        <f>B719*P724</f>
        <v>0</v>
      </c>
      <c r="S724" s="10">
        <f>R724*Q724</f>
        <v>0</v>
      </c>
      <c r="T724" s="10" t="s">
        <v>325</v>
      </c>
      <c r="U724" s="10">
        <v>5</v>
      </c>
      <c r="V724" s="10">
        <v>1</v>
      </c>
      <c r="W724" s="10">
        <f>U724*B719</f>
        <v>0</v>
      </c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</row>
    <row r="725" spans="1:67" ht="9" customHeight="1" x14ac:dyDescent="0.25">
      <c r="A725" t="str">
        <f>IF(R725=0,"",COUNTIF(A$13:A724,"&gt;0")+1)</f>
        <v/>
      </c>
      <c r="B725" s="76"/>
      <c r="C725" s="76"/>
      <c r="D725" s="76"/>
      <c r="E725" s="76"/>
      <c r="F725" s="76"/>
      <c r="G725" s="76"/>
      <c r="H725" s="76"/>
      <c r="I725" s="76"/>
      <c r="J725" s="76"/>
      <c r="K725" s="76"/>
      <c r="L725" s="76"/>
      <c r="M725" s="76"/>
      <c r="N725" s="103"/>
      <c r="O725" s="103"/>
      <c r="AC725" s="30"/>
      <c r="AD725" s="30"/>
      <c r="AE725" s="115"/>
      <c r="AF725" s="115"/>
      <c r="AG725" s="115"/>
      <c r="AH725" s="115"/>
      <c r="AI725" s="115"/>
      <c r="AJ725" s="115"/>
      <c r="AK725" s="115"/>
      <c r="AL725" s="115"/>
      <c r="AM725" s="115"/>
      <c r="AN725" s="115"/>
      <c r="AO725" s="115"/>
      <c r="AP725" s="115"/>
      <c r="AQ725" s="115"/>
      <c r="AR725" s="115"/>
      <c r="AS725" s="115"/>
      <c r="AT725" s="115"/>
      <c r="AU725" s="115"/>
      <c r="AV725" s="115"/>
      <c r="AW725" s="115"/>
      <c r="AX725" s="115"/>
      <c r="AY725" s="115"/>
      <c r="AZ725" s="115"/>
      <c r="BA725" s="115"/>
      <c r="BB725" s="115"/>
      <c r="BC725" s="115"/>
      <c r="BD725" s="115"/>
      <c r="BE725" s="115"/>
      <c r="BF725" s="115"/>
      <c r="BG725" s="115"/>
      <c r="BH725" s="115"/>
      <c r="BI725" s="115"/>
      <c r="BJ725" s="115"/>
      <c r="BK725" s="115"/>
      <c r="BL725" s="115"/>
      <c r="BM725" s="115"/>
      <c r="BN725" s="115"/>
      <c r="BO725" s="115"/>
    </row>
    <row r="726" spans="1:67" s="9" customFormat="1" ht="21" customHeight="1" x14ac:dyDescent="0.25">
      <c r="A726" t="str">
        <f>IF(R726=0,"",COUNTIF(A$13:A725,"&gt;0")+1)</f>
        <v/>
      </c>
      <c r="B726" s="234" t="s">
        <v>79</v>
      </c>
      <c r="C726" s="235"/>
      <c r="D726" s="235"/>
      <c r="E726" s="235"/>
      <c r="F726" s="235"/>
      <c r="G726" s="236"/>
      <c r="H726" s="125" t="s">
        <v>175</v>
      </c>
      <c r="I726" s="126"/>
      <c r="J726" s="126"/>
      <c r="K726" s="126"/>
      <c r="L726" s="127"/>
      <c r="M726" s="128"/>
      <c r="N726" s="93"/>
      <c r="O726" s="93"/>
      <c r="P726" s="30"/>
      <c r="Q726" s="30"/>
      <c r="R726" s="30"/>
      <c r="S726" s="30"/>
      <c r="T726" s="10"/>
      <c r="U726" s="145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</row>
    <row r="727" spans="1:67" s="9" customFormat="1" ht="12" customHeight="1" x14ac:dyDescent="0.25">
      <c r="A727" t="str">
        <f>IF(R727=0,"",COUNTIF(A$13:A726,"&gt;0")+1)</f>
        <v/>
      </c>
      <c r="B727" s="237" t="s">
        <v>18</v>
      </c>
      <c r="C727" s="238"/>
      <c r="D727" s="16" t="s">
        <v>19</v>
      </c>
      <c r="E727" s="86"/>
      <c r="F727" s="86"/>
      <c r="G727" s="17"/>
      <c r="H727" s="34" t="s">
        <v>21</v>
      </c>
      <c r="I727" s="32"/>
      <c r="J727" s="32"/>
      <c r="K727" s="32"/>
      <c r="L727" s="32"/>
      <c r="M727" s="121" t="s">
        <v>77</v>
      </c>
      <c r="N727" s="93"/>
      <c r="O727" s="93"/>
      <c r="P727" s="30"/>
      <c r="Q727" s="30"/>
      <c r="R727" s="30"/>
      <c r="S727" s="10"/>
      <c r="T727" s="10"/>
      <c r="U727" s="145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</row>
    <row r="728" spans="1:67" s="9" customFormat="1" ht="13.5" customHeight="1" x14ac:dyDescent="0.25">
      <c r="A728" t="str">
        <f>IF(R728=0,"",COUNTIF(A$13:A727,"&gt;0")+1)</f>
        <v/>
      </c>
      <c r="B728" s="4"/>
      <c r="C728" s="5" t="s">
        <v>75</v>
      </c>
      <c r="D728" s="65" t="s">
        <v>94</v>
      </c>
      <c r="E728" s="90"/>
      <c r="F728" s="90"/>
      <c r="G728" s="33"/>
      <c r="H728" s="66" t="s">
        <v>95</v>
      </c>
      <c r="I728" s="85"/>
      <c r="J728" s="85"/>
      <c r="K728" s="85"/>
      <c r="L728" s="67"/>
      <c r="M728" s="38">
        <v>340</v>
      </c>
      <c r="N728" s="100"/>
      <c r="O728" s="100"/>
      <c r="P728" s="10">
        <v>360</v>
      </c>
      <c r="Q728" s="151">
        <f>340/360</f>
        <v>0.94444444444444442</v>
      </c>
      <c r="R728" s="10">
        <f>B728*P728</f>
        <v>0</v>
      </c>
      <c r="S728" s="10">
        <f>R728*Q728</f>
        <v>0</v>
      </c>
      <c r="T728" s="10" t="s">
        <v>325</v>
      </c>
      <c r="U728" s="145">
        <v>6</v>
      </c>
      <c r="V728" s="10">
        <v>1</v>
      </c>
      <c r="W728" s="10">
        <f>U728*B728</f>
        <v>0</v>
      </c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</row>
    <row r="729" spans="1:67" s="9" customFormat="1" ht="13.5" customHeight="1" x14ac:dyDescent="0.25">
      <c r="A729" t="str">
        <f>IF(R729=0,"",COUNTIF(A$13:A728,"&gt;0")+1)</f>
        <v/>
      </c>
      <c r="B729" s="4"/>
      <c r="C729" s="5" t="s">
        <v>75</v>
      </c>
      <c r="D729" s="65" t="s">
        <v>76</v>
      </c>
      <c r="E729" s="90"/>
      <c r="F729" s="90" t="s">
        <v>1787</v>
      </c>
      <c r="G729" s="33"/>
      <c r="H729" s="66" t="s">
        <v>78</v>
      </c>
      <c r="I729" s="85"/>
      <c r="J729" s="85"/>
      <c r="K729" s="85"/>
      <c r="L729" s="67"/>
      <c r="M729" s="38">
        <v>363</v>
      </c>
      <c r="N729" s="100"/>
      <c r="O729" s="100"/>
      <c r="P729" s="10">
        <v>150</v>
      </c>
      <c r="Q729" s="151">
        <f>363/150</f>
        <v>2.42</v>
      </c>
      <c r="R729" s="10">
        <f>B729*P729</f>
        <v>0</v>
      </c>
      <c r="S729" s="10">
        <f>R729*Q729</f>
        <v>0</v>
      </c>
      <c r="T729" s="10" t="s">
        <v>325</v>
      </c>
      <c r="U729" s="145">
        <v>5</v>
      </c>
      <c r="V729" s="10">
        <v>1</v>
      </c>
      <c r="W729" s="10">
        <f t="shared" ref="W729" si="115">U729*B729</f>
        <v>0</v>
      </c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</row>
    <row r="730" spans="1:67" ht="10.5" hidden="1" customHeight="1" x14ac:dyDescent="0.25">
      <c r="A730" t="str">
        <f>IF(R730=0,"",COUNTIF(A$13:A729,"&gt;0")+1)</f>
        <v/>
      </c>
      <c r="N730" s="102"/>
      <c r="O730" s="102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  <c r="AA730" s="115"/>
      <c r="AB730" s="115"/>
      <c r="AC730" s="115"/>
      <c r="AD730" s="115"/>
      <c r="AE730" s="115"/>
      <c r="AF730" s="115"/>
      <c r="AG730" s="115"/>
      <c r="AH730" s="115"/>
      <c r="AI730" s="115"/>
      <c r="AJ730" s="115"/>
      <c r="AK730" s="115"/>
      <c r="AL730" s="115"/>
      <c r="AM730" s="115"/>
      <c r="AN730" s="115"/>
      <c r="AO730" s="115"/>
      <c r="AP730" s="115"/>
      <c r="AQ730" s="115"/>
      <c r="AR730" s="115"/>
      <c r="AS730" s="115"/>
      <c r="AT730" s="115"/>
      <c r="AU730" s="115"/>
      <c r="AV730" s="115"/>
      <c r="AW730" s="115"/>
      <c r="AX730" s="115"/>
      <c r="AY730" s="115"/>
      <c r="AZ730" s="115"/>
      <c r="BA730" s="115"/>
      <c r="BB730" s="115"/>
      <c r="BC730" s="115"/>
      <c r="BD730" s="115"/>
      <c r="BE730" s="115"/>
      <c r="BF730" s="115"/>
      <c r="BG730" s="115"/>
      <c r="BH730" s="115"/>
      <c r="BI730" s="115"/>
      <c r="BJ730" s="115"/>
      <c r="BK730" s="115"/>
      <c r="BL730" s="115"/>
      <c r="BM730" s="115"/>
      <c r="BN730" s="115"/>
      <c r="BO730" s="115"/>
    </row>
    <row r="731" spans="1:67" s="8" customFormat="1" ht="19.5" hidden="1" x14ac:dyDescent="0.25">
      <c r="A731" t="str">
        <f>IF(R731=0,"",COUNTIF(A$13:A730,"&gt;0")+1)</f>
        <v/>
      </c>
      <c r="B731" s="234" t="s">
        <v>267</v>
      </c>
      <c r="C731" s="235"/>
      <c r="D731" s="235"/>
      <c r="E731" s="235"/>
      <c r="F731" s="235"/>
      <c r="G731" s="236"/>
      <c r="H731" s="123"/>
      <c r="I731" s="124"/>
      <c r="J731" s="137"/>
      <c r="K731" s="137"/>
      <c r="L731" s="137" t="s">
        <v>74</v>
      </c>
      <c r="M731" s="27">
        <v>5.2</v>
      </c>
      <c r="N731" s="93"/>
      <c r="O731" s="93"/>
      <c r="P731" s="30"/>
      <c r="Q731" s="30"/>
      <c r="R731" s="3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</row>
    <row r="732" spans="1:67" ht="12" hidden="1" customHeight="1" x14ac:dyDescent="0.25">
      <c r="A732" t="str">
        <f>IF(R732=0,"",COUNTIF(A$13:A731,"&gt;0")+1)</f>
        <v/>
      </c>
      <c r="B732" s="237" t="s">
        <v>18</v>
      </c>
      <c r="C732" s="238"/>
      <c r="D732" s="16" t="s">
        <v>19</v>
      </c>
      <c r="E732" s="86"/>
      <c r="F732" s="86"/>
      <c r="G732" s="17" t="s">
        <v>20</v>
      </c>
      <c r="H732" s="118"/>
      <c r="I732" s="117"/>
      <c r="J732" s="117"/>
      <c r="K732" s="122" t="s">
        <v>17</v>
      </c>
      <c r="L732" s="119">
        <v>5021353013764</v>
      </c>
      <c r="M732" s="120" t="s">
        <v>21</v>
      </c>
      <c r="S732" s="10"/>
      <c r="T732" s="115"/>
      <c r="U732" s="115"/>
      <c r="V732" s="115"/>
      <c r="W732" s="115"/>
      <c r="X732" s="115"/>
      <c r="Y732" s="115"/>
      <c r="Z732" s="115"/>
      <c r="AA732" s="115"/>
      <c r="AB732" s="115"/>
      <c r="AC732" s="115"/>
      <c r="AD732" s="115"/>
      <c r="AE732" s="115"/>
      <c r="AF732" s="115"/>
      <c r="AG732" s="115"/>
      <c r="AH732" s="115"/>
      <c r="AI732" s="115"/>
      <c r="AJ732" s="115"/>
      <c r="AK732" s="115"/>
      <c r="AL732" s="115"/>
      <c r="AM732" s="115"/>
      <c r="AN732" s="115"/>
      <c r="AO732" s="115"/>
      <c r="AP732" s="115"/>
      <c r="AQ732" s="115"/>
      <c r="AR732" s="115"/>
      <c r="AS732" s="115"/>
      <c r="AT732" s="115"/>
      <c r="AU732" s="115"/>
      <c r="AV732" s="115"/>
      <c r="AW732" s="115"/>
      <c r="AX732" s="115"/>
      <c r="AY732" s="115"/>
      <c r="AZ732" s="115"/>
      <c r="BA732" s="115"/>
      <c r="BB732" s="115"/>
      <c r="BC732" s="115"/>
      <c r="BD732" s="115"/>
      <c r="BE732" s="115"/>
      <c r="BF732" s="115"/>
      <c r="BG732" s="115"/>
      <c r="BH732" s="115"/>
      <c r="BI732" s="115"/>
      <c r="BJ732" s="115"/>
      <c r="BK732" s="115"/>
      <c r="BL732" s="115"/>
      <c r="BM732" s="115"/>
      <c r="BN732" s="115"/>
      <c r="BO732" s="115"/>
    </row>
    <row r="733" spans="1:67" ht="12" hidden="1" customHeight="1" x14ac:dyDescent="0.25">
      <c r="A733" t="str">
        <f>IF(R733=0,"",COUNTIF(A$13:A732,"&gt;0")+1)</f>
        <v/>
      </c>
      <c r="B733" s="4"/>
      <c r="C733" s="5" t="s">
        <v>44</v>
      </c>
      <c r="D733" s="7" t="s">
        <v>294</v>
      </c>
      <c r="E733" s="31"/>
      <c r="F733" s="31"/>
      <c r="G733" s="6" t="s">
        <v>295</v>
      </c>
      <c r="H733" s="7">
        <f>VLOOKUP(D733,A!B$1:L$1126,8,FALSE)</f>
        <v>0</v>
      </c>
      <c r="I733" s="31">
        <f>VLOOKUP(D733,A!B$1:L$1126,8,FALSE)</f>
        <v>0</v>
      </c>
      <c r="J733" s="92"/>
      <c r="K733" s="63" t="str">
        <f>VLOOKUP(D733,A!B$1:P$1126,11,FALSE)</f>
        <v/>
      </c>
      <c r="L733" s="80"/>
      <c r="M733" s="42" t="s">
        <v>296</v>
      </c>
      <c r="N733" s="94">
        <f>VLOOKUP(D733,A!B$1:L$1125,7,FALSE)</f>
        <v>0</v>
      </c>
      <c r="O733" s="94">
        <f>VLOOKUP(D733,A!B$1:P$1126,9,FALSE)</f>
        <v>0</v>
      </c>
      <c r="P733" s="10">
        <v>6</v>
      </c>
      <c r="Q733" s="151">
        <v>5.2</v>
      </c>
      <c r="R733" s="10">
        <f>B733*P733</f>
        <v>0</v>
      </c>
      <c r="S733" s="10">
        <f>R733*Q733</f>
        <v>0</v>
      </c>
      <c r="T733" s="115" t="s">
        <v>326</v>
      </c>
      <c r="U733" s="115">
        <v>0.35</v>
      </c>
      <c r="V733" s="10">
        <f>VLOOKUP(D733,A!B$1:T$1125,17,FALSE)</f>
        <v>30</v>
      </c>
      <c r="W733" s="10">
        <f t="shared" ref="W733:W734" si="116">U733*B733</f>
        <v>0</v>
      </c>
      <c r="X733" s="115"/>
      <c r="Y733" s="115"/>
      <c r="Z733" s="115"/>
      <c r="AA733" s="115"/>
      <c r="AB733" s="115"/>
      <c r="AC733" s="115"/>
      <c r="AD733" s="115"/>
      <c r="AE733" s="115"/>
      <c r="AF733" s="115"/>
      <c r="AG733" s="115"/>
      <c r="AH733" s="115"/>
      <c r="AI733" s="115"/>
      <c r="AJ733" s="115"/>
      <c r="AK733" s="115"/>
      <c r="AL733" s="115"/>
      <c r="AM733" s="115"/>
      <c r="AN733" s="115"/>
      <c r="AO733" s="115"/>
      <c r="AP733" s="115"/>
      <c r="AQ733" s="115"/>
      <c r="AR733" s="115"/>
      <c r="AS733" s="115"/>
      <c r="AT733" s="115"/>
      <c r="AU733" s="115"/>
      <c r="AV733" s="115"/>
      <c r="AW733" s="115"/>
      <c r="AX733" s="115"/>
      <c r="AY733" s="115"/>
      <c r="AZ733" s="115"/>
      <c r="BA733" s="115"/>
      <c r="BB733" s="115"/>
      <c r="BC733" s="115"/>
      <c r="BD733" s="115"/>
      <c r="BE733" s="115"/>
      <c r="BF733" s="115"/>
      <c r="BG733" s="115"/>
      <c r="BH733" s="115"/>
      <c r="BI733" s="115"/>
      <c r="BJ733" s="115"/>
      <c r="BK733" s="115"/>
      <c r="BL733" s="115"/>
      <c r="BM733" s="115"/>
      <c r="BN733" s="115"/>
      <c r="BO733" s="115"/>
    </row>
    <row r="734" spans="1:67" ht="12" hidden="1" customHeight="1" x14ac:dyDescent="0.25">
      <c r="A734" t="str">
        <f>IF(R734=0,"",COUNTIF(A$13:A733,"&gt;0")+1)</f>
        <v/>
      </c>
      <c r="B734" s="4"/>
      <c r="C734" s="5" t="s">
        <v>44</v>
      </c>
      <c r="D734" s="7" t="s">
        <v>282</v>
      </c>
      <c r="E734" s="31"/>
      <c r="F734" s="31"/>
      <c r="G734" s="20" t="s">
        <v>26</v>
      </c>
      <c r="H734" s="7">
        <f>VLOOKUP(D734,A!B$1:L$1126,8,FALSE)</f>
        <v>0</v>
      </c>
      <c r="I734" s="31">
        <f>VLOOKUP(D734,A!B$1:L$1126,8,FALSE)</f>
        <v>0</v>
      </c>
      <c r="J734" s="92"/>
      <c r="K734" s="63" t="str">
        <f>VLOOKUP(D734,A!B$1:P$1126,11,FALSE)</f>
        <v/>
      </c>
      <c r="L734" s="2"/>
      <c r="M734" s="41" t="s">
        <v>27</v>
      </c>
      <c r="N734" s="94">
        <f>VLOOKUP(D734,A!B$1:L$1125,7,FALSE)</f>
        <v>0</v>
      </c>
      <c r="O734" s="94">
        <f>VLOOKUP(D734,A!B$1:P$1126,9,FALSE)</f>
        <v>0</v>
      </c>
      <c r="P734" s="10">
        <v>6</v>
      </c>
      <c r="Q734" s="151">
        <v>5.2</v>
      </c>
      <c r="R734" s="10">
        <f>B734*P734</f>
        <v>0</v>
      </c>
      <c r="S734" s="10">
        <f>R734*Q734</f>
        <v>0</v>
      </c>
      <c r="T734" s="115" t="s">
        <v>326</v>
      </c>
      <c r="U734" s="115">
        <v>0.35</v>
      </c>
      <c r="V734" s="10">
        <f>VLOOKUP(D734,A!B$1:T$1125,17,FALSE)</f>
        <v>0</v>
      </c>
      <c r="W734" s="10">
        <f t="shared" si="116"/>
        <v>0</v>
      </c>
      <c r="AC734" s="30"/>
      <c r="AD734" s="30"/>
      <c r="AE734" s="115"/>
      <c r="AF734" s="115"/>
      <c r="AG734" s="115"/>
      <c r="AH734" s="115"/>
      <c r="AI734" s="115"/>
      <c r="AJ734" s="115"/>
      <c r="AK734" s="115"/>
      <c r="AL734" s="115"/>
      <c r="AM734" s="115"/>
      <c r="AN734" s="115"/>
      <c r="AO734" s="115"/>
      <c r="AP734" s="115"/>
      <c r="AQ734" s="115"/>
      <c r="AR734" s="115"/>
      <c r="AS734" s="115"/>
      <c r="AT734" s="115"/>
      <c r="AU734" s="115"/>
      <c r="AV734" s="115"/>
      <c r="AW734" s="115"/>
      <c r="AX734" s="115"/>
      <c r="AY734" s="115"/>
      <c r="AZ734" s="115"/>
      <c r="BA734" s="115"/>
      <c r="BB734" s="115"/>
      <c r="BC734" s="115"/>
      <c r="BD734" s="115"/>
      <c r="BE734" s="115"/>
      <c r="BF734" s="115"/>
      <c r="BG734" s="115"/>
      <c r="BH734" s="115"/>
      <c r="BI734" s="115"/>
      <c r="BJ734" s="115"/>
      <c r="BK734" s="115"/>
      <c r="BL734" s="115"/>
      <c r="BM734" s="115"/>
      <c r="BN734" s="115"/>
      <c r="BO734" s="115"/>
    </row>
    <row r="735" spans="1:67" s="19" customFormat="1" ht="12" hidden="1" customHeight="1" x14ac:dyDescent="0.25">
      <c r="A735" t="str">
        <f>IF(R735=0,"",COUNTIF(A$13:A734,"&gt;0")+1)</f>
        <v/>
      </c>
      <c r="B735" s="82">
        <f>SUM(B734)</f>
        <v>0</v>
      </c>
      <c r="C735" s="5" t="s">
        <v>44</v>
      </c>
      <c r="D735" s="24" t="s">
        <v>36</v>
      </c>
      <c r="E735" s="88"/>
      <c r="F735" s="96"/>
      <c r="G735" s="84"/>
      <c r="H735" s="84"/>
      <c r="I735" s="84"/>
      <c r="J735" s="84"/>
      <c r="K735" s="84"/>
      <c r="L735" s="84"/>
      <c r="M735" s="84"/>
      <c r="N735" s="100"/>
      <c r="O735" s="100"/>
      <c r="P735" s="10">
        <v>6</v>
      </c>
      <c r="Q735" s="151"/>
      <c r="R735" s="10">
        <f>B735*P735</f>
        <v>0</v>
      </c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  <c r="BN735" s="28"/>
      <c r="BO735" s="28"/>
    </row>
    <row r="736" spans="1:67" ht="15" customHeight="1" x14ac:dyDescent="0.25">
      <c r="A736" t="str">
        <f>IF(R736=0,"",COUNTIF(A$13:A735,"&gt;0")+1)</f>
        <v/>
      </c>
      <c r="N736" s="102"/>
      <c r="O736" s="102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  <c r="Z736" s="115"/>
      <c r="AA736" s="115"/>
      <c r="AB736" s="115"/>
      <c r="AC736" s="115"/>
      <c r="AD736" s="115"/>
      <c r="AE736" s="115"/>
      <c r="AF736" s="115"/>
      <c r="AG736" s="115"/>
      <c r="AH736" s="115"/>
      <c r="AI736" s="115"/>
      <c r="AJ736" s="115"/>
      <c r="AK736" s="115"/>
      <c r="AL736" s="115"/>
      <c r="AM736" s="115"/>
      <c r="AN736" s="115"/>
      <c r="AO736" s="115"/>
      <c r="AP736" s="115"/>
      <c r="AQ736" s="115"/>
      <c r="AR736" s="115"/>
      <c r="AS736" s="115"/>
      <c r="AT736" s="115"/>
      <c r="AU736" s="115"/>
      <c r="AV736" s="115"/>
      <c r="AW736" s="115"/>
      <c r="AX736" s="115"/>
      <c r="AY736" s="115"/>
      <c r="AZ736" s="115"/>
      <c r="BA736" s="115"/>
      <c r="BB736" s="115"/>
      <c r="BC736" s="115"/>
      <c r="BD736" s="115"/>
      <c r="BE736" s="115"/>
      <c r="BF736" s="115"/>
      <c r="BG736" s="115"/>
      <c r="BH736" s="115"/>
      <c r="BI736" s="115"/>
      <c r="BJ736" s="115"/>
      <c r="BK736" s="115"/>
      <c r="BL736" s="115"/>
      <c r="BM736" s="115"/>
      <c r="BN736" s="115"/>
      <c r="BO736" s="115"/>
    </row>
    <row r="737" spans="1:67" s="8" customFormat="1" ht="21" customHeight="1" x14ac:dyDescent="0.25">
      <c r="A737" t="str">
        <f>IF(R737=0,"",COUNTIF(A$13:A736,"&gt;0")+1)</f>
        <v/>
      </c>
      <c r="B737" s="234" t="s">
        <v>43</v>
      </c>
      <c r="C737" s="235"/>
      <c r="D737" s="235"/>
      <c r="E737" s="235"/>
      <c r="F737" s="235"/>
      <c r="G737" s="236"/>
      <c r="H737" s="123"/>
      <c r="I737" s="124"/>
      <c r="J737" s="137"/>
      <c r="K737" s="137"/>
      <c r="L737" s="137" t="s">
        <v>74</v>
      </c>
      <c r="M737" s="27">
        <v>5.2</v>
      </c>
      <c r="N737" s="93"/>
      <c r="O737" s="93"/>
      <c r="P737" s="30"/>
      <c r="Q737" s="30"/>
      <c r="R737" s="3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</row>
    <row r="738" spans="1:67" ht="12" customHeight="1" x14ac:dyDescent="0.25">
      <c r="A738" t="str">
        <f>IF(R738=0,"",COUNTIF(A$13:A737,"&gt;0")+1)</f>
        <v/>
      </c>
      <c r="B738" s="237" t="s">
        <v>18</v>
      </c>
      <c r="C738" s="238"/>
      <c r="D738" s="16" t="s">
        <v>19</v>
      </c>
      <c r="E738" s="86"/>
      <c r="F738" s="86"/>
      <c r="G738" s="17" t="s">
        <v>20</v>
      </c>
      <c r="H738" s="118"/>
      <c r="I738" s="117"/>
      <c r="J738" s="117"/>
      <c r="K738" s="122" t="s">
        <v>17</v>
      </c>
      <c r="L738" s="119">
        <v>5021353013764</v>
      </c>
      <c r="M738" s="120" t="s">
        <v>21</v>
      </c>
      <c r="S738" s="10"/>
      <c r="T738" s="115"/>
      <c r="U738" s="115"/>
      <c r="V738" s="115"/>
      <c r="W738" s="115"/>
      <c r="X738" s="115"/>
      <c r="Y738" s="115"/>
      <c r="Z738" s="115"/>
      <c r="AA738" s="115"/>
      <c r="AB738" s="115"/>
      <c r="AC738" s="115"/>
      <c r="AD738" s="115"/>
      <c r="AE738" s="115"/>
      <c r="AF738" s="115"/>
      <c r="AG738" s="115"/>
      <c r="AH738" s="115"/>
      <c r="AI738" s="115"/>
      <c r="AJ738" s="115"/>
      <c r="AK738" s="115"/>
      <c r="AL738" s="115"/>
      <c r="AM738" s="115"/>
      <c r="AN738" s="115"/>
      <c r="AO738" s="115"/>
      <c r="AP738" s="115"/>
      <c r="AQ738" s="115"/>
      <c r="AR738" s="115"/>
      <c r="AS738" s="115"/>
      <c r="AT738" s="115"/>
      <c r="AU738" s="115"/>
      <c r="AV738" s="115"/>
      <c r="AW738" s="115"/>
      <c r="AX738" s="115"/>
      <c r="AY738" s="115"/>
      <c r="AZ738" s="115"/>
      <c r="BA738" s="115"/>
      <c r="BB738" s="115"/>
      <c r="BC738" s="115"/>
      <c r="BD738" s="115"/>
      <c r="BE738" s="115"/>
      <c r="BF738" s="115"/>
      <c r="BG738" s="115"/>
      <c r="BH738" s="115"/>
      <c r="BI738" s="115"/>
      <c r="BJ738" s="115"/>
      <c r="BK738" s="115"/>
      <c r="BL738" s="115"/>
      <c r="BM738" s="115"/>
      <c r="BN738" s="115"/>
      <c r="BO738" s="115"/>
    </row>
    <row r="739" spans="1:67" ht="13.5" customHeight="1" x14ac:dyDescent="0.25">
      <c r="A739" t="str">
        <f>IF(R739=0,"",COUNTIF(A$13:A738,"&gt;0")+1)</f>
        <v/>
      </c>
      <c r="B739" s="4"/>
      <c r="C739" s="5" t="s">
        <v>44</v>
      </c>
      <c r="D739" s="7" t="s">
        <v>56</v>
      </c>
      <c r="E739" s="31"/>
      <c r="F739" s="31"/>
      <c r="G739" s="23" t="s">
        <v>62</v>
      </c>
      <c r="H739" s="7">
        <f>VLOOKUP(D739,A!B$1:L$1126,8,FALSE)</f>
        <v>1</v>
      </c>
      <c r="I739" s="31">
        <f>VLOOKUP(D739,A!B$1:L$1126,8,FALSE)</f>
        <v>1</v>
      </c>
      <c r="J739" s="92"/>
      <c r="K739" s="63" t="str">
        <f>VLOOKUP(D739,A!B$1:P$1126,11,FALSE)</f>
        <v/>
      </c>
      <c r="L739" s="31"/>
      <c r="M739" s="39" t="s">
        <v>60</v>
      </c>
      <c r="N739" s="94" t="str">
        <f>VLOOKUP(D739,A!B$1:L$1125,7,FALSE)</f>
        <v>y</v>
      </c>
      <c r="O739" s="94">
        <f>VLOOKUP(D739,A!B$1:P$1126,9,FALSE)</f>
        <v>0</v>
      </c>
      <c r="P739" s="10">
        <v>6</v>
      </c>
      <c r="Q739" s="151">
        <v>5.2</v>
      </c>
      <c r="R739" s="10">
        <f t="shared" ref="R739:R841" si="117">B739*P739</f>
        <v>0</v>
      </c>
      <c r="S739" s="10">
        <f t="shared" ref="S739" si="118">R739*Q739</f>
        <v>0</v>
      </c>
      <c r="T739" s="30" t="s">
        <v>327</v>
      </c>
      <c r="U739" s="115">
        <v>0.35</v>
      </c>
      <c r="V739" s="10">
        <f>VLOOKUP(D739,A!B$1:T$1125,17,FALSE)</f>
        <v>0</v>
      </c>
      <c r="W739" s="10">
        <f t="shared" ref="W739" si="119">U739*B739</f>
        <v>0</v>
      </c>
      <c r="AC739" s="30"/>
      <c r="AD739" s="30"/>
      <c r="AE739" s="115"/>
      <c r="AF739" s="115"/>
      <c r="AG739" s="115"/>
      <c r="AH739" s="115"/>
      <c r="AI739" s="115"/>
      <c r="AJ739" s="115"/>
      <c r="AK739" s="115"/>
      <c r="AL739" s="115"/>
      <c r="AM739" s="115"/>
      <c r="AN739" s="115"/>
      <c r="AO739" s="115"/>
      <c r="AP739" s="115"/>
      <c r="AQ739" s="115"/>
      <c r="AR739" s="115"/>
      <c r="AS739" s="115"/>
      <c r="AT739" s="115"/>
      <c r="AU739" s="115"/>
      <c r="AV739" s="115"/>
      <c r="AW739" s="115"/>
      <c r="AX739" s="115"/>
      <c r="AY739" s="115"/>
      <c r="AZ739" s="115"/>
      <c r="BA739" s="115"/>
      <c r="BB739" s="115"/>
      <c r="BC739" s="115"/>
      <c r="BD739" s="115"/>
      <c r="BE739" s="115"/>
      <c r="BF739" s="115"/>
      <c r="BG739" s="115"/>
      <c r="BH739" s="115"/>
      <c r="BI739" s="115"/>
      <c r="BJ739" s="115"/>
      <c r="BK739" s="115"/>
      <c r="BL739" s="115"/>
      <c r="BM739" s="115"/>
      <c r="BN739" s="115"/>
      <c r="BO739" s="115"/>
    </row>
    <row r="740" spans="1:67" s="3" customFormat="1" ht="13.5" hidden="1" customHeight="1" x14ac:dyDescent="0.25">
      <c r="A740" t="str">
        <f>IF(R740=0,"",COUNTIF(A$13:A739,"&gt;0")+1)</f>
        <v/>
      </c>
      <c r="B740" s="4"/>
      <c r="C740" s="5" t="s">
        <v>44</v>
      </c>
      <c r="D740" s="7" t="s">
        <v>450</v>
      </c>
      <c r="E740" s="31"/>
      <c r="F740" s="31"/>
      <c r="G740" s="6" t="s">
        <v>451</v>
      </c>
      <c r="H740" s="7">
        <f>VLOOKUP(D740,A!B$1:L$1126,8,FALSE)</f>
        <v>0</v>
      </c>
      <c r="I740" s="31">
        <f>VLOOKUP(D740,A!B$1:L$1126,8,FALSE)</f>
        <v>0</v>
      </c>
      <c r="J740" s="92"/>
      <c r="K740" s="63" t="str">
        <f>VLOOKUP(D740,A!B$1:P$1126,11,FALSE)</f>
        <v/>
      </c>
      <c r="L740" s="162"/>
      <c r="M740" s="39" t="s">
        <v>452</v>
      </c>
      <c r="N740" s="94">
        <f>VLOOKUP(D740,A!B$1:L$1125,7,FALSE)</f>
        <v>0</v>
      </c>
      <c r="O740" s="94">
        <f>VLOOKUP(D740,A!B$1:P$1126,9,FALSE)</f>
        <v>0</v>
      </c>
      <c r="P740" s="10">
        <v>6</v>
      </c>
      <c r="Q740" s="151">
        <v>5.2</v>
      </c>
      <c r="R740" s="10">
        <f t="shared" ref="R740:R773" si="120">B740*P740</f>
        <v>0</v>
      </c>
      <c r="S740" s="10">
        <f t="shared" ref="S740:S773" si="121">R740*Q740</f>
        <v>0</v>
      </c>
      <c r="T740" s="30" t="s">
        <v>327</v>
      </c>
      <c r="U740" s="115">
        <v>0.35</v>
      </c>
      <c r="V740" s="10">
        <f>VLOOKUP(D740,A!B$1:T$1125,17,FALSE)</f>
        <v>0</v>
      </c>
      <c r="W740" s="10">
        <f t="shared" ref="W740:W773" si="122">U740*B740</f>
        <v>0</v>
      </c>
      <c r="X740" s="29"/>
      <c r="Y740" s="29"/>
      <c r="Z740" s="29"/>
      <c r="AA740" s="29"/>
    </row>
    <row r="741" spans="1:67" s="3" customFormat="1" ht="13.5" hidden="1" customHeight="1" x14ac:dyDescent="0.25">
      <c r="A741" t="str">
        <f>IF(R741=0,"",COUNTIF(A$13:A740,"&gt;0")+1)</f>
        <v/>
      </c>
      <c r="B741" s="4"/>
      <c r="C741" s="5" t="s">
        <v>44</v>
      </c>
      <c r="D741" s="166" t="s">
        <v>453</v>
      </c>
      <c r="E741" s="167"/>
      <c r="F741" s="167"/>
      <c r="G741" s="20" t="s">
        <v>454</v>
      </c>
      <c r="H741" s="7">
        <f>VLOOKUP(D741,A!B$1:L$1126,8,FALSE)</f>
        <v>0</v>
      </c>
      <c r="I741" s="31">
        <f>VLOOKUP(D741,A!B$1:L$1126,8,FALSE)</f>
        <v>0</v>
      </c>
      <c r="J741" s="92"/>
      <c r="K741" s="63" t="str">
        <f>VLOOKUP(D741,A!B$1:P$1126,11,FALSE)</f>
        <v/>
      </c>
      <c r="L741" s="162"/>
      <c r="M741" s="39" t="s">
        <v>455</v>
      </c>
      <c r="N741" s="94">
        <f>VLOOKUP(D741,A!B$1:L$1125,7,FALSE)</f>
        <v>0</v>
      </c>
      <c r="O741" s="94">
        <f>VLOOKUP(D741,A!B$1:P$1126,9,FALSE)</f>
        <v>0</v>
      </c>
      <c r="P741" s="10">
        <v>6</v>
      </c>
      <c r="Q741" s="151">
        <v>5.2</v>
      </c>
      <c r="R741" s="10">
        <f t="shared" si="120"/>
        <v>0</v>
      </c>
      <c r="S741" s="10">
        <f t="shared" si="121"/>
        <v>0</v>
      </c>
      <c r="T741" s="30" t="s">
        <v>327</v>
      </c>
      <c r="U741" s="115">
        <v>0.35</v>
      </c>
      <c r="V741" s="10">
        <f>VLOOKUP(D741,A!B$1:T$1125,17,FALSE)</f>
        <v>0</v>
      </c>
      <c r="W741" s="10">
        <f t="shared" si="122"/>
        <v>0</v>
      </c>
      <c r="X741" s="29"/>
      <c r="Y741" s="29"/>
      <c r="Z741" s="29"/>
      <c r="AA741" s="29"/>
    </row>
    <row r="742" spans="1:67" s="3" customFormat="1" ht="13.5" hidden="1" customHeight="1" x14ac:dyDescent="0.25">
      <c r="A742" t="str">
        <f>IF(R742=0,"",COUNTIF(A$13:A741,"&gt;0")+1)</f>
        <v/>
      </c>
      <c r="B742" s="4"/>
      <c r="C742" s="5" t="s">
        <v>44</v>
      </c>
      <c r="D742" s="7" t="s">
        <v>204</v>
      </c>
      <c r="E742" s="31"/>
      <c r="F742" s="31"/>
      <c r="G742" s="6" t="s">
        <v>205</v>
      </c>
      <c r="H742" s="7">
        <f>VLOOKUP(D742,A!B$1:L$1126,8,FALSE)</f>
        <v>0</v>
      </c>
      <c r="I742" s="31">
        <f>VLOOKUP(D742,A!B$1:L$1126,8,FALSE)</f>
        <v>0</v>
      </c>
      <c r="J742" s="92"/>
      <c r="K742" s="63" t="str">
        <f>VLOOKUP(D742,A!B$1:P$1126,11,FALSE)</f>
        <v/>
      </c>
      <c r="L742" s="162"/>
      <c r="M742" s="41" t="s">
        <v>206</v>
      </c>
      <c r="N742" s="94">
        <f>VLOOKUP(D742,A!B$1:L$1125,7,FALSE)</f>
        <v>0</v>
      </c>
      <c r="O742" s="94">
        <f>VLOOKUP(D742,A!B$1:P$1126,9,FALSE)</f>
        <v>0</v>
      </c>
      <c r="P742" s="10">
        <v>6</v>
      </c>
      <c r="Q742" s="151">
        <v>5.2</v>
      </c>
      <c r="R742" s="10">
        <f t="shared" si="120"/>
        <v>0</v>
      </c>
      <c r="S742" s="10">
        <f t="shared" si="121"/>
        <v>0</v>
      </c>
      <c r="T742" s="30" t="s">
        <v>327</v>
      </c>
      <c r="U742" s="115">
        <v>0.35</v>
      </c>
      <c r="V742" s="10">
        <f>VLOOKUP(D742,A!B$1:T$1125,17,FALSE)</f>
        <v>0</v>
      </c>
      <c r="W742" s="10">
        <f t="shared" si="122"/>
        <v>0</v>
      </c>
      <c r="X742" s="29"/>
      <c r="Y742" s="29"/>
      <c r="Z742" s="29"/>
      <c r="AA742" s="29"/>
    </row>
    <row r="743" spans="1:67" s="3" customFormat="1" ht="13.5" hidden="1" customHeight="1" x14ac:dyDescent="0.25">
      <c r="A743" t="str">
        <f>IF(R743=0,"",COUNTIF(A$13:A742,"&gt;0")+1)</f>
        <v/>
      </c>
      <c r="B743" s="4"/>
      <c r="C743" s="5" t="s">
        <v>44</v>
      </c>
      <c r="D743" s="7" t="s">
        <v>456</v>
      </c>
      <c r="E743" s="31"/>
      <c r="F743" s="31"/>
      <c r="G743" s="6" t="s">
        <v>457</v>
      </c>
      <c r="H743" s="7">
        <f>VLOOKUP(D743,A!B$1:L$1126,8,FALSE)</f>
        <v>0</v>
      </c>
      <c r="I743" s="31">
        <f>VLOOKUP(D743,A!B$1:L$1126,8,FALSE)</f>
        <v>0</v>
      </c>
      <c r="J743" s="92"/>
      <c r="K743" s="63" t="str">
        <f>VLOOKUP(D743,A!B$1:P$1126,11,FALSE)</f>
        <v/>
      </c>
      <c r="L743" s="162"/>
      <c r="M743" s="43" t="s">
        <v>458</v>
      </c>
      <c r="N743" s="94">
        <f>VLOOKUP(D743,A!B$1:L$1125,7,FALSE)</f>
        <v>0</v>
      </c>
      <c r="O743" s="94">
        <f>VLOOKUP(D743,A!B$1:P$1126,9,FALSE)</f>
        <v>0</v>
      </c>
      <c r="P743" s="10">
        <v>6</v>
      </c>
      <c r="Q743" s="151">
        <v>5.2</v>
      </c>
      <c r="R743" s="10">
        <f t="shared" si="120"/>
        <v>0</v>
      </c>
      <c r="S743" s="10">
        <f t="shared" si="121"/>
        <v>0</v>
      </c>
      <c r="T743" s="30" t="s">
        <v>327</v>
      </c>
      <c r="U743" s="115">
        <v>0.35</v>
      </c>
      <c r="V743" s="10">
        <f>VLOOKUP(D743,A!B$1:T$1125,17,FALSE)</f>
        <v>0</v>
      </c>
      <c r="W743" s="10">
        <f t="shared" si="122"/>
        <v>0</v>
      </c>
      <c r="X743" s="29"/>
      <c r="Y743" s="29"/>
      <c r="Z743" s="29"/>
      <c r="AA743" s="29"/>
    </row>
    <row r="744" spans="1:67" s="3" customFormat="1" ht="13.5" hidden="1" customHeight="1" x14ac:dyDescent="0.25">
      <c r="A744" t="str">
        <f>IF(R744=0,"",COUNTIF(A$13:A743,"&gt;0")+1)</f>
        <v/>
      </c>
      <c r="B744" s="4"/>
      <c r="C744" s="5" t="s">
        <v>44</v>
      </c>
      <c r="D744" s="7" t="s">
        <v>459</v>
      </c>
      <c r="E744" s="31"/>
      <c r="F744" s="31"/>
      <c r="G744" s="6" t="s">
        <v>460</v>
      </c>
      <c r="H744" s="7">
        <f>VLOOKUP(D744,A!B$1:L$1126,8,FALSE)</f>
        <v>0</v>
      </c>
      <c r="I744" s="31">
        <f>VLOOKUP(D744,A!B$1:L$1126,8,FALSE)</f>
        <v>0</v>
      </c>
      <c r="J744" s="92"/>
      <c r="K744" s="63" t="str">
        <f>VLOOKUP(D744,A!B$1:P$1126,11,FALSE)</f>
        <v/>
      </c>
      <c r="L744" s="162"/>
      <c r="M744" s="41" t="s">
        <v>461</v>
      </c>
      <c r="N744" s="94">
        <f>VLOOKUP(D744,A!B$1:L$1125,7,FALSE)</f>
        <v>0</v>
      </c>
      <c r="O744" s="94">
        <f>VLOOKUP(D744,A!B$1:P$1126,9,FALSE)</f>
        <v>0</v>
      </c>
      <c r="P744" s="10">
        <v>6</v>
      </c>
      <c r="Q744" s="151">
        <v>5.2</v>
      </c>
      <c r="R744" s="10">
        <f t="shared" si="120"/>
        <v>0</v>
      </c>
      <c r="S744" s="10">
        <f t="shared" si="121"/>
        <v>0</v>
      </c>
      <c r="T744" s="30" t="s">
        <v>327</v>
      </c>
      <c r="U744" s="115">
        <v>0.35</v>
      </c>
      <c r="V744" s="10">
        <f>VLOOKUP(D744,A!B$1:T$1125,17,FALSE)</f>
        <v>0</v>
      </c>
      <c r="W744" s="10">
        <f t="shared" si="122"/>
        <v>0</v>
      </c>
      <c r="X744" s="29"/>
      <c r="Y744" s="29"/>
      <c r="Z744" s="29"/>
      <c r="AA744" s="29"/>
    </row>
    <row r="745" spans="1:67" s="3" customFormat="1" ht="13.5" hidden="1" customHeight="1" x14ac:dyDescent="0.25">
      <c r="A745" t="str">
        <f>IF(R745=0,"",COUNTIF(A$13:A744,"&gt;0")+1)</f>
        <v/>
      </c>
      <c r="B745" s="4"/>
      <c r="C745" s="5" t="s">
        <v>44</v>
      </c>
      <c r="D745" s="7" t="s">
        <v>462</v>
      </c>
      <c r="E745" s="31"/>
      <c r="F745" s="31"/>
      <c r="G745" s="6" t="s">
        <v>463</v>
      </c>
      <c r="H745" s="7">
        <f>VLOOKUP(D745,A!B$1:L$1126,8,FALSE)</f>
        <v>0</v>
      </c>
      <c r="I745" s="31">
        <f>VLOOKUP(D745,A!B$1:L$1126,8,FALSE)</f>
        <v>0</v>
      </c>
      <c r="J745" s="92"/>
      <c r="K745" s="63" t="str">
        <f>VLOOKUP(D745,A!B$1:P$1126,11,FALSE)</f>
        <v/>
      </c>
      <c r="L745" s="162"/>
      <c r="M745" s="41" t="s">
        <v>464</v>
      </c>
      <c r="N745" s="94">
        <f>VLOOKUP(D745,A!B$1:L$1125,7,FALSE)</f>
        <v>0</v>
      </c>
      <c r="O745" s="94">
        <f>VLOOKUP(D745,A!B$1:P$1126,9,FALSE)</f>
        <v>0</v>
      </c>
      <c r="P745" s="10">
        <v>6</v>
      </c>
      <c r="Q745" s="151">
        <v>5.2</v>
      </c>
      <c r="R745" s="10">
        <f t="shared" si="120"/>
        <v>0</v>
      </c>
      <c r="S745" s="10">
        <f t="shared" si="121"/>
        <v>0</v>
      </c>
      <c r="T745" s="30" t="s">
        <v>327</v>
      </c>
      <c r="U745" s="115">
        <v>0.35</v>
      </c>
      <c r="V745" s="10">
        <f>VLOOKUP(D745,A!B$1:T$1125,17,FALSE)</f>
        <v>0</v>
      </c>
      <c r="W745" s="10">
        <f t="shared" si="122"/>
        <v>0</v>
      </c>
      <c r="X745" s="29"/>
      <c r="Y745" s="29"/>
      <c r="Z745" s="29"/>
      <c r="AA745" s="29"/>
    </row>
    <row r="746" spans="1:67" s="3" customFormat="1" ht="13.5" hidden="1" customHeight="1" x14ac:dyDescent="0.25">
      <c r="A746" t="str">
        <f>IF(R746=0,"",COUNTIF(A$13:A745,"&gt;0")+1)</f>
        <v/>
      </c>
      <c r="B746" s="4"/>
      <c r="C746" s="5" t="s">
        <v>44</v>
      </c>
      <c r="D746" s="7" t="s">
        <v>465</v>
      </c>
      <c r="E746" s="31"/>
      <c r="F746" s="31"/>
      <c r="G746" s="6" t="s">
        <v>466</v>
      </c>
      <c r="H746" s="7">
        <f>VLOOKUP(D746,A!B$1:L$1126,8,FALSE)</f>
        <v>0</v>
      </c>
      <c r="I746" s="31">
        <f>VLOOKUP(D746,A!B$1:L$1126,8,FALSE)</f>
        <v>0</v>
      </c>
      <c r="J746" s="92"/>
      <c r="K746" s="63" t="str">
        <f>VLOOKUP(D746,A!B$1:P$1126,11,FALSE)</f>
        <v/>
      </c>
      <c r="L746" s="162"/>
      <c r="M746" s="43" t="s">
        <v>467</v>
      </c>
      <c r="N746" s="94">
        <f>VLOOKUP(D746,A!B$1:L$1125,7,FALSE)</f>
        <v>0</v>
      </c>
      <c r="O746" s="94">
        <f>VLOOKUP(D746,A!B$1:P$1126,9,FALSE)</f>
        <v>0</v>
      </c>
      <c r="P746" s="10">
        <v>6</v>
      </c>
      <c r="Q746" s="151">
        <v>5.2</v>
      </c>
      <c r="R746" s="10">
        <f t="shared" si="120"/>
        <v>0</v>
      </c>
      <c r="S746" s="10">
        <f t="shared" si="121"/>
        <v>0</v>
      </c>
      <c r="T746" s="30" t="s">
        <v>327</v>
      </c>
      <c r="U746" s="115">
        <v>0.35</v>
      </c>
      <c r="V746" s="10">
        <f>VLOOKUP(D746,A!B$1:T$1125,17,FALSE)</f>
        <v>0</v>
      </c>
      <c r="W746" s="10">
        <f t="shared" si="122"/>
        <v>0</v>
      </c>
      <c r="X746" s="29"/>
      <c r="Y746" s="29"/>
      <c r="Z746" s="29"/>
      <c r="AA746" s="29"/>
    </row>
    <row r="747" spans="1:67" s="3" customFormat="1" ht="13.5" hidden="1" customHeight="1" x14ac:dyDescent="0.25">
      <c r="A747" t="str">
        <f>IF(R747=0,"",COUNTIF(A$13:A746,"&gt;0")+1)</f>
        <v/>
      </c>
      <c r="B747" s="4"/>
      <c r="C747" s="5" t="s">
        <v>44</v>
      </c>
      <c r="D747" s="7" t="s">
        <v>468</v>
      </c>
      <c r="E747" s="31"/>
      <c r="F747" s="31"/>
      <c r="G747" s="6" t="s">
        <v>469</v>
      </c>
      <c r="H747" s="7">
        <f>VLOOKUP(D747,A!B$1:L$1126,8,FALSE)</f>
        <v>0</v>
      </c>
      <c r="I747" s="31">
        <f>VLOOKUP(D747,A!B$1:L$1126,8,FALSE)</f>
        <v>0</v>
      </c>
      <c r="J747" s="92"/>
      <c r="K747" s="63" t="str">
        <f>VLOOKUP(D747,A!B$1:P$1126,11,FALSE)</f>
        <v/>
      </c>
      <c r="L747" s="162"/>
      <c r="M747" s="41" t="s">
        <v>470</v>
      </c>
      <c r="N747" s="94">
        <f>VLOOKUP(D747,A!B$1:L$1125,7,FALSE)</f>
        <v>0</v>
      </c>
      <c r="O747" s="94">
        <f>VLOOKUP(D747,A!B$1:P$1126,9,FALSE)</f>
        <v>0</v>
      </c>
      <c r="P747" s="10">
        <v>6</v>
      </c>
      <c r="Q747" s="151">
        <v>5.2</v>
      </c>
      <c r="R747" s="10">
        <f t="shared" si="120"/>
        <v>0</v>
      </c>
      <c r="S747" s="10">
        <f t="shared" si="121"/>
        <v>0</v>
      </c>
      <c r="T747" s="30" t="s">
        <v>327</v>
      </c>
      <c r="U747" s="115">
        <v>0.35</v>
      </c>
      <c r="V747" s="10">
        <f>VLOOKUP(D747,A!B$1:T$1125,17,FALSE)</f>
        <v>0</v>
      </c>
      <c r="W747" s="10">
        <f t="shared" si="122"/>
        <v>0</v>
      </c>
      <c r="X747" s="29"/>
      <c r="Y747" s="29"/>
      <c r="Z747" s="29"/>
      <c r="AA747" s="29"/>
    </row>
    <row r="748" spans="1:67" s="3" customFormat="1" ht="13.5" hidden="1" customHeight="1" x14ac:dyDescent="0.25">
      <c r="A748" t="str">
        <f>IF(R748=0,"",COUNTIF(A$13:A747,"&gt;0")+1)</f>
        <v/>
      </c>
      <c r="B748" s="4"/>
      <c r="C748" s="5" t="s">
        <v>44</v>
      </c>
      <c r="D748" s="7" t="s">
        <v>471</v>
      </c>
      <c r="E748" s="31"/>
      <c r="F748" s="31"/>
      <c r="G748" s="6" t="s">
        <v>472</v>
      </c>
      <c r="H748" s="7">
        <f>VLOOKUP(D748,A!B$1:L$1126,8,FALSE)</f>
        <v>0</v>
      </c>
      <c r="I748" s="31">
        <f>VLOOKUP(D748,A!B$1:L$1126,8,FALSE)</f>
        <v>0</v>
      </c>
      <c r="J748" s="92"/>
      <c r="K748" s="63" t="str">
        <f>VLOOKUP(D748,A!B$1:P$1126,11,FALSE)</f>
        <v/>
      </c>
      <c r="L748" s="162"/>
      <c r="M748" s="41" t="s">
        <v>473</v>
      </c>
      <c r="N748" s="94">
        <f>VLOOKUP(D748,A!B$1:L$1125,7,FALSE)</f>
        <v>0</v>
      </c>
      <c r="O748" s="94">
        <f>VLOOKUP(D748,A!B$1:P$1126,9,FALSE)</f>
        <v>0</v>
      </c>
      <c r="P748" s="10">
        <v>6</v>
      </c>
      <c r="Q748" s="151">
        <v>5.2</v>
      </c>
      <c r="R748" s="10">
        <f t="shared" si="120"/>
        <v>0</v>
      </c>
      <c r="S748" s="10">
        <f t="shared" si="121"/>
        <v>0</v>
      </c>
      <c r="T748" s="30" t="s">
        <v>327</v>
      </c>
      <c r="U748" s="115">
        <v>0.35</v>
      </c>
      <c r="V748" s="10">
        <f>VLOOKUP(D748,A!B$1:T$1125,17,FALSE)</f>
        <v>0</v>
      </c>
      <c r="W748" s="10">
        <f t="shared" si="122"/>
        <v>0</v>
      </c>
      <c r="X748" s="29"/>
      <c r="Y748" s="29"/>
      <c r="Z748" s="29"/>
      <c r="AA748" s="29"/>
    </row>
    <row r="749" spans="1:67" s="3" customFormat="1" ht="13.5" hidden="1" customHeight="1" x14ac:dyDescent="0.25">
      <c r="A749" t="str">
        <f>IF(R749=0,"",COUNTIF(A$13:A748,"&gt;0")+1)</f>
        <v/>
      </c>
      <c r="B749" s="4"/>
      <c r="C749" s="5" t="s">
        <v>44</v>
      </c>
      <c r="D749" s="168" t="s">
        <v>474</v>
      </c>
      <c r="E749" s="169"/>
      <c r="F749" s="169"/>
      <c r="G749" s="6" t="s">
        <v>475</v>
      </c>
      <c r="H749" s="7">
        <f>VLOOKUP(D749,A!B$1:L$1126,8,FALSE)</f>
        <v>0</v>
      </c>
      <c r="I749" s="31">
        <f>VLOOKUP(D749,A!B$1:L$1126,8,FALSE)</f>
        <v>0</v>
      </c>
      <c r="J749" s="92"/>
      <c r="K749" s="63" t="str">
        <f>VLOOKUP(D749,A!B$1:P$1126,11,FALSE)</f>
        <v/>
      </c>
      <c r="L749" s="162"/>
      <c r="M749" s="41" t="s">
        <v>476</v>
      </c>
      <c r="N749" s="94">
        <f>VLOOKUP(D749,A!B$1:L$1125,7,FALSE)</f>
        <v>0</v>
      </c>
      <c r="O749" s="94">
        <f>VLOOKUP(D749,A!B$1:P$1126,9,FALSE)</f>
        <v>0</v>
      </c>
      <c r="P749" s="10">
        <v>6</v>
      </c>
      <c r="Q749" s="151">
        <v>5.2</v>
      </c>
      <c r="R749" s="10">
        <f t="shared" si="120"/>
        <v>0</v>
      </c>
      <c r="S749" s="10">
        <f t="shared" si="121"/>
        <v>0</v>
      </c>
      <c r="T749" s="30" t="s">
        <v>327</v>
      </c>
      <c r="U749" s="115">
        <v>0.35</v>
      </c>
      <c r="V749" s="10">
        <f>VLOOKUP(D749,A!B$1:T$1125,17,FALSE)</f>
        <v>0</v>
      </c>
      <c r="W749" s="10">
        <f t="shared" si="122"/>
        <v>0</v>
      </c>
      <c r="X749" s="29"/>
      <c r="Y749" s="29"/>
      <c r="Z749" s="29"/>
      <c r="AA749" s="29"/>
    </row>
    <row r="750" spans="1:67" s="3" customFormat="1" ht="13.5" customHeight="1" x14ac:dyDescent="0.25">
      <c r="A750" t="str">
        <f>IF(R750=0,"",COUNTIF(A$13:A749,"&gt;0")+1)</f>
        <v/>
      </c>
      <c r="B750" s="4"/>
      <c r="C750" s="5" t="s">
        <v>44</v>
      </c>
      <c r="D750" s="7" t="s">
        <v>66</v>
      </c>
      <c r="E750" s="31"/>
      <c r="F750" s="31"/>
      <c r="G750" s="6" t="s">
        <v>67</v>
      </c>
      <c r="H750" s="7">
        <f>VLOOKUP(D750,A!B$1:L$1126,8,FALSE)</f>
        <v>1</v>
      </c>
      <c r="I750" s="31">
        <f>VLOOKUP(D750,A!B$1:L$1126,8,FALSE)</f>
        <v>1</v>
      </c>
      <c r="J750" s="92"/>
      <c r="K750" s="63" t="str">
        <f>VLOOKUP(D750,A!B$1:P$1126,11,FALSE)</f>
        <v/>
      </c>
      <c r="L750" s="2"/>
      <c r="M750" s="41" t="s">
        <v>68</v>
      </c>
      <c r="N750" s="94" t="str">
        <f>VLOOKUP(D750,A!B$1:L$1125,7,FALSE)</f>
        <v>y</v>
      </c>
      <c r="O750" s="94">
        <f>VLOOKUP(D750,A!B$1:P$1126,9,FALSE)</f>
        <v>0</v>
      </c>
      <c r="P750" s="10">
        <v>6</v>
      </c>
      <c r="Q750" s="151">
        <v>5.2</v>
      </c>
      <c r="R750" s="10">
        <f t="shared" si="120"/>
        <v>0</v>
      </c>
      <c r="S750" s="10">
        <f t="shared" si="121"/>
        <v>0</v>
      </c>
      <c r="T750" s="30" t="s">
        <v>327</v>
      </c>
      <c r="U750" s="115">
        <v>0.35</v>
      </c>
      <c r="V750" s="10">
        <f>VLOOKUP(D750,A!B$1:T$1125,17,FALSE)</f>
        <v>0</v>
      </c>
      <c r="W750" s="10">
        <f t="shared" si="122"/>
        <v>0</v>
      </c>
      <c r="X750" s="30"/>
      <c r="Y750" s="29"/>
      <c r="Z750" s="29"/>
      <c r="AA750" s="29"/>
    </row>
    <row r="751" spans="1:67" s="3" customFormat="1" ht="13.5" hidden="1" customHeight="1" x14ac:dyDescent="0.25">
      <c r="A751" t="str">
        <f>IF(R751=0,"",COUNTIF(A$13:A750,"&gt;0")+1)</f>
        <v/>
      </c>
      <c r="B751" s="4"/>
      <c r="C751" s="5" t="s">
        <v>44</v>
      </c>
      <c r="D751" s="7" t="s">
        <v>477</v>
      </c>
      <c r="E751" s="31"/>
      <c r="F751" s="31"/>
      <c r="G751" s="6" t="s">
        <v>469</v>
      </c>
      <c r="H751" s="7">
        <f>VLOOKUP(D751,A!B$1:L$1126,8,FALSE)</f>
        <v>0</v>
      </c>
      <c r="I751" s="31">
        <f>VLOOKUP(D751,A!B$1:L$1126,8,FALSE)</f>
        <v>0</v>
      </c>
      <c r="J751" s="92"/>
      <c r="K751" s="63" t="str">
        <f>VLOOKUP(D751,A!B$1:P$1126,11,FALSE)</f>
        <v/>
      </c>
      <c r="L751" s="162"/>
      <c r="M751" s="42" t="s">
        <v>478</v>
      </c>
      <c r="N751" s="94">
        <f>VLOOKUP(D751,A!B$1:L$1125,7,FALSE)</f>
        <v>0</v>
      </c>
      <c r="O751" s="94">
        <f>VLOOKUP(D751,A!B$1:P$1126,9,FALSE)</f>
        <v>0</v>
      </c>
      <c r="P751" s="10">
        <v>6</v>
      </c>
      <c r="Q751" s="151">
        <v>5.2</v>
      </c>
      <c r="R751" s="10">
        <f t="shared" si="120"/>
        <v>0</v>
      </c>
      <c r="S751" s="10">
        <f t="shared" si="121"/>
        <v>0</v>
      </c>
      <c r="T751" s="30" t="s">
        <v>327</v>
      </c>
      <c r="U751" s="115">
        <v>0.35</v>
      </c>
      <c r="V751" s="10">
        <f>VLOOKUP(D751,A!B$1:T$1125,17,FALSE)</f>
        <v>0</v>
      </c>
      <c r="W751" s="10">
        <f t="shared" si="122"/>
        <v>0</v>
      </c>
      <c r="X751" s="29"/>
      <c r="Y751" s="29"/>
      <c r="Z751" s="29"/>
      <c r="AA751" s="29"/>
    </row>
    <row r="752" spans="1:67" s="3" customFormat="1" ht="13.5" hidden="1" customHeight="1" x14ac:dyDescent="0.25">
      <c r="A752" t="str">
        <f>IF(R752=0,"",COUNTIF(A$13:A751,"&gt;0")+1)</f>
        <v/>
      </c>
      <c r="B752" s="4"/>
      <c r="C752" s="5" t="s">
        <v>44</v>
      </c>
      <c r="D752" s="7" t="s">
        <v>479</v>
      </c>
      <c r="E752" s="31"/>
      <c r="F752" s="31"/>
      <c r="G752" s="6" t="s">
        <v>480</v>
      </c>
      <c r="H752" s="7">
        <f>VLOOKUP(D752,A!B$1:L$1126,8,FALSE)</f>
        <v>0</v>
      </c>
      <c r="I752" s="31">
        <f>VLOOKUP(D752,A!B$1:L$1126,8,FALSE)</f>
        <v>0</v>
      </c>
      <c r="J752" s="92"/>
      <c r="K752" s="63" t="str">
        <f>VLOOKUP(D752,A!B$1:P$1126,11,FALSE)</f>
        <v/>
      </c>
      <c r="L752" s="162"/>
      <c r="M752" s="41" t="s">
        <v>481</v>
      </c>
      <c r="N752" s="94">
        <f>VLOOKUP(D752,A!B$1:L$1125,7,FALSE)</f>
        <v>0</v>
      </c>
      <c r="O752" s="94">
        <f>VLOOKUP(D752,A!B$1:P$1126,9,FALSE)</f>
        <v>0</v>
      </c>
      <c r="P752" s="10">
        <v>6</v>
      </c>
      <c r="Q752" s="151">
        <v>5.2</v>
      </c>
      <c r="R752" s="10">
        <f t="shared" si="120"/>
        <v>0</v>
      </c>
      <c r="S752" s="10">
        <f t="shared" si="121"/>
        <v>0</v>
      </c>
      <c r="T752" s="30" t="s">
        <v>327</v>
      </c>
      <c r="U752" s="115">
        <v>0.35</v>
      </c>
      <c r="V752" s="10">
        <f>VLOOKUP(D752,A!B$1:T$1125,17,FALSE)</f>
        <v>0</v>
      </c>
      <c r="W752" s="10">
        <f t="shared" si="122"/>
        <v>0</v>
      </c>
      <c r="X752" s="29"/>
      <c r="Y752" s="29"/>
      <c r="Z752" s="29"/>
      <c r="AA752" s="29"/>
    </row>
    <row r="753" spans="1:252" s="3" customFormat="1" ht="13.5" hidden="1" customHeight="1" x14ac:dyDescent="0.25">
      <c r="A753" t="str">
        <f>IF(R753=0,"",COUNTIF(A$13:A752,"&gt;0")+1)</f>
        <v/>
      </c>
      <c r="B753" s="4"/>
      <c r="C753" s="5" t="s">
        <v>44</v>
      </c>
      <c r="D753" s="7" t="s">
        <v>482</v>
      </c>
      <c r="E753" s="31"/>
      <c r="F753" s="31"/>
      <c r="G753" s="6" t="s">
        <v>483</v>
      </c>
      <c r="H753" s="7">
        <f>VLOOKUP(D753,A!B$1:L$1126,8,FALSE)</f>
        <v>0</v>
      </c>
      <c r="I753" s="31">
        <f>VLOOKUP(D753,A!B$1:L$1126,8,FALSE)</f>
        <v>0</v>
      </c>
      <c r="J753" s="92"/>
      <c r="K753" s="63" t="str">
        <f>VLOOKUP(D753,A!B$1:P$1126,11,FALSE)</f>
        <v/>
      </c>
      <c r="L753" s="162"/>
      <c r="M753" s="41" t="s">
        <v>484</v>
      </c>
      <c r="N753" s="94">
        <f>VLOOKUP(D753,A!B$1:L$1125,7,FALSE)</f>
        <v>0</v>
      </c>
      <c r="O753" s="94">
        <f>VLOOKUP(D753,A!B$1:P$1126,9,FALSE)</f>
        <v>0</v>
      </c>
      <c r="P753" s="10">
        <v>6</v>
      </c>
      <c r="Q753" s="151">
        <v>5.2</v>
      </c>
      <c r="R753" s="10">
        <f t="shared" si="120"/>
        <v>0</v>
      </c>
      <c r="S753" s="10">
        <f t="shared" si="121"/>
        <v>0</v>
      </c>
      <c r="T753" s="30" t="s">
        <v>327</v>
      </c>
      <c r="U753" s="115">
        <v>0.35</v>
      </c>
      <c r="V753" s="10">
        <f>VLOOKUP(D753,A!B$1:T$1125,17,FALSE)</f>
        <v>0</v>
      </c>
      <c r="W753" s="10">
        <f t="shared" si="122"/>
        <v>0</v>
      </c>
      <c r="X753" s="29"/>
      <c r="Y753" s="29"/>
      <c r="Z753" s="29"/>
      <c r="AA753" s="29"/>
    </row>
    <row r="754" spans="1:252" s="3" customFormat="1" ht="13.5" hidden="1" customHeight="1" x14ac:dyDescent="0.25">
      <c r="A754" t="str">
        <f>IF(R754=0,"",COUNTIF(A$13:A753,"&gt;0")+1)</f>
        <v/>
      </c>
      <c r="B754" s="4"/>
      <c r="C754" s="5" t="s">
        <v>44</v>
      </c>
      <c r="D754" s="7" t="s">
        <v>485</v>
      </c>
      <c r="E754" s="31"/>
      <c r="F754" s="31"/>
      <c r="G754" s="6" t="s">
        <v>486</v>
      </c>
      <c r="H754" s="7">
        <f>VLOOKUP(D754,A!B$1:L$1126,8,FALSE)</f>
        <v>0</v>
      </c>
      <c r="I754" s="31">
        <f>VLOOKUP(D754,A!B$1:L$1126,8,FALSE)</f>
        <v>0</v>
      </c>
      <c r="J754" s="92"/>
      <c r="K754" s="63" t="str">
        <f>VLOOKUP(D754,A!B$1:P$1126,11,FALSE)</f>
        <v/>
      </c>
      <c r="L754" s="162"/>
      <c r="M754" s="41" t="s">
        <v>487</v>
      </c>
      <c r="N754" s="94">
        <f>VLOOKUP(D754,A!B$1:L$1125,7,FALSE)</f>
        <v>0</v>
      </c>
      <c r="O754" s="94">
        <f>VLOOKUP(D754,A!B$1:P$1126,9,FALSE)</f>
        <v>0</v>
      </c>
      <c r="P754" s="10">
        <v>6</v>
      </c>
      <c r="Q754" s="151">
        <v>5.2</v>
      </c>
      <c r="R754" s="10">
        <f t="shared" si="120"/>
        <v>0</v>
      </c>
      <c r="S754" s="10">
        <f t="shared" si="121"/>
        <v>0</v>
      </c>
      <c r="T754" s="30" t="s">
        <v>327</v>
      </c>
      <c r="U754" s="115">
        <v>0.35</v>
      </c>
      <c r="V754" s="10">
        <f>VLOOKUP(D754,A!B$1:T$1125,17,FALSE)</f>
        <v>0</v>
      </c>
      <c r="W754" s="10">
        <f t="shared" si="122"/>
        <v>0</v>
      </c>
      <c r="X754" s="29"/>
      <c r="Y754" s="29"/>
      <c r="Z754" s="29"/>
      <c r="AA754" s="29"/>
    </row>
    <row r="755" spans="1:252" s="3" customFormat="1" ht="13.5" hidden="1" customHeight="1" x14ac:dyDescent="0.25">
      <c r="A755" t="str">
        <f>IF(R755=0,"",COUNTIF(A$13:A754,"&gt;0")+1)</f>
        <v/>
      </c>
      <c r="B755" s="4"/>
      <c r="C755" s="5" t="s">
        <v>44</v>
      </c>
      <c r="D755" s="7" t="s">
        <v>488</v>
      </c>
      <c r="E755" s="31"/>
      <c r="F755" s="31"/>
      <c r="G755" s="6" t="s">
        <v>489</v>
      </c>
      <c r="H755" s="7">
        <f>VLOOKUP(D755,A!B$1:L$1126,8,FALSE)</f>
        <v>0</v>
      </c>
      <c r="I755" s="31">
        <f>VLOOKUP(D755,A!B$1:L$1126,8,FALSE)</f>
        <v>0</v>
      </c>
      <c r="J755" s="92"/>
      <c r="K755" s="63" t="str">
        <f>VLOOKUP(D755,A!B$1:P$1126,11,FALSE)</f>
        <v/>
      </c>
      <c r="L755" s="162"/>
      <c r="M755" s="41" t="s">
        <v>490</v>
      </c>
      <c r="N755" s="94">
        <f>VLOOKUP(D755,A!B$1:L$1125,7,FALSE)</f>
        <v>0</v>
      </c>
      <c r="O755" s="94">
        <f>VLOOKUP(D755,A!B$1:P$1126,9,FALSE)</f>
        <v>0</v>
      </c>
      <c r="P755" s="10">
        <v>6</v>
      </c>
      <c r="Q755" s="151">
        <v>5.2</v>
      </c>
      <c r="R755" s="10">
        <f t="shared" si="120"/>
        <v>0</v>
      </c>
      <c r="S755" s="10">
        <f t="shared" si="121"/>
        <v>0</v>
      </c>
      <c r="T755" s="30" t="s">
        <v>327</v>
      </c>
      <c r="U755" s="115">
        <v>0.35</v>
      </c>
      <c r="V755" s="10">
        <f>VLOOKUP(D755,A!B$1:T$1125,17,FALSE)</f>
        <v>0</v>
      </c>
      <c r="W755" s="10">
        <f t="shared" si="122"/>
        <v>0</v>
      </c>
      <c r="X755" s="29"/>
      <c r="Y755" s="29"/>
      <c r="Z755" s="29"/>
      <c r="AA755" s="29"/>
    </row>
    <row r="756" spans="1:252" s="3" customFormat="1" ht="13.5" hidden="1" customHeight="1" x14ac:dyDescent="0.25">
      <c r="A756" t="str">
        <f>IF(R756=0,"",COUNTIF(A$13:A755,"&gt;0")+1)</f>
        <v/>
      </c>
      <c r="B756" s="4"/>
      <c r="C756" s="5" t="s">
        <v>44</v>
      </c>
      <c r="D756" s="168" t="s">
        <v>491</v>
      </c>
      <c r="E756" s="169"/>
      <c r="F756" s="169"/>
      <c r="G756" s="6" t="s">
        <v>492</v>
      </c>
      <c r="H756" s="7">
        <f>VLOOKUP(D756,A!B$1:L$1126,8,FALSE)</f>
        <v>0</v>
      </c>
      <c r="I756" s="31">
        <f>VLOOKUP(D756,A!B$1:L$1126,8,FALSE)</f>
        <v>0</v>
      </c>
      <c r="J756" s="92"/>
      <c r="K756" s="63" t="str">
        <f>VLOOKUP(D756,A!B$1:P$1126,11,FALSE)</f>
        <v/>
      </c>
      <c r="L756" s="162"/>
      <c r="M756" s="41" t="s">
        <v>493</v>
      </c>
      <c r="N756" s="94">
        <f>VLOOKUP(D756,A!B$1:L$1125,7,FALSE)</f>
        <v>0</v>
      </c>
      <c r="O756" s="94">
        <f>VLOOKUP(D756,A!B$1:P$1126,9,FALSE)</f>
        <v>0</v>
      </c>
      <c r="P756" s="10">
        <v>6</v>
      </c>
      <c r="Q756" s="151">
        <v>5.2</v>
      </c>
      <c r="R756" s="10">
        <f t="shared" si="120"/>
        <v>0</v>
      </c>
      <c r="S756" s="10">
        <f t="shared" si="121"/>
        <v>0</v>
      </c>
      <c r="T756" s="30" t="s">
        <v>327</v>
      </c>
      <c r="U756" s="115">
        <v>0.35</v>
      </c>
      <c r="V756" s="10">
        <f>VLOOKUP(D756,A!B$1:T$1125,17,FALSE)</f>
        <v>0</v>
      </c>
      <c r="W756" s="10">
        <f t="shared" si="122"/>
        <v>0</v>
      </c>
      <c r="X756" s="29"/>
      <c r="Y756" s="29"/>
      <c r="Z756" s="29"/>
      <c r="AA756" s="29"/>
    </row>
    <row r="757" spans="1:252" s="3" customFormat="1" ht="13.5" hidden="1" customHeight="1" x14ac:dyDescent="0.25">
      <c r="A757" t="str">
        <f>IF(R757=0,"",COUNTIF(A$13:A756,"&gt;0")+1)</f>
        <v/>
      </c>
      <c r="B757" s="4"/>
      <c r="C757" s="5" t="s">
        <v>44</v>
      </c>
      <c r="D757" s="7" t="s">
        <v>494</v>
      </c>
      <c r="E757" s="31"/>
      <c r="F757" s="31"/>
      <c r="G757" s="6" t="s">
        <v>469</v>
      </c>
      <c r="H757" s="7">
        <f>VLOOKUP(D757,A!B$1:L$1126,8,FALSE)</f>
        <v>0</v>
      </c>
      <c r="I757" s="31">
        <f>VLOOKUP(D757,A!B$1:L$1126,8,FALSE)</f>
        <v>0</v>
      </c>
      <c r="J757" s="92"/>
      <c r="K757" s="63" t="str">
        <f>VLOOKUP(D757,A!B$1:P$1126,11,FALSE)</f>
        <v/>
      </c>
      <c r="L757" s="162"/>
      <c r="M757" s="41" t="s">
        <v>495</v>
      </c>
      <c r="N757" s="94">
        <f>VLOOKUP(D757,A!B$1:L$1125,7,FALSE)</f>
        <v>0</v>
      </c>
      <c r="O757" s="94">
        <f>VLOOKUP(D757,A!B$1:P$1126,9,FALSE)</f>
        <v>0</v>
      </c>
      <c r="P757" s="10">
        <v>6</v>
      </c>
      <c r="Q757" s="151">
        <v>5.2</v>
      </c>
      <c r="R757" s="10">
        <f t="shared" si="120"/>
        <v>0</v>
      </c>
      <c r="S757" s="10">
        <f t="shared" si="121"/>
        <v>0</v>
      </c>
      <c r="T757" s="30" t="s">
        <v>327</v>
      </c>
      <c r="U757" s="115">
        <v>0.35</v>
      </c>
      <c r="V757" s="10">
        <f>VLOOKUP(D757,A!B$1:T$1125,17,FALSE)</f>
        <v>0</v>
      </c>
      <c r="W757" s="10">
        <f t="shared" si="122"/>
        <v>0</v>
      </c>
      <c r="X757" s="29"/>
      <c r="Y757" s="29"/>
      <c r="Z757" s="29"/>
      <c r="AA757" s="29"/>
    </row>
    <row r="758" spans="1:252" s="3" customFormat="1" ht="13.5" hidden="1" customHeight="1" x14ac:dyDescent="0.25">
      <c r="A758" t="str">
        <f>IF(R758=0,"",COUNTIF(A$13:A757,"&gt;0")+1)</f>
        <v/>
      </c>
      <c r="B758" s="4"/>
      <c r="C758" s="5" t="s">
        <v>44</v>
      </c>
      <c r="D758" s="7" t="s">
        <v>496</v>
      </c>
      <c r="E758" s="31"/>
      <c r="F758" s="31"/>
      <c r="G758" s="6" t="s">
        <v>497</v>
      </c>
      <c r="H758" s="7">
        <f>VLOOKUP(D758,A!B$1:L$1126,8,FALSE)</f>
        <v>0</v>
      </c>
      <c r="I758" s="31">
        <f>VLOOKUP(D758,A!B$1:L$1126,8,FALSE)</f>
        <v>0</v>
      </c>
      <c r="J758" s="92"/>
      <c r="K758" s="63" t="str">
        <f>VLOOKUP(D758,A!B$1:P$1126,11,FALSE)</f>
        <v/>
      </c>
      <c r="L758" s="162"/>
      <c r="M758" s="41" t="s">
        <v>498</v>
      </c>
      <c r="N758" s="94">
        <f>VLOOKUP(D758,A!B$1:L$1125,7,FALSE)</f>
        <v>0</v>
      </c>
      <c r="O758" s="94">
        <f>VLOOKUP(D758,A!B$1:P$1126,9,FALSE)</f>
        <v>0</v>
      </c>
      <c r="P758" s="10">
        <v>6</v>
      </c>
      <c r="Q758" s="151">
        <v>5.2</v>
      </c>
      <c r="R758" s="10">
        <f t="shared" si="120"/>
        <v>0</v>
      </c>
      <c r="S758" s="10">
        <f t="shared" si="121"/>
        <v>0</v>
      </c>
      <c r="T758" s="30" t="s">
        <v>327</v>
      </c>
      <c r="U758" s="115">
        <v>0.35</v>
      </c>
      <c r="V758" s="10">
        <f>VLOOKUP(D758,A!B$1:T$1125,17,FALSE)</f>
        <v>0</v>
      </c>
      <c r="W758" s="10">
        <f t="shared" si="122"/>
        <v>0</v>
      </c>
      <c r="X758" s="29"/>
      <c r="Y758" s="29"/>
      <c r="Z758" s="29"/>
      <c r="AA758" s="29"/>
    </row>
    <row r="759" spans="1:252" s="3" customFormat="1" ht="13.5" hidden="1" customHeight="1" x14ac:dyDescent="0.25">
      <c r="A759" t="str">
        <f>IF(R759=0,"",COUNTIF(A$13:A758,"&gt;0")+1)</f>
        <v/>
      </c>
      <c r="B759" s="4"/>
      <c r="C759" s="5" t="s">
        <v>44</v>
      </c>
      <c r="D759" s="7" t="s">
        <v>499</v>
      </c>
      <c r="E759" s="31"/>
      <c r="F759" s="31"/>
      <c r="G759" s="6" t="s">
        <v>500</v>
      </c>
      <c r="H759" s="7">
        <f>VLOOKUP(D759,A!B$1:L$1126,8,FALSE)</f>
        <v>0</v>
      </c>
      <c r="I759" s="31">
        <f>VLOOKUP(D759,A!B$1:L$1126,8,FALSE)</f>
        <v>0</v>
      </c>
      <c r="J759" s="92"/>
      <c r="K759" s="63" t="str">
        <f>VLOOKUP(D759,A!B$1:P$1126,11,FALSE)</f>
        <v/>
      </c>
      <c r="L759" s="162"/>
      <c r="M759" s="41" t="s">
        <v>501</v>
      </c>
      <c r="N759" s="94">
        <f>VLOOKUP(D759,A!B$1:L$1125,7,FALSE)</f>
        <v>0</v>
      </c>
      <c r="O759" s="94">
        <f>VLOOKUP(D759,A!B$1:P$1126,9,FALSE)</f>
        <v>0</v>
      </c>
      <c r="P759" s="10">
        <v>6</v>
      </c>
      <c r="Q759" s="151">
        <v>5.2</v>
      </c>
      <c r="R759" s="10">
        <f t="shared" si="120"/>
        <v>0</v>
      </c>
      <c r="S759" s="10">
        <f t="shared" si="121"/>
        <v>0</v>
      </c>
      <c r="T759" s="30" t="s">
        <v>327</v>
      </c>
      <c r="U759" s="115">
        <v>0.35</v>
      </c>
      <c r="V759" s="10">
        <f>VLOOKUP(D759,A!B$1:T$1125,17,FALSE)</f>
        <v>0</v>
      </c>
      <c r="W759" s="10">
        <f t="shared" si="122"/>
        <v>0</v>
      </c>
      <c r="X759" s="29"/>
      <c r="Y759" s="29"/>
      <c r="Z759" s="29"/>
      <c r="AA759" s="29"/>
    </row>
    <row r="760" spans="1:252" s="3" customFormat="1" ht="13.5" hidden="1" customHeight="1" x14ac:dyDescent="0.25">
      <c r="A760" t="str">
        <f>IF(R760=0,"",COUNTIF(A$13:A759,"&gt;0")+1)</f>
        <v/>
      </c>
      <c r="B760" s="4"/>
      <c r="C760" s="5" t="s">
        <v>44</v>
      </c>
      <c r="D760" s="7" t="s">
        <v>502</v>
      </c>
      <c r="E760" s="31"/>
      <c r="F760" s="31"/>
      <c r="G760" s="6" t="s">
        <v>503</v>
      </c>
      <c r="H760" s="7">
        <f>VLOOKUP(D760,A!B$1:L$1126,8,FALSE)</f>
        <v>0</v>
      </c>
      <c r="I760" s="31">
        <f>VLOOKUP(D760,A!B$1:L$1126,8,FALSE)</f>
        <v>0</v>
      </c>
      <c r="J760" s="92"/>
      <c r="K760" s="63" t="str">
        <f>VLOOKUP(D760,A!B$1:P$1126,11,FALSE)</f>
        <v/>
      </c>
      <c r="L760" s="162"/>
      <c r="M760" s="41" t="s">
        <v>504</v>
      </c>
      <c r="N760" s="94">
        <f>VLOOKUP(D760,A!B$1:L$1125,7,FALSE)</f>
        <v>0</v>
      </c>
      <c r="O760" s="94">
        <f>VLOOKUP(D760,A!B$1:P$1126,9,FALSE)</f>
        <v>0</v>
      </c>
      <c r="P760" s="10">
        <v>6</v>
      </c>
      <c r="Q760" s="151">
        <v>5.2</v>
      </c>
      <c r="R760" s="10">
        <f t="shared" si="120"/>
        <v>0</v>
      </c>
      <c r="S760" s="10">
        <f t="shared" si="121"/>
        <v>0</v>
      </c>
      <c r="T760" s="30" t="s">
        <v>327</v>
      </c>
      <c r="U760" s="115">
        <v>0.35</v>
      </c>
      <c r="V760" s="10">
        <f>VLOOKUP(D760,A!B$1:T$1125,17,FALSE)</f>
        <v>0</v>
      </c>
      <c r="W760" s="10">
        <f t="shared" si="122"/>
        <v>0</v>
      </c>
      <c r="X760" s="29"/>
      <c r="Y760" s="29"/>
      <c r="Z760" s="29"/>
      <c r="AA760" s="29"/>
    </row>
    <row r="761" spans="1:252" s="3" customFormat="1" ht="13.5" hidden="1" customHeight="1" x14ac:dyDescent="0.25">
      <c r="A761" t="str">
        <f>IF(R761=0,"",COUNTIF(A$13:A760,"&gt;0")+1)</f>
        <v/>
      </c>
      <c r="B761" s="4"/>
      <c r="C761" s="5" t="s">
        <v>44</v>
      </c>
      <c r="D761" s="7" t="s">
        <v>505</v>
      </c>
      <c r="E761" s="31"/>
      <c r="F761" s="31"/>
      <c r="G761" s="6" t="s">
        <v>506</v>
      </c>
      <c r="H761" s="7">
        <f>VLOOKUP(D761,A!B$1:L$1126,8,FALSE)</f>
        <v>0</v>
      </c>
      <c r="I761" s="31">
        <f>VLOOKUP(D761,A!B$1:L$1126,8,FALSE)</f>
        <v>0</v>
      </c>
      <c r="J761" s="92"/>
      <c r="K761" s="63" t="str">
        <f>VLOOKUP(D761,A!B$1:P$1126,11,FALSE)</f>
        <v/>
      </c>
      <c r="L761" s="162"/>
      <c r="M761" s="41" t="s">
        <v>507</v>
      </c>
      <c r="N761" s="94">
        <f>VLOOKUP(D761,A!B$1:L$1125,7,FALSE)</f>
        <v>0</v>
      </c>
      <c r="O761" s="94">
        <f>VLOOKUP(D761,A!B$1:P$1126,9,FALSE)</f>
        <v>0</v>
      </c>
      <c r="P761" s="10">
        <v>6</v>
      </c>
      <c r="Q761" s="151">
        <v>5.2</v>
      </c>
      <c r="R761" s="10">
        <f t="shared" si="120"/>
        <v>0</v>
      </c>
      <c r="S761" s="10">
        <f t="shared" si="121"/>
        <v>0</v>
      </c>
      <c r="T761" s="30" t="s">
        <v>327</v>
      </c>
      <c r="U761" s="115">
        <v>0.35</v>
      </c>
      <c r="V761" s="10">
        <f>VLOOKUP(D761,A!B$1:T$1125,17,FALSE)</f>
        <v>0</v>
      </c>
      <c r="W761" s="10">
        <f t="shared" si="122"/>
        <v>0</v>
      </c>
      <c r="X761" s="29"/>
      <c r="Y761" s="227"/>
      <c r="Z761" s="227"/>
      <c r="AA761" s="227"/>
      <c r="AB761" s="170"/>
      <c r="AC761" s="170"/>
      <c r="AD761" s="170"/>
      <c r="AE761" s="170"/>
      <c r="AF761" s="170"/>
      <c r="AG761" s="170"/>
      <c r="AH761" s="170"/>
      <c r="AI761" s="170"/>
      <c r="AJ761" s="170"/>
      <c r="AK761" s="170"/>
      <c r="AL761" s="170"/>
      <c r="AM761" s="170"/>
      <c r="AN761" s="170"/>
      <c r="AO761" s="170"/>
      <c r="AP761" s="170"/>
      <c r="AQ761" s="170"/>
      <c r="AR761" s="170"/>
      <c r="AS761" s="170"/>
      <c r="AT761" s="170"/>
      <c r="AU761" s="170"/>
      <c r="AV761" s="170"/>
      <c r="AW761" s="170"/>
      <c r="AX761" s="170"/>
      <c r="AY761" s="170"/>
      <c r="AZ761" s="170"/>
      <c r="BA761" s="170"/>
      <c r="BB761" s="170"/>
      <c r="BC761" s="170"/>
      <c r="BD761" s="170"/>
      <c r="BE761" s="170"/>
      <c r="BF761" s="170"/>
      <c r="BG761" s="170"/>
      <c r="BH761" s="170"/>
      <c r="BI761" s="170"/>
      <c r="BJ761" s="170"/>
      <c r="BK761" s="170"/>
      <c r="BL761" s="170"/>
      <c r="BM761" s="170"/>
      <c r="BN761" s="170"/>
      <c r="BO761" s="170"/>
      <c r="BP761" s="170"/>
      <c r="BQ761" s="170"/>
      <c r="BR761" s="170"/>
      <c r="BS761" s="170"/>
      <c r="BT761" s="170"/>
      <c r="BU761" s="170"/>
      <c r="BV761" s="170"/>
      <c r="BW761" s="170"/>
      <c r="BX761" s="170"/>
      <c r="BY761" s="170"/>
      <c r="BZ761" s="170"/>
      <c r="CA761" s="170"/>
      <c r="CB761" s="170"/>
      <c r="CC761" s="170"/>
      <c r="CD761" s="170"/>
      <c r="CE761" s="170"/>
      <c r="CF761" s="170"/>
      <c r="CG761" s="170"/>
      <c r="CH761" s="170"/>
      <c r="CI761" s="170"/>
      <c r="CJ761" s="170"/>
      <c r="CK761" s="170"/>
      <c r="CL761" s="170"/>
      <c r="CM761" s="170"/>
      <c r="CN761" s="170"/>
      <c r="CO761" s="170"/>
      <c r="CP761" s="170"/>
      <c r="CQ761" s="170"/>
      <c r="CR761" s="170"/>
      <c r="CS761" s="170"/>
      <c r="CT761" s="170"/>
      <c r="CU761" s="170"/>
      <c r="CV761" s="170"/>
      <c r="CW761" s="170"/>
      <c r="CX761" s="170"/>
      <c r="CY761" s="170"/>
      <c r="CZ761" s="170"/>
      <c r="DA761" s="170"/>
      <c r="DB761" s="170"/>
      <c r="DC761" s="170"/>
      <c r="DD761" s="170"/>
      <c r="DE761" s="170"/>
      <c r="DF761" s="170"/>
      <c r="DG761" s="170"/>
      <c r="DH761" s="170"/>
      <c r="DI761" s="170"/>
      <c r="DJ761" s="170"/>
      <c r="DK761" s="170"/>
      <c r="DL761" s="170"/>
      <c r="DM761" s="170"/>
      <c r="DN761" s="170"/>
      <c r="DO761" s="170"/>
      <c r="DP761" s="170"/>
      <c r="DQ761" s="170"/>
      <c r="DR761" s="170"/>
      <c r="DS761" s="170"/>
      <c r="DT761" s="170"/>
      <c r="DU761" s="170"/>
      <c r="DV761" s="170"/>
      <c r="DW761" s="170"/>
      <c r="DX761" s="170"/>
      <c r="DY761" s="170"/>
      <c r="DZ761" s="170"/>
      <c r="EA761" s="170"/>
      <c r="EB761" s="170"/>
      <c r="EC761" s="170"/>
      <c r="ED761" s="170"/>
      <c r="EE761" s="170"/>
      <c r="EF761" s="170"/>
      <c r="EG761" s="170"/>
      <c r="EH761" s="170"/>
      <c r="EI761" s="170"/>
      <c r="EJ761" s="170"/>
      <c r="EK761" s="170"/>
      <c r="EL761" s="170"/>
      <c r="EM761" s="170"/>
      <c r="EN761" s="170"/>
      <c r="EO761" s="170"/>
      <c r="EP761" s="170"/>
      <c r="EQ761" s="170"/>
      <c r="ER761" s="170"/>
      <c r="ES761" s="170"/>
      <c r="ET761" s="170"/>
      <c r="EU761" s="170"/>
      <c r="EV761" s="170"/>
      <c r="EW761" s="170"/>
      <c r="EX761" s="170"/>
      <c r="EY761" s="170"/>
      <c r="EZ761" s="170"/>
      <c r="FA761" s="170"/>
      <c r="FB761" s="170"/>
      <c r="FC761" s="170"/>
      <c r="FD761" s="170"/>
      <c r="FE761" s="170"/>
      <c r="FF761" s="170"/>
      <c r="FG761" s="170"/>
      <c r="FH761" s="170"/>
      <c r="FI761" s="170"/>
      <c r="FJ761" s="170"/>
      <c r="FK761" s="170"/>
      <c r="FL761" s="170"/>
      <c r="FM761" s="170"/>
      <c r="FN761" s="170"/>
      <c r="FO761" s="170"/>
      <c r="FP761" s="170"/>
      <c r="FQ761" s="170"/>
      <c r="FR761" s="170"/>
      <c r="FS761" s="170"/>
      <c r="FT761" s="170"/>
      <c r="FU761" s="170"/>
      <c r="FV761" s="170"/>
      <c r="FW761" s="170"/>
      <c r="FX761" s="170"/>
      <c r="FY761" s="170"/>
      <c r="FZ761" s="170"/>
      <c r="GA761" s="170"/>
      <c r="GB761" s="170"/>
      <c r="GC761" s="170"/>
      <c r="GD761" s="170"/>
      <c r="GE761" s="170"/>
      <c r="GF761" s="170"/>
      <c r="GG761" s="170"/>
      <c r="GH761" s="170"/>
      <c r="GI761" s="170"/>
      <c r="GJ761" s="170"/>
      <c r="GK761" s="170"/>
      <c r="GL761" s="170"/>
      <c r="GM761" s="170"/>
      <c r="GN761" s="170"/>
      <c r="GO761" s="170"/>
      <c r="GP761" s="170"/>
      <c r="GQ761" s="170"/>
      <c r="GR761" s="170"/>
      <c r="GS761" s="170"/>
      <c r="GT761" s="170"/>
      <c r="GU761" s="170"/>
      <c r="GV761" s="170"/>
      <c r="GW761" s="170"/>
      <c r="GX761" s="170"/>
      <c r="GY761" s="170"/>
      <c r="GZ761" s="170"/>
      <c r="HA761" s="170"/>
      <c r="HB761" s="170"/>
      <c r="HC761" s="170"/>
      <c r="HD761" s="170"/>
      <c r="HE761" s="170"/>
      <c r="HF761" s="170"/>
      <c r="HG761" s="170"/>
      <c r="HH761" s="170"/>
      <c r="HI761" s="170"/>
      <c r="HJ761" s="170"/>
      <c r="HK761" s="170"/>
      <c r="HL761" s="170"/>
      <c r="HM761" s="170"/>
      <c r="HN761" s="170"/>
      <c r="HO761" s="170"/>
      <c r="HP761" s="170"/>
      <c r="HQ761" s="170"/>
      <c r="HR761" s="170"/>
      <c r="HS761" s="170"/>
      <c r="HT761" s="170"/>
      <c r="HU761" s="170"/>
      <c r="HV761" s="170"/>
      <c r="HW761" s="170"/>
      <c r="HX761" s="170"/>
      <c r="HY761" s="170"/>
      <c r="HZ761" s="170"/>
      <c r="IA761" s="170"/>
      <c r="IB761" s="170"/>
      <c r="IC761" s="170"/>
      <c r="ID761" s="170"/>
      <c r="IE761" s="170"/>
      <c r="IF761" s="170"/>
      <c r="IG761" s="170"/>
      <c r="IH761" s="170"/>
      <c r="II761" s="170"/>
      <c r="IJ761" s="170"/>
      <c r="IK761" s="170"/>
      <c r="IL761" s="170"/>
      <c r="IM761" s="170"/>
      <c r="IN761" s="170"/>
      <c r="IO761" s="170"/>
      <c r="IP761" s="170"/>
      <c r="IQ761" s="170"/>
      <c r="IR761" s="170"/>
    </row>
    <row r="762" spans="1:252" s="3" customFormat="1" ht="13.5" hidden="1" customHeight="1" x14ac:dyDescent="0.25">
      <c r="A762" t="str">
        <f>IF(R762=0,"",COUNTIF(A$13:A761,"&gt;0")+1)</f>
        <v/>
      </c>
      <c r="B762" s="4"/>
      <c r="C762" s="5" t="s">
        <v>44</v>
      </c>
      <c r="D762" s="7" t="s">
        <v>508</v>
      </c>
      <c r="E762" s="31"/>
      <c r="F762" s="31"/>
      <c r="G762" s="6" t="s">
        <v>509</v>
      </c>
      <c r="H762" s="7">
        <f>VLOOKUP(D762,A!B$1:L$1126,8,FALSE)</f>
        <v>0</v>
      </c>
      <c r="I762" s="31">
        <f>VLOOKUP(D762,A!B$1:L$1126,8,FALSE)</f>
        <v>0</v>
      </c>
      <c r="J762" s="92"/>
      <c r="K762" s="63" t="str">
        <f>VLOOKUP(D762,A!B$1:P$1126,11,FALSE)</f>
        <v/>
      </c>
      <c r="L762" s="162"/>
      <c r="M762" s="41" t="s">
        <v>510</v>
      </c>
      <c r="N762" s="94">
        <f>VLOOKUP(D762,A!B$1:L$1125,7,FALSE)</f>
        <v>0</v>
      </c>
      <c r="O762" s="94">
        <f>VLOOKUP(D762,A!B$1:P$1126,9,FALSE)</f>
        <v>0</v>
      </c>
      <c r="P762" s="10">
        <v>6</v>
      </c>
      <c r="Q762" s="151">
        <v>5.2</v>
      </c>
      <c r="R762" s="10">
        <f t="shared" si="120"/>
        <v>0</v>
      </c>
      <c r="S762" s="10">
        <f t="shared" si="121"/>
        <v>0</v>
      </c>
      <c r="T762" s="30" t="s">
        <v>327</v>
      </c>
      <c r="U762" s="115">
        <v>0.35</v>
      </c>
      <c r="V762" s="10">
        <f>VLOOKUP(D762,A!B$1:T$1125,17,FALSE)</f>
        <v>0</v>
      </c>
      <c r="W762" s="10">
        <f t="shared" si="122"/>
        <v>0</v>
      </c>
      <c r="X762" s="227"/>
      <c r="Y762" s="227"/>
      <c r="Z762" s="227"/>
      <c r="AA762" s="227"/>
      <c r="AB762" s="170"/>
      <c r="AC762" s="170"/>
      <c r="AD762" s="170"/>
      <c r="AE762" s="170"/>
      <c r="AF762" s="170"/>
      <c r="AG762" s="170"/>
      <c r="AH762" s="170"/>
      <c r="AI762" s="170"/>
      <c r="AJ762" s="170"/>
      <c r="AK762" s="170"/>
      <c r="AL762" s="170"/>
      <c r="AM762" s="170"/>
      <c r="AN762" s="170"/>
      <c r="AO762" s="170"/>
      <c r="AP762" s="170"/>
      <c r="AQ762" s="170"/>
      <c r="AR762" s="170"/>
      <c r="AS762" s="170"/>
      <c r="AT762" s="170"/>
      <c r="AU762" s="170"/>
      <c r="AV762" s="170"/>
      <c r="AW762" s="170"/>
      <c r="AX762" s="170"/>
      <c r="AY762" s="170"/>
      <c r="AZ762" s="170"/>
      <c r="BA762" s="170"/>
      <c r="BB762" s="170"/>
      <c r="BC762" s="170"/>
      <c r="BD762" s="170"/>
      <c r="BE762" s="170"/>
      <c r="BF762" s="170"/>
      <c r="BG762" s="170"/>
      <c r="BH762" s="170"/>
      <c r="BI762" s="170"/>
      <c r="BJ762" s="170"/>
      <c r="BK762" s="170"/>
      <c r="BL762" s="170"/>
      <c r="BM762" s="170"/>
      <c r="BN762" s="170"/>
      <c r="BO762" s="170"/>
      <c r="BP762" s="170"/>
      <c r="BQ762" s="170"/>
      <c r="BR762" s="170"/>
      <c r="BS762" s="170"/>
      <c r="BT762" s="170"/>
      <c r="BU762" s="170"/>
      <c r="BV762" s="170"/>
      <c r="BW762" s="170"/>
      <c r="BX762" s="170"/>
      <c r="BY762" s="170"/>
      <c r="BZ762" s="170"/>
      <c r="CA762" s="170"/>
      <c r="CB762" s="170"/>
      <c r="CC762" s="170"/>
      <c r="CD762" s="170"/>
      <c r="CE762" s="170"/>
      <c r="CF762" s="170"/>
      <c r="CG762" s="170"/>
      <c r="CH762" s="170"/>
      <c r="CI762" s="170"/>
      <c r="CJ762" s="170"/>
      <c r="CK762" s="170"/>
      <c r="CL762" s="170"/>
      <c r="CM762" s="170"/>
      <c r="CN762" s="170"/>
      <c r="CO762" s="170"/>
      <c r="CP762" s="170"/>
      <c r="CQ762" s="170"/>
      <c r="CR762" s="170"/>
      <c r="CS762" s="170"/>
      <c r="CT762" s="170"/>
      <c r="CU762" s="170"/>
      <c r="CV762" s="170"/>
      <c r="CW762" s="170"/>
      <c r="CX762" s="170"/>
      <c r="CY762" s="170"/>
      <c r="CZ762" s="170"/>
      <c r="DA762" s="170"/>
      <c r="DB762" s="170"/>
      <c r="DC762" s="170"/>
      <c r="DD762" s="170"/>
      <c r="DE762" s="170"/>
      <c r="DF762" s="170"/>
      <c r="DG762" s="170"/>
      <c r="DH762" s="170"/>
      <c r="DI762" s="170"/>
      <c r="DJ762" s="170"/>
      <c r="DK762" s="170"/>
      <c r="DL762" s="170"/>
      <c r="DM762" s="170"/>
      <c r="DN762" s="170"/>
      <c r="DO762" s="170"/>
      <c r="DP762" s="170"/>
      <c r="DQ762" s="170"/>
      <c r="DR762" s="170"/>
      <c r="DS762" s="170"/>
      <c r="DT762" s="170"/>
      <c r="DU762" s="170"/>
      <c r="DV762" s="170"/>
      <c r="DW762" s="170"/>
      <c r="DX762" s="170"/>
      <c r="DY762" s="170"/>
      <c r="DZ762" s="170"/>
      <c r="EA762" s="170"/>
      <c r="EB762" s="170"/>
      <c r="EC762" s="170"/>
      <c r="ED762" s="170"/>
      <c r="EE762" s="170"/>
      <c r="EF762" s="170"/>
      <c r="EG762" s="170"/>
      <c r="EH762" s="170"/>
      <c r="EI762" s="170"/>
      <c r="EJ762" s="170"/>
      <c r="EK762" s="170"/>
      <c r="EL762" s="170"/>
      <c r="EM762" s="170"/>
      <c r="EN762" s="170"/>
      <c r="EO762" s="170"/>
      <c r="EP762" s="170"/>
      <c r="EQ762" s="170"/>
      <c r="ER762" s="170"/>
      <c r="ES762" s="170"/>
      <c r="ET762" s="170"/>
      <c r="EU762" s="170"/>
      <c r="EV762" s="170"/>
      <c r="EW762" s="170"/>
      <c r="EX762" s="170"/>
      <c r="EY762" s="170"/>
      <c r="EZ762" s="170"/>
      <c r="FA762" s="170"/>
      <c r="FB762" s="170"/>
      <c r="FC762" s="170"/>
      <c r="FD762" s="170"/>
      <c r="FE762" s="170"/>
      <c r="FF762" s="170"/>
      <c r="FG762" s="170"/>
      <c r="FH762" s="170"/>
      <c r="FI762" s="170"/>
      <c r="FJ762" s="170"/>
      <c r="FK762" s="170"/>
      <c r="FL762" s="170"/>
      <c r="FM762" s="170"/>
      <c r="FN762" s="170"/>
      <c r="FO762" s="170"/>
      <c r="FP762" s="170"/>
      <c r="FQ762" s="170"/>
      <c r="FR762" s="170"/>
      <c r="FS762" s="170"/>
      <c r="FT762" s="170"/>
      <c r="FU762" s="170"/>
      <c r="FV762" s="170"/>
      <c r="FW762" s="170"/>
      <c r="FX762" s="170"/>
      <c r="FY762" s="170"/>
      <c r="FZ762" s="170"/>
      <c r="GA762" s="170"/>
      <c r="GB762" s="170"/>
      <c r="GC762" s="170"/>
      <c r="GD762" s="170"/>
      <c r="GE762" s="170"/>
      <c r="GF762" s="170"/>
      <c r="GG762" s="170"/>
      <c r="GH762" s="170"/>
      <c r="GI762" s="170"/>
      <c r="GJ762" s="170"/>
      <c r="GK762" s="170"/>
      <c r="GL762" s="170"/>
      <c r="GM762" s="170"/>
      <c r="GN762" s="170"/>
      <c r="GO762" s="170"/>
      <c r="GP762" s="170"/>
      <c r="GQ762" s="170"/>
      <c r="GR762" s="170"/>
      <c r="GS762" s="170"/>
      <c r="GT762" s="170"/>
      <c r="GU762" s="170"/>
      <c r="GV762" s="170"/>
      <c r="GW762" s="170"/>
      <c r="GX762" s="170"/>
      <c r="GY762" s="170"/>
      <c r="GZ762" s="170"/>
      <c r="HA762" s="170"/>
      <c r="HB762" s="170"/>
      <c r="HC762" s="170"/>
      <c r="HD762" s="170"/>
      <c r="HE762" s="170"/>
      <c r="HF762" s="170"/>
      <c r="HG762" s="170"/>
      <c r="HH762" s="170"/>
      <c r="HI762" s="170"/>
      <c r="HJ762" s="170"/>
      <c r="HK762" s="170"/>
      <c r="HL762" s="170"/>
      <c r="HM762" s="170"/>
      <c r="HN762" s="170"/>
      <c r="HO762" s="170"/>
      <c r="HP762" s="170"/>
      <c r="HQ762" s="170"/>
      <c r="HR762" s="170"/>
      <c r="HS762" s="170"/>
      <c r="HT762" s="170"/>
      <c r="HU762" s="170"/>
      <c r="HV762" s="170"/>
      <c r="HW762" s="170"/>
      <c r="HX762" s="170"/>
      <c r="HY762" s="170"/>
      <c r="HZ762" s="170"/>
      <c r="IA762" s="170"/>
      <c r="IB762" s="170"/>
      <c r="IC762" s="170"/>
      <c r="ID762" s="170"/>
      <c r="IE762" s="170"/>
      <c r="IF762" s="170"/>
      <c r="IG762" s="170"/>
      <c r="IH762" s="170"/>
      <c r="II762" s="170"/>
      <c r="IJ762" s="170"/>
      <c r="IK762" s="170"/>
      <c r="IL762" s="170"/>
      <c r="IM762" s="170"/>
      <c r="IN762" s="170"/>
      <c r="IO762" s="170"/>
      <c r="IP762" s="170"/>
      <c r="IQ762" s="170"/>
      <c r="IR762" s="170"/>
    </row>
    <row r="763" spans="1:252" s="3" customFormat="1" ht="13.5" hidden="1" customHeight="1" x14ac:dyDescent="0.25">
      <c r="A763" t="str">
        <f>IF(R763=0,"",COUNTIF(A$13:A762,"&gt;0")+1)</f>
        <v/>
      </c>
      <c r="B763" s="4"/>
      <c r="C763" s="5" t="s">
        <v>44</v>
      </c>
      <c r="D763" s="7" t="s">
        <v>511</v>
      </c>
      <c r="E763" s="31"/>
      <c r="F763" s="31"/>
      <c r="G763" s="6" t="s">
        <v>512</v>
      </c>
      <c r="H763" s="7">
        <f>VLOOKUP(D763,A!B$1:L$1126,8,FALSE)</f>
        <v>0</v>
      </c>
      <c r="I763" s="31">
        <f>VLOOKUP(D763,A!B$1:L$1126,8,FALSE)</f>
        <v>0</v>
      </c>
      <c r="J763" s="92"/>
      <c r="K763" s="63" t="str">
        <f>VLOOKUP(D763,A!B$1:P$1126,11,FALSE)</f>
        <v/>
      </c>
      <c r="L763" s="162"/>
      <c r="M763" s="41" t="s">
        <v>513</v>
      </c>
      <c r="N763" s="94">
        <f>VLOOKUP(D763,A!B$1:L$1125,7,FALSE)</f>
        <v>0</v>
      </c>
      <c r="O763" s="94">
        <f>VLOOKUP(D763,A!B$1:P$1126,9,FALSE)</f>
        <v>0</v>
      </c>
      <c r="P763" s="10">
        <v>6</v>
      </c>
      <c r="Q763" s="151">
        <v>5.2</v>
      </c>
      <c r="R763" s="10">
        <f t="shared" si="120"/>
        <v>0</v>
      </c>
      <c r="S763" s="10">
        <f t="shared" si="121"/>
        <v>0</v>
      </c>
      <c r="T763" s="30" t="s">
        <v>327</v>
      </c>
      <c r="U763" s="115">
        <v>0.35</v>
      </c>
      <c r="V763" s="10">
        <f>VLOOKUP(D763,A!B$1:T$1125,17,FALSE)</f>
        <v>0</v>
      </c>
      <c r="W763" s="10">
        <f t="shared" si="122"/>
        <v>0</v>
      </c>
      <c r="X763" s="227"/>
      <c r="Y763" s="29"/>
      <c r="Z763" s="29"/>
      <c r="AA763" s="29"/>
    </row>
    <row r="764" spans="1:252" s="3" customFormat="1" ht="13.5" hidden="1" customHeight="1" x14ac:dyDescent="0.25">
      <c r="A764" t="str">
        <f>IF(R764=0,"",COUNTIF(A$13:A763,"&gt;0")+1)</f>
        <v/>
      </c>
      <c r="B764" s="4"/>
      <c r="C764" s="5" t="s">
        <v>44</v>
      </c>
      <c r="D764" s="7" t="s">
        <v>514</v>
      </c>
      <c r="E764" s="31"/>
      <c r="F764" s="31"/>
      <c r="G764" s="6" t="s">
        <v>515</v>
      </c>
      <c r="H764" s="7">
        <f>VLOOKUP(D764,A!B$1:L$1126,8,FALSE)</f>
        <v>0</v>
      </c>
      <c r="I764" s="31">
        <f>VLOOKUP(D764,A!B$1:L$1126,8,FALSE)</f>
        <v>0</v>
      </c>
      <c r="J764" s="92"/>
      <c r="K764" s="63" t="str">
        <f>VLOOKUP(D764,A!B$1:P$1126,11,FALSE)</f>
        <v/>
      </c>
      <c r="L764" s="162"/>
      <c r="M764" s="41" t="s">
        <v>516</v>
      </c>
      <c r="N764" s="94">
        <f>VLOOKUP(D764,A!B$1:L$1125,7,FALSE)</f>
        <v>0</v>
      </c>
      <c r="O764" s="94">
        <f>VLOOKUP(D764,A!B$1:P$1126,9,FALSE)</f>
        <v>0</v>
      </c>
      <c r="P764" s="10">
        <v>6</v>
      </c>
      <c r="Q764" s="151">
        <v>5.2</v>
      </c>
      <c r="R764" s="10">
        <f t="shared" si="120"/>
        <v>0</v>
      </c>
      <c r="S764" s="10">
        <f t="shared" si="121"/>
        <v>0</v>
      </c>
      <c r="T764" s="30" t="s">
        <v>327</v>
      </c>
      <c r="U764" s="115">
        <v>0.35</v>
      </c>
      <c r="V764" s="10">
        <f>VLOOKUP(D764,A!B$1:T$1125,17,FALSE)</f>
        <v>0</v>
      </c>
      <c r="W764" s="10">
        <f t="shared" si="122"/>
        <v>0</v>
      </c>
      <c r="X764" s="29"/>
      <c r="Y764" s="29"/>
      <c r="Z764" s="29"/>
      <c r="AA764" s="29"/>
    </row>
    <row r="765" spans="1:252" s="3" customFormat="1" ht="13.5" hidden="1" customHeight="1" x14ac:dyDescent="0.25">
      <c r="A765" t="str">
        <f>IF(R765=0,"",COUNTIF(A$13:A764,"&gt;0")+1)</f>
        <v/>
      </c>
      <c r="B765" s="4"/>
      <c r="C765" s="5" t="s">
        <v>44</v>
      </c>
      <c r="D765" s="7" t="s">
        <v>517</v>
      </c>
      <c r="E765" s="31"/>
      <c r="F765" s="31"/>
      <c r="G765" s="6" t="s">
        <v>518</v>
      </c>
      <c r="H765" s="7">
        <f>VLOOKUP(D765,A!B$1:L$1126,8,FALSE)</f>
        <v>0</v>
      </c>
      <c r="I765" s="31">
        <f>VLOOKUP(D765,A!B$1:L$1126,8,FALSE)</f>
        <v>0</v>
      </c>
      <c r="J765" s="92"/>
      <c r="K765" s="63" t="str">
        <f>VLOOKUP(D765,A!B$1:P$1126,11,FALSE)</f>
        <v/>
      </c>
      <c r="L765" s="162"/>
      <c r="M765" s="41" t="s">
        <v>519</v>
      </c>
      <c r="N765" s="94">
        <f>VLOOKUP(D765,A!B$1:L$1125,7,FALSE)</f>
        <v>0</v>
      </c>
      <c r="O765" s="94">
        <f>VLOOKUP(D765,A!B$1:P$1126,9,FALSE)</f>
        <v>0</v>
      </c>
      <c r="P765" s="10">
        <v>6</v>
      </c>
      <c r="Q765" s="151">
        <v>5.2</v>
      </c>
      <c r="R765" s="10">
        <f t="shared" si="120"/>
        <v>0</v>
      </c>
      <c r="S765" s="10">
        <f t="shared" si="121"/>
        <v>0</v>
      </c>
      <c r="T765" s="30" t="s">
        <v>327</v>
      </c>
      <c r="U765" s="115">
        <v>0.35</v>
      </c>
      <c r="V765" s="10">
        <f>VLOOKUP(D765,A!B$1:T$1125,17,FALSE)</f>
        <v>0</v>
      </c>
      <c r="W765" s="10">
        <f t="shared" si="122"/>
        <v>0</v>
      </c>
      <c r="X765" s="29"/>
      <c r="Y765" s="29"/>
      <c r="Z765" s="29"/>
      <c r="AA765" s="29"/>
    </row>
    <row r="766" spans="1:252" s="171" customFormat="1" ht="13.5" hidden="1" customHeight="1" x14ac:dyDescent="0.25">
      <c r="A766" t="str">
        <f>IF(R766=0,"",COUNTIF(A$13:A765,"&gt;0")+1)</f>
        <v/>
      </c>
      <c r="B766" s="4"/>
      <c r="C766" s="5" t="s">
        <v>44</v>
      </c>
      <c r="D766" s="7" t="s">
        <v>520</v>
      </c>
      <c r="E766" s="31"/>
      <c r="F766" s="31"/>
      <c r="G766" s="6" t="s">
        <v>521</v>
      </c>
      <c r="H766" s="7">
        <f>VLOOKUP(D766,A!B$1:L$1126,8,FALSE)</f>
        <v>0</v>
      </c>
      <c r="I766" s="31">
        <f>VLOOKUP(D766,A!B$1:L$1126,8,FALSE)</f>
        <v>0</v>
      </c>
      <c r="J766" s="92"/>
      <c r="K766" s="63" t="str">
        <f>VLOOKUP(D766,A!B$1:P$1126,11,FALSE)</f>
        <v/>
      </c>
      <c r="L766" s="162"/>
      <c r="M766" s="43" t="s">
        <v>522</v>
      </c>
      <c r="N766" s="94">
        <f>VLOOKUP(D766,A!B$1:L$1125,7,FALSE)</f>
        <v>0</v>
      </c>
      <c r="O766" s="94">
        <f>VLOOKUP(D766,A!B$1:P$1126,9,FALSE)</f>
        <v>0</v>
      </c>
      <c r="P766" s="10">
        <v>6</v>
      </c>
      <c r="Q766" s="151">
        <v>5.2</v>
      </c>
      <c r="R766" s="10">
        <f t="shared" si="120"/>
        <v>0</v>
      </c>
      <c r="S766" s="10">
        <f t="shared" si="121"/>
        <v>0</v>
      </c>
      <c r="T766" s="30" t="s">
        <v>327</v>
      </c>
      <c r="U766" s="115">
        <v>0.35</v>
      </c>
      <c r="V766" s="10">
        <f>VLOOKUP(D766,A!B$1:T$1125,17,FALSE)</f>
        <v>0</v>
      </c>
      <c r="W766" s="10">
        <f t="shared" si="122"/>
        <v>0</v>
      </c>
      <c r="X766" s="29"/>
      <c r="Y766" s="228"/>
      <c r="Z766" s="228"/>
      <c r="AA766" s="228"/>
    </row>
    <row r="767" spans="1:252" s="171" customFormat="1" ht="13.5" hidden="1" customHeight="1" x14ac:dyDescent="0.25">
      <c r="A767" t="str">
        <f>IF(R767=0,"",COUNTIF(A$13:A766,"&gt;0")+1)</f>
        <v/>
      </c>
      <c r="B767" s="4"/>
      <c r="C767" s="5" t="s">
        <v>44</v>
      </c>
      <c r="D767" s="7" t="s">
        <v>526</v>
      </c>
      <c r="E767" s="31"/>
      <c r="F767" s="31"/>
      <c r="G767" s="6" t="s">
        <v>527</v>
      </c>
      <c r="H767" s="7">
        <f>VLOOKUP(D767,A!B$1:L$1126,8,FALSE)</f>
        <v>0</v>
      </c>
      <c r="I767" s="31">
        <f>VLOOKUP(D767,A!B$1:L$1126,8,FALSE)</f>
        <v>0</v>
      </c>
      <c r="J767" s="92"/>
      <c r="K767" s="63" t="str">
        <f>VLOOKUP(D767,A!B$1:P$1126,11,FALSE)</f>
        <v/>
      </c>
      <c r="L767" s="162"/>
      <c r="M767" s="41" t="s">
        <v>528</v>
      </c>
      <c r="N767" s="94">
        <f>VLOOKUP(D767,A!B$1:L$1125,7,FALSE)</f>
        <v>0</v>
      </c>
      <c r="O767" s="94">
        <f>VLOOKUP(D767,A!B$1:P$1126,9,FALSE)</f>
        <v>0</v>
      </c>
      <c r="P767" s="10">
        <v>6</v>
      </c>
      <c r="Q767" s="151">
        <v>5.2</v>
      </c>
      <c r="R767" s="10">
        <f t="shared" si="120"/>
        <v>0</v>
      </c>
      <c r="S767" s="10">
        <f t="shared" si="121"/>
        <v>0</v>
      </c>
      <c r="T767" s="30" t="s">
        <v>327</v>
      </c>
      <c r="U767" s="115">
        <v>0.35</v>
      </c>
      <c r="V767" s="10">
        <f>VLOOKUP(D767,A!B$1:T$1125,17,FALSE)</f>
        <v>0</v>
      </c>
      <c r="W767" s="10">
        <f t="shared" si="122"/>
        <v>0</v>
      </c>
      <c r="X767" s="228"/>
      <c r="Y767" s="228"/>
      <c r="Z767" s="228"/>
      <c r="AA767" s="228"/>
    </row>
    <row r="768" spans="1:252" s="3" customFormat="1" ht="13.5" hidden="1" customHeight="1" x14ac:dyDescent="0.25">
      <c r="A768" t="str">
        <f>IF(R768=0,"",COUNTIF(A$13:A767,"&gt;0")+1)</f>
        <v/>
      </c>
      <c r="B768" s="4"/>
      <c r="C768" s="5" t="s">
        <v>44</v>
      </c>
      <c r="D768" s="7" t="s">
        <v>529</v>
      </c>
      <c r="E768" s="31"/>
      <c r="F768" s="31"/>
      <c r="G768" s="6" t="s">
        <v>530</v>
      </c>
      <c r="H768" s="7">
        <f>VLOOKUP(D768,A!B$1:L$1126,8,FALSE)</f>
        <v>0</v>
      </c>
      <c r="I768" s="31">
        <f>VLOOKUP(D768,A!B$1:L$1126,8,FALSE)</f>
        <v>0</v>
      </c>
      <c r="J768" s="92"/>
      <c r="K768" s="63" t="str">
        <f>VLOOKUP(D768,A!B$1:P$1126,11,FALSE)</f>
        <v/>
      </c>
      <c r="L768" s="162"/>
      <c r="M768" s="41" t="s">
        <v>531</v>
      </c>
      <c r="N768" s="94">
        <f>VLOOKUP(D768,A!B$1:L$1125,7,FALSE)</f>
        <v>0</v>
      </c>
      <c r="O768" s="94">
        <f>VLOOKUP(D768,A!B$1:P$1126,9,FALSE)</f>
        <v>0</v>
      </c>
      <c r="P768" s="10">
        <v>6</v>
      </c>
      <c r="Q768" s="151">
        <v>5.2</v>
      </c>
      <c r="R768" s="10">
        <f t="shared" si="120"/>
        <v>0</v>
      </c>
      <c r="S768" s="10">
        <f t="shared" si="121"/>
        <v>0</v>
      </c>
      <c r="T768" s="30" t="s">
        <v>327</v>
      </c>
      <c r="U768" s="115">
        <v>0.35</v>
      </c>
      <c r="V768" s="10">
        <f>VLOOKUP(D768,A!B$1:T$1125,17,FALSE)</f>
        <v>0</v>
      </c>
      <c r="W768" s="10">
        <f t="shared" si="122"/>
        <v>0</v>
      </c>
      <c r="X768" s="29"/>
      <c r="Y768" s="29"/>
      <c r="Z768" s="29"/>
      <c r="AA768" s="29"/>
    </row>
    <row r="769" spans="1:27" s="3" customFormat="1" ht="13.5" hidden="1" customHeight="1" x14ac:dyDescent="0.25">
      <c r="A769" t="str">
        <f>IF(R769=0,"",COUNTIF(A$13:A768,"&gt;0")+1)</f>
        <v/>
      </c>
      <c r="B769" s="4"/>
      <c r="C769" s="5" t="s">
        <v>44</v>
      </c>
      <c r="D769" s="7" t="s">
        <v>532</v>
      </c>
      <c r="E769" s="31"/>
      <c r="F769" s="31"/>
      <c r="G769" s="6" t="s">
        <v>527</v>
      </c>
      <c r="H769" s="7">
        <f>VLOOKUP(D769,A!B$1:L$1126,8,FALSE)</f>
        <v>0</v>
      </c>
      <c r="I769" s="31">
        <f>VLOOKUP(D769,A!B$1:L$1126,8,FALSE)</f>
        <v>0</v>
      </c>
      <c r="J769" s="92"/>
      <c r="K769" s="63" t="str">
        <f>VLOOKUP(D769,A!B$1:P$1126,11,FALSE)</f>
        <v/>
      </c>
      <c r="L769" s="162"/>
      <c r="M769" s="41" t="s">
        <v>533</v>
      </c>
      <c r="N769" s="94">
        <f>VLOOKUP(D769,A!B$1:L$1125,7,FALSE)</f>
        <v>0</v>
      </c>
      <c r="O769" s="94">
        <f>VLOOKUP(D769,A!B$1:P$1126,9,FALSE)</f>
        <v>0</v>
      </c>
      <c r="P769" s="10">
        <v>6</v>
      </c>
      <c r="Q769" s="151">
        <v>5.2</v>
      </c>
      <c r="R769" s="10">
        <f t="shared" si="120"/>
        <v>0</v>
      </c>
      <c r="S769" s="10">
        <f t="shared" si="121"/>
        <v>0</v>
      </c>
      <c r="T769" s="30" t="s">
        <v>327</v>
      </c>
      <c r="U769" s="115">
        <v>0.35</v>
      </c>
      <c r="V769" s="10">
        <f>VLOOKUP(D769,A!B$1:T$1125,17,FALSE)</f>
        <v>0</v>
      </c>
      <c r="W769" s="10">
        <f t="shared" si="122"/>
        <v>0</v>
      </c>
      <c r="X769" s="29"/>
      <c r="Y769" s="29"/>
      <c r="Z769" s="29"/>
      <c r="AA769" s="29"/>
    </row>
    <row r="770" spans="1:27" s="3" customFormat="1" ht="13.5" hidden="1" customHeight="1" x14ac:dyDescent="0.25">
      <c r="A770" t="str">
        <f>IF(R770=0,"",COUNTIF(A$13:A769,"&gt;0")+1)</f>
        <v/>
      </c>
      <c r="B770" s="4"/>
      <c r="C770" s="5" t="s">
        <v>44</v>
      </c>
      <c r="D770" s="7" t="s">
        <v>523</v>
      </c>
      <c r="E770" s="31"/>
      <c r="F770" s="31"/>
      <c r="G770" s="6" t="s">
        <v>524</v>
      </c>
      <c r="H770" s="7">
        <f>VLOOKUP(D770,A!B$1:L$1126,8,FALSE)</f>
        <v>0</v>
      </c>
      <c r="I770" s="31">
        <f>VLOOKUP(D770,A!B$1:L$1126,8,FALSE)</f>
        <v>0</v>
      </c>
      <c r="J770" s="92"/>
      <c r="K770" s="63" t="str">
        <f>VLOOKUP(D770,A!B$1:P$1126,11,FALSE)</f>
        <v/>
      </c>
      <c r="L770" s="162"/>
      <c r="M770" s="41" t="s">
        <v>525</v>
      </c>
      <c r="N770" s="94">
        <f>VLOOKUP(D770,A!B$1:L$1125,7,FALSE)</f>
        <v>0</v>
      </c>
      <c r="O770" s="94">
        <f>VLOOKUP(D770,A!B$1:P$1126,9,FALSE)</f>
        <v>0</v>
      </c>
      <c r="P770" s="10">
        <v>6</v>
      </c>
      <c r="Q770" s="151">
        <v>5.2</v>
      </c>
      <c r="R770" s="10">
        <f t="shared" si="120"/>
        <v>0</v>
      </c>
      <c r="S770" s="10">
        <f t="shared" si="121"/>
        <v>0</v>
      </c>
      <c r="T770" s="30" t="s">
        <v>327</v>
      </c>
      <c r="U770" s="115">
        <v>0.35</v>
      </c>
      <c r="V770" s="10">
        <f>VLOOKUP(D770,A!B$1:T$1125,17,FALSE)</f>
        <v>0</v>
      </c>
      <c r="W770" s="10">
        <f t="shared" si="122"/>
        <v>0</v>
      </c>
      <c r="X770" s="228"/>
      <c r="Y770" s="29"/>
      <c r="Z770" s="29"/>
      <c r="AA770" s="29"/>
    </row>
    <row r="771" spans="1:27" s="3" customFormat="1" ht="13.5" hidden="1" customHeight="1" x14ac:dyDescent="0.25">
      <c r="A771" t="str">
        <f>IF(R771=0,"",COUNTIF(A$13:A770,"&gt;0")+1)</f>
        <v/>
      </c>
      <c r="B771" s="4"/>
      <c r="C771" s="5" t="s">
        <v>44</v>
      </c>
      <c r="D771" s="7" t="s">
        <v>534</v>
      </c>
      <c r="E771" s="31"/>
      <c r="F771" s="31"/>
      <c r="G771" s="6" t="s">
        <v>535</v>
      </c>
      <c r="H771" s="7">
        <f>VLOOKUP(D771,A!B$1:L$1126,8,FALSE)</f>
        <v>0</v>
      </c>
      <c r="I771" s="31">
        <f>VLOOKUP(D771,A!B$1:L$1126,8,FALSE)</f>
        <v>0</v>
      </c>
      <c r="J771" s="92"/>
      <c r="K771" s="63" t="str">
        <f>VLOOKUP(D771,A!B$1:P$1126,11,FALSE)</f>
        <v/>
      </c>
      <c r="L771" s="162"/>
      <c r="M771" s="41" t="s">
        <v>536</v>
      </c>
      <c r="N771" s="94">
        <f>VLOOKUP(D771,A!B$1:L$1125,7,FALSE)</f>
        <v>0</v>
      </c>
      <c r="O771" s="94">
        <f>VLOOKUP(D771,A!B$1:P$1126,9,FALSE)</f>
        <v>0</v>
      </c>
      <c r="P771" s="10">
        <v>6</v>
      </c>
      <c r="Q771" s="151">
        <v>5.2</v>
      </c>
      <c r="R771" s="10">
        <f t="shared" si="120"/>
        <v>0</v>
      </c>
      <c r="S771" s="10">
        <f t="shared" si="121"/>
        <v>0</v>
      </c>
      <c r="T771" s="30" t="s">
        <v>327</v>
      </c>
      <c r="U771" s="115">
        <v>0.35</v>
      </c>
      <c r="V771" s="10">
        <f>VLOOKUP(D771,A!B$1:T$1125,17,FALSE)</f>
        <v>0</v>
      </c>
      <c r="W771" s="10">
        <f t="shared" si="122"/>
        <v>0</v>
      </c>
      <c r="X771" s="29"/>
      <c r="Y771" s="29"/>
      <c r="Z771" s="29"/>
      <c r="AA771" s="29"/>
    </row>
    <row r="772" spans="1:27" s="3" customFormat="1" ht="13.5" hidden="1" customHeight="1" x14ac:dyDescent="0.25">
      <c r="A772" t="str">
        <f>IF(R772=0,"",COUNTIF(A$13:A771,"&gt;0")+1)</f>
        <v/>
      </c>
      <c r="B772" s="4"/>
      <c r="C772" s="5" t="s">
        <v>44</v>
      </c>
      <c r="D772" s="7" t="s">
        <v>537</v>
      </c>
      <c r="E772" s="31"/>
      <c r="F772" s="31"/>
      <c r="G772" s="6" t="s">
        <v>538</v>
      </c>
      <c r="H772" s="7">
        <f>VLOOKUP(D772,A!B$1:L$1126,8,FALSE)</f>
        <v>0</v>
      </c>
      <c r="I772" s="31">
        <f>VLOOKUP(D772,A!B$1:L$1126,8,FALSE)</f>
        <v>0</v>
      </c>
      <c r="J772" s="92"/>
      <c r="K772" s="63" t="str">
        <f>VLOOKUP(D772,A!B$1:P$1126,11,FALSE)</f>
        <v/>
      </c>
      <c r="L772" s="162"/>
      <c r="M772" s="43" t="s">
        <v>539</v>
      </c>
      <c r="N772" s="94">
        <f>VLOOKUP(D772,A!B$1:L$1125,7,FALSE)</f>
        <v>0</v>
      </c>
      <c r="O772" s="94">
        <f>VLOOKUP(D772,A!B$1:P$1126,9,FALSE)</f>
        <v>0</v>
      </c>
      <c r="P772" s="10">
        <v>6</v>
      </c>
      <c r="Q772" s="151">
        <v>5.2</v>
      </c>
      <c r="R772" s="10">
        <f t="shared" si="120"/>
        <v>0</v>
      </c>
      <c r="S772" s="10">
        <f t="shared" si="121"/>
        <v>0</v>
      </c>
      <c r="T772" s="30" t="s">
        <v>327</v>
      </c>
      <c r="U772" s="115">
        <v>0.35</v>
      </c>
      <c r="V772" s="10">
        <f>VLOOKUP(D772,A!B$1:T$1125,17,FALSE)</f>
        <v>0</v>
      </c>
      <c r="W772" s="10">
        <f t="shared" si="122"/>
        <v>0</v>
      </c>
      <c r="X772" s="29"/>
      <c r="Y772" s="29"/>
      <c r="Z772" s="29"/>
      <c r="AA772" s="29"/>
    </row>
    <row r="773" spans="1:27" s="3" customFormat="1" ht="13.5" hidden="1" customHeight="1" x14ac:dyDescent="0.25">
      <c r="A773" t="str">
        <f>IF(R773=0,"",COUNTIF(A$13:A772,"&gt;0")+1)</f>
        <v/>
      </c>
      <c r="B773" s="4"/>
      <c r="C773" s="5" t="s">
        <v>44</v>
      </c>
      <c r="D773" s="7" t="s">
        <v>540</v>
      </c>
      <c r="E773" s="31"/>
      <c r="F773" s="31"/>
      <c r="G773" s="6" t="s">
        <v>541</v>
      </c>
      <c r="H773" s="7">
        <f>VLOOKUP(D773,A!B$1:L$1126,8,FALSE)</f>
        <v>0</v>
      </c>
      <c r="I773" s="31">
        <f>VLOOKUP(D773,A!B$1:L$1126,8,FALSE)</f>
        <v>0</v>
      </c>
      <c r="J773" s="92"/>
      <c r="K773" s="63" t="str">
        <f>VLOOKUP(D773,A!B$1:P$1126,11,FALSE)</f>
        <v/>
      </c>
      <c r="L773" s="162"/>
      <c r="M773" s="43" t="s">
        <v>542</v>
      </c>
      <c r="N773" s="94">
        <f>VLOOKUP(D773,A!B$1:L$1125,7,FALSE)</f>
        <v>0</v>
      </c>
      <c r="O773" s="94">
        <f>VLOOKUP(D773,A!B$1:P$1126,9,FALSE)</f>
        <v>0</v>
      </c>
      <c r="P773" s="10">
        <v>6</v>
      </c>
      <c r="Q773" s="151">
        <v>5.2</v>
      </c>
      <c r="R773" s="10">
        <f t="shared" si="120"/>
        <v>0</v>
      </c>
      <c r="S773" s="10">
        <f t="shared" si="121"/>
        <v>0</v>
      </c>
      <c r="T773" s="30" t="s">
        <v>327</v>
      </c>
      <c r="U773" s="115">
        <v>0.35</v>
      </c>
      <c r="V773" s="10">
        <f>VLOOKUP(D773,A!B$1:T$1125,17,FALSE)</f>
        <v>0</v>
      </c>
      <c r="W773" s="10">
        <f t="shared" si="122"/>
        <v>0</v>
      </c>
      <c r="X773" s="29"/>
      <c r="Y773" s="29"/>
      <c r="Z773" s="29"/>
      <c r="AA773" s="29"/>
    </row>
    <row r="774" spans="1:27" s="3" customFormat="1" ht="13.5" hidden="1" customHeight="1" x14ac:dyDescent="0.25">
      <c r="A774" t="str">
        <f>IF(R774=0,"",COUNTIF(A$13:A773,"&gt;0")+1)</f>
        <v/>
      </c>
      <c r="B774" s="4"/>
      <c r="C774" s="5" t="s">
        <v>44</v>
      </c>
      <c r="D774" s="7" t="s">
        <v>543</v>
      </c>
      <c r="E774" s="31"/>
      <c r="F774" s="31"/>
      <c r="G774" s="6" t="s">
        <v>237</v>
      </c>
      <c r="H774" s="7">
        <f>VLOOKUP(D774,A!B$1:L$1126,8,FALSE)</f>
        <v>0</v>
      </c>
      <c r="I774" s="31">
        <f>VLOOKUP(D774,A!B$1:L$1126,8,FALSE)</f>
        <v>0</v>
      </c>
      <c r="J774" s="92"/>
      <c r="K774" s="63" t="str">
        <f>VLOOKUP(D774,A!B$1:P$1126,11,FALSE)</f>
        <v/>
      </c>
      <c r="L774" s="162"/>
      <c r="M774" s="43" t="s">
        <v>544</v>
      </c>
      <c r="N774" s="94">
        <f>VLOOKUP(D774,A!B$1:L$1125,7,FALSE)</f>
        <v>0</v>
      </c>
      <c r="O774" s="94">
        <f>VLOOKUP(D774,A!B$1:P$1126,9,FALSE)</f>
        <v>0</v>
      </c>
      <c r="P774" s="10">
        <v>6</v>
      </c>
      <c r="Q774" s="151">
        <v>5.2</v>
      </c>
      <c r="R774" s="10">
        <f t="shared" ref="R774:R802" si="123">B774*P774</f>
        <v>0</v>
      </c>
      <c r="S774" s="10">
        <f t="shared" ref="S774:S802" si="124">R774*Q774</f>
        <v>0</v>
      </c>
      <c r="T774" s="30" t="s">
        <v>327</v>
      </c>
      <c r="U774" s="115">
        <v>0.35</v>
      </c>
      <c r="V774" s="10">
        <f>VLOOKUP(D774,A!B$1:T$1125,17,FALSE)</f>
        <v>0</v>
      </c>
      <c r="W774" s="10">
        <f t="shared" ref="W774:W802" si="125">U774*B774</f>
        <v>0</v>
      </c>
      <c r="X774" s="29"/>
      <c r="Y774" s="29"/>
      <c r="Z774" s="29"/>
      <c r="AA774" s="29"/>
    </row>
    <row r="775" spans="1:27" s="3" customFormat="1" ht="13.5" hidden="1" customHeight="1" x14ac:dyDescent="0.25">
      <c r="A775" t="str">
        <f>IF(R775=0,"",COUNTIF(A$13:A774,"&gt;0")+1)</f>
        <v/>
      </c>
      <c r="B775" s="4"/>
      <c r="C775" s="5" t="s">
        <v>44</v>
      </c>
      <c r="D775" s="7" t="s">
        <v>236</v>
      </c>
      <c r="E775" s="31"/>
      <c r="F775" s="31"/>
      <c r="G775" s="6" t="s">
        <v>237</v>
      </c>
      <c r="H775" s="7">
        <f>VLOOKUP(D775,A!B$1:L$1126,8,FALSE)</f>
        <v>0</v>
      </c>
      <c r="I775" s="31">
        <f>VLOOKUP(D775,A!B$1:L$1126,8,FALSE)</f>
        <v>0</v>
      </c>
      <c r="J775" s="92"/>
      <c r="K775" s="63" t="str">
        <f>VLOOKUP(D775,A!B$1:P$1126,11,FALSE)</f>
        <v/>
      </c>
      <c r="L775" s="162"/>
      <c r="M775" s="43" t="s">
        <v>238</v>
      </c>
      <c r="N775" s="94">
        <f>VLOOKUP(D775,A!B$1:L$1125,7,FALSE)</f>
        <v>0</v>
      </c>
      <c r="O775" s="94">
        <f>VLOOKUP(D775,A!B$1:P$1126,9,FALSE)</f>
        <v>0</v>
      </c>
      <c r="P775" s="10">
        <v>6</v>
      </c>
      <c r="Q775" s="151">
        <v>5.2</v>
      </c>
      <c r="R775" s="10">
        <f t="shared" si="123"/>
        <v>0</v>
      </c>
      <c r="S775" s="10">
        <f t="shared" si="124"/>
        <v>0</v>
      </c>
      <c r="T775" s="30" t="s">
        <v>327</v>
      </c>
      <c r="U775" s="115">
        <v>0.35</v>
      </c>
      <c r="V775" s="10">
        <f>VLOOKUP(D775,A!B$1:T$1125,17,FALSE)</f>
        <v>0</v>
      </c>
      <c r="W775" s="10">
        <f t="shared" si="125"/>
        <v>0</v>
      </c>
      <c r="X775" s="29"/>
      <c r="Y775" s="29"/>
      <c r="Z775" s="29"/>
      <c r="AA775" s="29"/>
    </row>
    <row r="776" spans="1:27" s="3" customFormat="1" ht="13.5" hidden="1" customHeight="1" x14ac:dyDescent="0.25">
      <c r="A776" t="str">
        <f>IF(R776=0,"",COUNTIF(A$13:A775,"&gt;0")+1)</f>
        <v/>
      </c>
      <c r="B776" s="4"/>
      <c r="C776" s="5" t="s">
        <v>44</v>
      </c>
      <c r="D776" s="7" t="s">
        <v>545</v>
      </c>
      <c r="E776" s="31"/>
      <c r="F776" s="31"/>
      <c r="G776" s="6" t="s">
        <v>237</v>
      </c>
      <c r="H776" s="7">
        <f>VLOOKUP(D776,A!B$1:L$1126,8,FALSE)</f>
        <v>0</v>
      </c>
      <c r="I776" s="31">
        <f>VLOOKUP(D776,A!B$1:L$1126,8,FALSE)</f>
        <v>0</v>
      </c>
      <c r="J776" s="92"/>
      <c r="K776" s="63" t="str">
        <f>VLOOKUP(D776,A!B$1:P$1126,11,FALSE)</f>
        <v/>
      </c>
      <c r="L776" s="162"/>
      <c r="M776" s="43" t="s">
        <v>544</v>
      </c>
      <c r="N776" s="94">
        <f>VLOOKUP(D776,A!B$1:L$1125,7,FALSE)</f>
        <v>0</v>
      </c>
      <c r="O776" s="94">
        <f>VLOOKUP(D776,A!B$1:P$1126,9,FALSE)</f>
        <v>0</v>
      </c>
      <c r="P776" s="10">
        <v>6</v>
      </c>
      <c r="Q776" s="151">
        <v>5.2</v>
      </c>
      <c r="R776" s="10">
        <f t="shared" si="123"/>
        <v>0</v>
      </c>
      <c r="S776" s="10">
        <f t="shared" si="124"/>
        <v>0</v>
      </c>
      <c r="T776" s="30" t="s">
        <v>327</v>
      </c>
      <c r="U776" s="115">
        <v>0.35</v>
      </c>
      <c r="V776" s="10">
        <f>VLOOKUP(D776,A!B$1:T$1125,17,FALSE)</f>
        <v>0</v>
      </c>
      <c r="W776" s="10">
        <f t="shared" si="125"/>
        <v>0</v>
      </c>
      <c r="X776" s="29"/>
      <c r="Y776" s="29"/>
      <c r="Z776" s="29"/>
      <c r="AA776" s="29"/>
    </row>
    <row r="777" spans="1:27" s="3" customFormat="1" ht="13.5" hidden="1" customHeight="1" x14ac:dyDescent="0.25">
      <c r="A777" t="str">
        <f>IF(R777=0,"",COUNTIF(A$13:A776,"&gt;0")+1)</f>
        <v/>
      </c>
      <c r="B777" s="4"/>
      <c r="C777" s="5" t="s">
        <v>44</v>
      </c>
      <c r="D777" s="7" t="s">
        <v>546</v>
      </c>
      <c r="E777" s="31"/>
      <c r="F777" s="31"/>
      <c r="G777" s="6" t="s">
        <v>547</v>
      </c>
      <c r="H777" s="7">
        <f>VLOOKUP(D777,A!B$1:L$1126,8,FALSE)</f>
        <v>0</v>
      </c>
      <c r="I777" s="31">
        <f>VLOOKUP(D777,A!B$1:L$1126,8,FALSE)</f>
        <v>0</v>
      </c>
      <c r="J777" s="92"/>
      <c r="K777" s="63" t="str">
        <f>VLOOKUP(D777,A!B$1:P$1126,11,FALSE)</f>
        <v/>
      </c>
      <c r="L777" s="162"/>
      <c r="M777" s="43" t="s">
        <v>548</v>
      </c>
      <c r="N777" s="94">
        <f>VLOOKUP(D777,A!B$1:L$1125,7,FALSE)</f>
        <v>0</v>
      </c>
      <c r="O777" s="94">
        <f>VLOOKUP(D777,A!B$1:P$1126,9,FALSE)</f>
        <v>0</v>
      </c>
      <c r="P777" s="10">
        <v>6</v>
      </c>
      <c r="Q777" s="151">
        <v>5.2</v>
      </c>
      <c r="R777" s="10">
        <f t="shared" si="123"/>
        <v>0</v>
      </c>
      <c r="S777" s="10">
        <f t="shared" si="124"/>
        <v>0</v>
      </c>
      <c r="T777" s="30" t="s">
        <v>327</v>
      </c>
      <c r="U777" s="115">
        <v>0.35</v>
      </c>
      <c r="V777" s="10">
        <f>VLOOKUP(D777,A!B$1:T$1125,17,FALSE)</f>
        <v>0</v>
      </c>
      <c r="W777" s="10">
        <f t="shared" si="125"/>
        <v>0</v>
      </c>
      <c r="X777" s="29"/>
      <c r="Y777" s="29"/>
      <c r="Z777" s="29"/>
      <c r="AA777" s="29"/>
    </row>
    <row r="778" spans="1:27" s="3" customFormat="1" ht="13.5" hidden="1" customHeight="1" x14ac:dyDescent="0.25">
      <c r="A778" t="str">
        <f>IF(R778=0,"",COUNTIF(A$13:A777,"&gt;0")+1)</f>
        <v/>
      </c>
      <c r="B778" s="4"/>
      <c r="C778" s="5" t="s">
        <v>44</v>
      </c>
      <c r="D778" s="7" t="s">
        <v>549</v>
      </c>
      <c r="E778" s="31"/>
      <c r="F778" s="31"/>
      <c r="G778" s="6" t="s">
        <v>550</v>
      </c>
      <c r="H778" s="7">
        <f>VLOOKUP(D778,A!B$1:L$1126,8,FALSE)</f>
        <v>0</v>
      </c>
      <c r="I778" s="31">
        <f>VLOOKUP(D778,A!B$1:L$1126,8,FALSE)</f>
        <v>0</v>
      </c>
      <c r="J778" s="92"/>
      <c r="K778" s="63" t="str">
        <f>VLOOKUP(D778,A!B$1:P$1126,11,FALSE)</f>
        <v/>
      </c>
      <c r="L778" s="162"/>
      <c r="M778" s="41" t="s">
        <v>551</v>
      </c>
      <c r="N778" s="94">
        <f>VLOOKUP(D778,A!B$1:L$1125,7,FALSE)</f>
        <v>0</v>
      </c>
      <c r="O778" s="94">
        <f>VLOOKUP(D778,A!B$1:P$1126,9,FALSE)</f>
        <v>0</v>
      </c>
      <c r="P778" s="10">
        <v>6</v>
      </c>
      <c r="Q778" s="151">
        <v>5.2</v>
      </c>
      <c r="R778" s="10">
        <f t="shared" si="123"/>
        <v>0</v>
      </c>
      <c r="S778" s="10">
        <f t="shared" si="124"/>
        <v>0</v>
      </c>
      <c r="T778" s="30" t="s">
        <v>327</v>
      </c>
      <c r="U778" s="115">
        <v>0.35</v>
      </c>
      <c r="V778" s="10">
        <f>VLOOKUP(D778,A!B$1:T$1125,17,FALSE)</f>
        <v>0</v>
      </c>
      <c r="W778" s="10">
        <f t="shared" si="125"/>
        <v>0</v>
      </c>
      <c r="X778" s="29"/>
      <c r="Y778" s="29"/>
      <c r="Z778" s="29"/>
      <c r="AA778" s="29"/>
    </row>
    <row r="779" spans="1:27" s="3" customFormat="1" ht="13.5" hidden="1" customHeight="1" x14ac:dyDescent="0.25">
      <c r="A779" t="str">
        <f>IF(R779=0,"",COUNTIF(A$13:A778,"&gt;0")+1)</f>
        <v/>
      </c>
      <c r="B779" s="4"/>
      <c r="C779" s="5" t="s">
        <v>44</v>
      </c>
      <c r="D779" s="7" t="s">
        <v>552</v>
      </c>
      <c r="E779" s="31"/>
      <c r="F779" s="31"/>
      <c r="G779" s="6" t="s">
        <v>553</v>
      </c>
      <c r="H779" s="7">
        <f>VLOOKUP(D779,A!B$1:L$1126,8,FALSE)</f>
        <v>0</v>
      </c>
      <c r="I779" s="31">
        <f>VLOOKUP(D779,A!B$1:L$1126,8,FALSE)</f>
        <v>0</v>
      </c>
      <c r="J779" s="92"/>
      <c r="K779" s="63" t="str">
        <f>VLOOKUP(D779,A!B$1:P$1126,11,FALSE)</f>
        <v/>
      </c>
      <c r="L779" s="162"/>
      <c r="M779" s="43" t="s">
        <v>554</v>
      </c>
      <c r="N779" s="94">
        <f>VLOOKUP(D779,A!B$1:L$1125,7,FALSE)</f>
        <v>0</v>
      </c>
      <c r="O779" s="94">
        <f>VLOOKUP(D779,A!B$1:P$1126,9,FALSE)</f>
        <v>0</v>
      </c>
      <c r="P779" s="10">
        <v>6</v>
      </c>
      <c r="Q779" s="151">
        <v>5.2</v>
      </c>
      <c r="R779" s="10">
        <f t="shared" si="123"/>
        <v>0</v>
      </c>
      <c r="S779" s="10">
        <f t="shared" si="124"/>
        <v>0</v>
      </c>
      <c r="T779" s="30" t="s">
        <v>327</v>
      </c>
      <c r="U779" s="115">
        <v>0.35</v>
      </c>
      <c r="V779" s="10">
        <f>VLOOKUP(D779,A!B$1:T$1125,17,FALSE)</f>
        <v>0</v>
      </c>
      <c r="W779" s="10">
        <f t="shared" si="125"/>
        <v>0</v>
      </c>
      <c r="X779" s="29"/>
      <c r="Y779" s="29"/>
      <c r="Z779" s="29"/>
      <c r="AA779" s="29"/>
    </row>
    <row r="780" spans="1:27" s="3" customFormat="1" ht="13.5" hidden="1" customHeight="1" x14ac:dyDescent="0.25">
      <c r="A780" t="str">
        <f>IF(R780=0,"",COUNTIF(A$13:A779,"&gt;0")+1)</f>
        <v/>
      </c>
      <c r="B780" s="4"/>
      <c r="C780" s="5" t="s">
        <v>44</v>
      </c>
      <c r="D780" s="7" t="s">
        <v>555</v>
      </c>
      <c r="E780" s="31"/>
      <c r="F780" s="31"/>
      <c r="G780" s="6" t="s">
        <v>556</v>
      </c>
      <c r="H780" s="7">
        <f>VLOOKUP(D780,A!B$1:L$1126,8,FALSE)</f>
        <v>0</v>
      </c>
      <c r="I780" s="31">
        <f>VLOOKUP(D780,A!B$1:L$1126,8,FALSE)</f>
        <v>0</v>
      </c>
      <c r="J780" s="92"/>
      <c r="K780" s="63" t="str">
        <f>VLOOKUP(D780,A!B$1:P$1126,11,FALSE)</f>
        <v/>
      </c>
      <c r="L780" s="162"/>
      <c r="M780" s="43" t="s">
        <v>557</v>
      </c>
      <c r="N780" s="94">
        <f>VLOOKUP(D780,A!B$1:L$1125,7,FALSE)</f>
        <v>0</v>
      </c>
      <c r="O780" s="94">
        <f>VLOOKUP(D780,A!B$1:P$1126,9,FALSE)</f>
        <v>0</v>
      </c>
      <c r="P780" s="10">
        <v>6</v>
      </c>
      <c r="Q780" s="151">
        <v>5.2</v>
      </c>
      <c r="R780" s="10">
        <f t="shared" si="123"/>
        <v>0</v>
      </c>
      <c r="S780" s="10">
        <f t="shared" si="124"/>
        <v>0</v>
      </c>
      <c r="T780" s="30" t="s">
        <v>327</v>
      </c>
      <c r="U780" s="115">
        <v>0.35</v>
      </c>
      <c r="V780" s="10">
        <f>VLOOKUP(D780,A!B$1:T$1125,17,FALSE)</f>
        <v>0</v>
      </c>
      <c r="W780" s="10">
        <f t="shared" si="125"/>
        <v>0</v>
      </c>
      <c r="X780" s="29"/>
      <c r="Y780" s="29"/>
      <c r="Z780" s="29"/>
      <c r="AA780" s="29"/>
    </row>
    <row r="781" spans="1:27" s="3" customFormat="1" ht="13.5" hidden="1" customHeight="1" x14ac:dyDescent="0.25">
      <c r="A781" t="str">
        <f>IF(R781=0,"",COUNTIF(A$13:A780,"&gt;0")+1)</f>
        <v/>
      </c>
      <c r="B781" s="4"/>
      <c r="C781" s="5" t="s">
        <v>44</v>
      </c>
      <c r="D781" s="7" t="s">
        <v>558</v>
      </c>
      <c r="E781" s="31"/>
      <c r="F781" s="31"/>
      <c r="G781" s="6" t="s">
        <v>559</v>
      </c>
      <c r="H781" s="7">
        <f>VLOOKUP(D781,A!B$1:L$1126,8,FALSE)</f>
        <v>0</v>
      </c>
      <c r="I781" s="31">
        <f>VLOOKUP(D781,A!B$1:L$1126,8,FALSE)</f>
        <v>0</v>
      </c>
      <c r="J781" s="92"/>
      <c r="K781" s="63" t="str">
        <f>VLOOKUP(D781,A!B$1:P$1126,11,FALSE)</f>
        <v/>
      </c>
      <c r="L781" s="162"/>
      <c r="M781" s="43" t="s">
        <v>560</v>
      </c>
      <c r="N781" s="94">
        <f>VLOOKUP(D781,A!B$1:L$1125,7,FALSE)</f>
        <v>0</v>
      </c>
      <c r="O781" s="94">
        <f>VLOOKUP(D781,A!B$1:P$1126,9,FALSE)</f>
        <v>0</v>
      </c>
      <c r="P781" s="10">
        <v>6</v>
      </c>
      <c r="Q781" s="151">
        <v>5.2</v>
      </c>
      <c r="R781" s="10">
        <f t="shared" si="123"/>
        <v>0</v>
      </c>
      <c r="S781" s="10">
        <f t="shared" si="124"/>
        <v>0</v>
      </c>
      <c r="T781" s="30" t="s">
        <v>327</v>
      </c>
      <c r="U781" s="115">
        <v>0.35</v>
      </c>
      <c r="V781" s="10">
        <f>VLOOKUP(D781,A!B$1:T$1125,17,FALSE)</f>
        <v>0</v>
      </c>
      <c r="W781" s="10">
        <f t="shared" si="125"/>
        <v>0</v>
      </c>
      <c r="X781" s="29"/>
      <c r="Y781" s="29"/>
      <c r="Z781" s="29"/>
      <c r="AA781" s="29"/>
    </row>
    <row r="782" spans="1:27" s="3" customFormat="1" ht="13.5" hidden="1" customHeight="1" x14ac:dyDescent="0.25">
      <c r="A782" t="str">
        <f>IF(R782=0,"",COUNTIF(A$13:A781,"&gt;0")+1)</f>
        <v/>
      </c>
      <c r="B782" s="4"/>
      <c r="C782" s="5" t="s">
        <v>44</v>
      </c>
      <c r="D782" s="172" t="s">
        <v>561</v>
      </c>
      <c r="E782" s="173"/>
      <c r="F782" s="173"/>
      <c r="G782" s="6" t="s">
        <v>562</v>
      </c>
      <c r="H782" s="7">
        <f>VLOOKUP(D782,A!B$1:L$1126,8,FALSE)</f>
        <v>0</v>
      </c>
      <c r="I782" s="31">
        <f>VLOOKUP(D782,A!B$1:L$1126,8,FALSE)</f>
        <v>0</v>
      </c>
      <c r="J782" s="92"/>
      <c r="K782" s="63" t="str">
        <f>VLOOKUP(D782,A!B$1:P$1126,11,FALSE)</f>
        <v/>
      </c>
      <c r="L782" s="162"/>
      <c r="M782" s="41" t="s">
        <v>563</v>
      </c>
      <c r="N782" s="94">
        <f>VLOOKUP(D782,A!B$1:L$1125,7,FALSE)</f>
        <v>0</v>
      </c>
      <c r="O782" s="94">
        <f>VLOOKUP(D782,A!B$1:P$1126,9,FALSE)</f>
        <v>0</v>
      </c>
      <c r="P782" s="10">
        <v>6</v>
      </c>
      <c r="Q782" s="151">
        <v>5.2</v>
      </c>
      <c r="R782" s="10">
        <f t="shared" si="123"/>
        <v>0</v>
      </c>
      <c r="S782" s="10">
        <f t="shared" si="124"/>
        <v>0</v>
      </c>
      <c r="T782" s="30" t="s">
        <v>327</v>
      </c>
      <c r="U782" s="115">
        <v>0.35</v>
      </c>
      <c r="V782" s="10">
        <f>VLOOKUP(D782,A!B$1:T$1125,17,FALSE)</f>
        <v>0</v>
      </c>
      <c r="W782" s="10">
        <f t="shared" si="125"/>
        <v>0</v>
      </c>
      <c r="X782" s="29"/>
      <c r="Y782" s="29"/>
      <c r="Z782" s="29"/>
      <c r="AA782" s="29"/>
    </row>
    <row r="783" spans="1:27" s="3" customFormat="1" ht="13.5" hidden="1" customHeight="1" x14ac:dyDescent="0.25">
      <c r="A783" t="str">
        <f>IF(R783=0,"",COUNTIF(A$13:A782,"&gt;0")+1)</f>
        <v/>
      </c>
      <c r="B783" s="4"/>
      <c r="C783" s="5" t="s">
        <v>44</v>
      </c>
      <c r="D783" s="7" t="s">
        <v>564</v>
      </c>
      <c r="E783" s="31"/>
      <c r="F783" s="31"/>
      <c r="G783" s="6" t="s">
        <v>565</v>
      </c>
      <c r="H783" s="7">
        <f>VLOOKUP(D783,A!B$1:L$1126,8,FALSE)</f>
        <v>0</v>
      </c>
      <c r="I783" s="31">
        <f>VLOOKUP(D783,A!B$1:L$1126,8,FALSE)</f>
        <v>0</v>
      </c>
      <c r="J783" s="92"/>
      <c r="K783" s="63" t="str">
        <f>VLOOKUP(D783,A!B$1:P$1126,11,FALSE)</f>
        <v/>
      </c>
      <c r="L783" s="162"/>
      <c r="M783" s="42" t="s">
        <v>566</v>
      </c>
      <c r="N783" s="94">
        <f>VLOOKUP(D783,A!B$1:L$1125,7,FALSE)</f>
        <v>0</v>
      </c>
      <c r="O783" s="94">
        <f>VLOOKUP(D783,A!B$1:P$1126,9,FALSE)</f>
        <v>0</v>
      </c>
      <c r="P783" s="10">
        <v>6</v>
      </c>
      <c r="Q783" s="151">
        <v>5.2</v>
      </c>
      <c r="R783" s="10">
        <f t="shared" si="123"/>
        <v>0</v>
      </c>
      <c r="S783" s="10">
        <f t="shared" si="124"/>
        <v>0</v>
      </c>
      <c r="T783" s="30" t="s">
        <v>327</v>
      </c>
      <c r="U783" s="115">
        <v>0.35</v>
      </c>
      <c r="V783" s="10">
        <f>VLOOKUP(D783,A!B$1:T$1125,17,FALSE)</f>
        <v>0</v>
      </c>
      <c r="W783" s="10">
        <f t="shared" si="125"/>
        <v>0</v>
      </c>
      <c r="X783" s="29"/>
      <c r="Y783" s="29"/>
      <c r="Z783" s="29"/>
      <c r="AA783" s="29"/>
    </row>
    <row r="784" spans="1:27" s="3" customFormat="1" ht="13.5" hidden="1" customHeight="1" x14ac:dyDescent="0.25">
      <c r="A784" t="str">
        <f>IF(R784=0,"",COUNTIF(A$13:A783,"&gt;0")+1)</f>
        <v/>
      </c>
      <c r="B784" s="4"/>
      <c r="C784" s="5" t="s">
        <v>44</v>
      </c>
      <c r="D784" s="7" t="s">
        <v>567</v>
      </c>
      <c r="E784" s="31"/>
      <c r="F784" s="31"/>
      <c r="G784" s="6" t="s">
        <v>568</v>
      </c>
      <c r="H784" s="7">
        <f>VLOOKUP(D784,A!B$1:L$1126,8,FALSE)</f>
        <v>0</v>
      </c>
      <c r="I784" s="31">
        <f>VLOOKUP(D784,A!B$1:L$1126,8,FALSE)</f>
        <v>0</v>
      </c>
      <c r="J784" s="92"/>
      <c r="K784" s="63" t="str">
        <f>VLOOKUP(D784,A!B$1:P$1126,11,FALSE)</f>
        <v/>
      </c>
      <c r="L784" s="162"/>
      <c r="M784" s="42" t="s">
        <v>569</v>
      </c>
      <c r="N784" s="94">
        <f>VLOOKUP(D784,A!B$1:L$1125,7,FALSE)</f>
        <v>0</v>
      </c>
      <c r="O784" s="94">
        <f>VLOOKUP(D784,A!B$1:P$1126,9,FALSE)</f>
        <v>0</v>
      </c>
      <c r="P784" s="10">
        <v>6</v>
      </c>
      <c r="Q784" s="151">
        <v>5.2</v>
      </c>
      <c r="R784" s="10">
        <f t="shared" si="123"/>
        <v>0</v>
      </c>
      <c r="S784" s="10">
        <f t="shared" si="124"/>
        <v>0</v>
      </c>
      <c r="T784" s="30" t="s">
        <v>327</v>
      </c>
      <c r="U784" s="115">
        <v>0.35</v>
      </c>
      <c r="V784" s="10">
        <f>VLOOKUP(D784,A!B$1:T$1125,17,FALSE)</f>
        <v>0</v>
      </c>
      <c r="W784" s="10">
        <f t="shared" si="125"/>
        <v>0</v>
      </c>
      <c r="X784" s="29"/>
      <c r="Y784" s="29"/>
      <c r="Z784" s="29"/>
      <c r="AA784" s="29"/>
    </row>
    <row r="785" spans="1:27" s="3" customFormat="1" ht="13.5" hidden="1" customHeight="1" x14ac:dyDescent="0.25">
      <c r="A785" t="str">
        <f>IF(R785=0,"",COUNTIF(A$13:A784,"&gt;0")+1)</f>
        <v/>
      </c>
      <c r="B785" s="4"/>
      <c r="C785" s="5" t="s">
        <v>44</v>
      </c>
      <c r="D785" s="7" t="s">
        <v>570</v>
      </c>
      <c r="E785" s="31"/>
      <c r="F785" s="31"/>
      <c r="G785" s="6" t="s">
        <v>571</v>
      </c>
      <c r="H785" s="7">
        <f>VLOOKUP(D785,A!B$1:L$1126,8,FALSE)</f>
        <v>0</v>
      </c>
      <c r="I785" s="31">
        <f>VLOOKUP(D785,A!B$1:L$1126,8,FALSE)</f>
        <v>0</v>
      </c>
      <c r="J785" s="92"/>
      <c r="K785" s="63" t="str">
        <f>VLOOKUP(D785,A!B$1:P$1126,11,FALSE)</f>
        <v/>
      </c>
      <c r="L785" s="162"/>
      <c r="M785" s="41" t="s">
        <v>572</v>
      </c>
      <c r="N785" s="94">
        <f>VLOOKUP(D785,A!B$1:L$1125,7,FALSE)</f>
        <v>0</v>
      </c>
      <c r="O785" s="94">
        <f>VLOOKUP(D785,A!B$1:P$1126,9,FALSE)</f>
        <v>0</v>
      </c>
      <c r="P785" s="10">
        <v>6</v>
      </c>
      <c r="Q785" s="151">
        <v>5.2</v>
      </c>
      <c r="R785" s="10">
        <f t="shared" si="123"/>
        <v>0</v>
      </c>
      <c r="S785" s="10">
        <f t="shared" si="124"/>
        <v>0</v>
      </c>
      <c r="T785" s="30" t="s">
        <v>327</v>
      </c>
      <c r="U785" s="115">
        <v>0.35</v>
      </c>
      <c r="V785" s="10">
        <f>VLOOKUP(D785,A!B$1:T$1125,17,FALSE)</f>
        <v>0</v>
      </c>
      <c r="W785" s="10">
        <f t="shared" si="125"/>
        <v>0</v>
      </c>
      <c r="X785" s="29"/>
      <c r="Y785" s="29"/>
      <c r="Z785" s="29"/>
      <c r="AA785" s="29"/>
    </row>
    <row r="786" spans="1:27" s="3" customFormat="1" ht="13.5" hidden="1" customHeight="1" x14ac:dyDescent="0.25">
      <c r="A786" t="str">
        <f>IF(R786=0,"",COUNTIF(A$13:A785,"&gt;0")+1)</f>
        <v/>
      </c>
      <c r="B786" s="4"/>
      <c r="C786" s="5" t="s">
        <v>44</v>
      </c>
      <c r="D786" s="7" t="s">
        <v>573</v>
      </c>
      <c r="E786" s="31"/>
      <c r="F786" s="31"/>
      <c r="G786" s="6" t="s">
        <v>265</v>
      </c>
      <c r="H786" s="7">
        <f>VLOOKUP(D786,A!B$1:L$1126,8,FALSE)</f>
        <v>0</v>
      </c>
      <c r="I786" s="31">
        <f>VLOOKUP(D786,A!B$1:L$1126,8,FALSE)</f>
        <v>0</v>
      </c>
      <c r="J786" s="92"/>
      <c r="K786" s="63" t="str">
        <f>VLOOKUP(D786,A!B$1:P$1126,11,FALSE)</f>
        <v/>
      </c>
      <c r="L786" s="162"/>
      <c r="M786" s="41" t="s">
        <v>574</v>
      </c>
      <c r="N786" s="94">
        <f>VLOOKUP(D786,A!B$1:L$1125,7,FALSE)</f>
        <v>0</v>
      </c>
      <c r="O786" s="94">
        <f>VLOOKUP(D786,A!B$1:P$1126,9,FALSE)</f>
        <v>0</v>
      </c>
      <c r="P786" s="10">
        <v>6</v>
      </c>
      <c r="Q786" s="151">
        <v>5.2</v>
      </c>
      <c r="R786" s="10">
        <f t="shared" si="123"/>
        <v>0</v>
      </c>
      <c r="S786" s="10">
        <f t="shared" si="124"/>
        <v>0</v>
      </c>
      <c r="T786" s="30" t="s">
        <v>327</v>
      </c>
      <c r="U786" s="115">
        <v>0.35</v>
      </c>
      <c r="V786" s="10">
        <f>VLOOKUP(D786,A!B$1:T$1125,17,FALSE)</f>
        <v>0</v>
      </c>
      <c r="W786" s="10">
        <f t="shared" si="125"/>
        <v>0</v>
      </c>
      <c r="X786" s="29"/>
      <c r="Y786" s="29"/>
      <c r="Z786" s="29"/>
      <c r="AA786" s="29"/>
    </row>
    <row r="787" spans="1:27" s="3" customFormat="1" ht="13.5" hidden="1" customHeight="1" x14ac:dyDescent="0.25">
      <c r="A787" t="str">
        <f>IF(R787=0,"",COUNTIF(A$13:A786,"&gt;0")+1)</f>
        <v/>
      </c>
      <c r="B787" s="4"/>
      <c r="C787" s="5" t="s">
        <v>44</v>
      </c>
      <c r="D787" s="7" t="s">
        <v>575</v>
      </c>
      <c r="E787" s="31"/>
      <c r="F787" s="31"/>
      <c r="G787" s="6" t="s">
        <v>265</v>
      </c>
      <c r="H787" s="7">
        <f>VLOOKUP(D787,A!B$1:L$1126,8,FALSE)</f>
        <v>0</v>
      </c>
      <c r="I787" s="31">
        <f>VLOOKUP(D787,A!B$1:L$1126,8,FALSE)</f>
        <v>0</v>
      </c>
      <c r="J787" s="92"/>
      <c r="K787" s="63" t="str">
        <f>VLOOKUP(D787,A!B$1:P$1126,11,FALSE)</f>
        <v/>
      </c>
      <c r="L787" s="162"/>
      <c r="M787" s="41" t="s">
        <v>574</v>
      </c>
      <c r="N787" s="94">
        <f>VLOOKUP(D787,A!B$1:L$1125,7,FALSE)</f>
        <v>0</v>
      </c>
      <c r="O787" s="94">
        <f>VLOOKUP(D787,A!B$1:P$1126,9,FALSE)</f>
        <v>0</v>
      </c>
      <c r="P787" s="10">
        <v>6</v>
      </c>
      <c r="Q787" s="151">
        <v>5.2</v>
      </c>
      <c r="R787" s="10">
        <f t="shared" si="123"/>
        <v>0</v>
      </c>
      <c r="S787" s="10">
        <f t="shared" si="124"/>
        <v>0</v>
      </c>
      <c r="T787" s="30" t="s">
        <v>327</v>
      </c>
      <c r="U787" s="115">
        <v>0.35</v>
      </c>
      <c r="V787" s="10">
        <f>VLOOKUP(D787,A!B$1:T$1125,17,FALSE)</f>
        <v>0</v>
      </c>
      <c r="W787" s="10">
        <f t="shared" si="125"/>
        <v>0</v>
      </c>
      <c r="X787" s="29"/>
      <c r="Y787" s="29"/>
      <c r="Z787" s="29"/>
      <c r="AA787" s="29"/>
    </row>
    <row r="788" spans="1:27" s="3" customFormat="1" ht="13.5" hidden="1" customHeight="1" x14ac:dyDescent="0.25">
      <c r="A788" t="str">
        <f>IF(R788=0,"",COUNTIF(A$13:A787,"&gt;0")+1)</f>
        <v/>
      </c>
      <c r="B788" s="4"/>
      <c r="C788" s="5" t="s">
        <v>44</v>
      </c>
      <c r="D788" s="7" t="s">
        <v>576</v>
      </c>
      <c r="E788" s="31"/>
      <c r="F788" s="31"/>
      <c r="G788" s="6" t="s">
        <v>577</v>
      </c>
      <c r="H788" s="7">
        <f>VLOOKUP(D788,A!B$1:L$1126,8,FALSE)</f>
        <v>0</v>
      </c>
      <c r="I788" s="31">
        <f>VLOOKUP(D788,A!B$1:L$1126,8,FALSE)</f>
        <v>0</v>
      </c>
      <c r="J788" s="92"/>
      <c r="K788" s="63" t="str">
        <f>VLOOKUP(D788,A!B$1:P$1126,11,FALSE)</f>
        <v/>
      </c>
      <c r="L788" s="162"/>
      <c r="M788" s="41" t="s">
        <v>578</v>
      </c>
      <c r="N788" s="94">
        <f>VLOOKUP(D788,A!B$1:L$1125,7,FALSE)</f>
        <v>0</v>
      </c>
      <c r="O788" s="94">
        <f>VLOOKUP(D788,A!B$1:P$1126,9,FALSE)</f>
        <v>0</v>
      </c>
      <c r="P788" s="10">
        <v>6</v>
      </c>
      <c r="Q788" s="151">
        <v>5.2</v>
      </c>
      <c r="R788" s="10">
        <f t="shared" si="123"/>
        <v>0</v>
      </c>
      <c r="S788" s="10">
        <f t="shared" si="124"/>
        <v>0</v>
      </c>
      <c r="T788" s="30" t="s">
        <v>327</v>
      </c>
      <c r="U788" s="115">
        <v>0.35</v>
      </c>
      <c r="V788" s="10">
        <f>VLOOKUP(D788,A!B$1:T$1125,17,FALSE)</f>
        <v>0</v>
      </c>
      <c r="W788" s="10">
        <f t="shared" si="125"/>
        <v>0</v>
      </c>
      <c r="X788" s="29"/>
      <c r="Y788" s="29"/>
      <c r="Z788" s="29"/>
      <c r="AA788" s="29"/>
    </row>
    <row r="789" spans="1:27" s="3" customFormat="1" ht="13.5" hidden="1" customHeight="1" x14ac:dyDescent="0.25">
      <c r="A789" t="str">
        <f>IF(R789=0,"",COUNTIF(A$13:A788,"&gt;0")+1)</f>
        <v/>
      </c>
      <c r="B789" s="4"/>
      <c r="C789" s="5" t="s">
        <v>44</v>
      </c>
      <c r="D789" s="7" t="s">
        <v>579</v>
      </c>
      <c r="E789" s="31"/>
      <c r="F789" s="31"/>
      <c r="G789" s="6" t="s">
        <v>580</v>
      </c>
      <c r="H789" s="7">
        <f>VLOOKUP(D789,A!B$1:L$1126,8,FALSE)</f>
        <v>0</v>
      </c>
      <c r="I789" s="31">
        <f>VLOOKUP(D789,A!B$1:L$1126,8,FALSE)</f>
        <v>0</v>
      </c>
      <c r="J789" s="92"/>
      <c r="K789" s="63" t="str">
        <f>VLOOKUP(D789,A!B$1:P$1126,11,FALSE)</f>
        <v/>
      </c>
      <c r="L789" s="162"/>
      <c r="M789" s="41" t="s">
        <v>581</v>
      </c>
      <c r="N789" s="94">
        <f>VLOOKUP(D789,A!B$1:L$1125,7,FALSE)</f>
        <v>0</v>
      </c>
      <c r="O789" s="94">
        <f>VLOOKUP(D789,A!B$1:P$1126,9,FALSE)</f>
        <v>0</v>
      </c>
      <c r="P789" s="10">
        <v>6</v>
      </c>
      <c r="Q789" s="151">
        <v>5.2</v>
      </c>
      <c r="R789" s="10">
        <f t="shared" si="123"/>
        <v>0</v>
      </c>
      <c r="S789" s="10">
        <f t="shared" si="124"/>
        <v>0</v>
      </c>
      <c r="T789" s="30" t="s">
        <v>327</v>
      </c>
      <c r="U789" s="115">
        <v>0.35</v>
      </c>
      <c r="V789" s="10">
        <f>VLOOKUP(D789,A!B$1:T$1125,17,FALSE)</f>
        <v>0</v>
      </c>
      <c r="W789" s="10">
        <f t="shared" si="125"/>
        <v>0</v>
      </c>
      <c r="X789" s="29"/>
      <c r="Y789" s="29"/>
      <c r="Z789" s="29"/>
      <c r="AA789" s="29"/>
    </row>
    <row r="790" spans="1:27" s="3" customFormat="1" ht="13.5" hidden="1" customHeight="1" x14ac:dyDescent="0.25">
      <c r="A790" t="str">
        <f>IF(R790=0,"",COUNTIF(A$13:A789,"&gt;0")+1)</f>
        <v/>
      </c>
      <c r="B790" s="4"/>
      <c r="C790" s="5" t="s">
        <v>44</v>
      </c>
      <c r="D790" s="7" t="s">
        <v>582</v>
      </c>
      <c r="E790" s="31"/>
      <c r="F790" s="31"/>
      <c r="G790" s="6" t="s">
        <v>265</v>
      </c>
      <c r="H790" s="7">
        <f>VLOOKUP(D790,A!B$1:L$1126,8,FALSE)</f>
        <v>0</v>
      </c>
      <c r="I790" s="31">
        <f>VLOOKUP(D790,A!B$1:L$1126,8,FALSE)</f>
        <v>0</v>
      </c>
      <c r="J790" s="92"/>
      <c r="K790" s="63" t="str">
        <f>VLOOKUP(D790,A!B$1:P$1126,11,FALSE)</f>
        <v/>
      </c>
      <c r="L790" s="162"/>
      <c r="M790" s="41" t="s">
        <v>583</v>
      </c>
      <c r="N790" s="94">
        <f>VLOOKUP(D790,A!B$1:L$1125,7,FALSE)</f>
        <v>0</v>
      </c>
      <c r="O790" s="94">
        <f>VLOOKUP(D790,A!B$1:P$1126,9,FALSE)</f>
        <v>0</v>
      </c>
      <c r="P790" s="10">
        <v>6</v>
      </c>
      <c r="Q790" s="151">
        <v>5.2</v>
      </c>
      <c r="R790" s="10">
        <f t="shared" si="123"/>
        <v>0</v>
      </c>
      <c r="S790" s="10">
        <f t="shared" si="124"/>
        <v>0</v>
      </c>
      <c r="T790" s="30" t="s">
        <v>327</v>
      </c>
      <c r="U790" s="115">
        <v>0.35</v>
      </c>
      <c r="V790" s="10">
        <f>VLOOKUP(D790,A!B$1:T$1125,17,FALSE)</f>
        <v>0</v>
      </c>
      <c r="W790" s="10">
        <f t="shared" si="125"/>
        <v>0</v>
      </c>
      <c r="X790" s="29"/>
      <c r="Y790" s="29"/>
      <c r="Z790" s="29"/>
      <c r="AA790" s="29"/>
    </row>
    <row r="791" spans="1:27" s="3" customFormat="1" ht="13.5" hidden="1" customHeight="1" x14ac:dyDescent="0.25">
      <c r="A791" t="str">
        <f>IF(R791=0,"",COUNTIF(A$13:A790,"&gt;0")+1)</f>
        <v/>
      </c>
      <c r="B791" s="4"/>
      <c r="C791" s="5" t="s">
        <v>44</v>
      </c>
      <c r="D791" s="7" t="s">
        <v>584</v>
      </c>
      <c r="E791" s="31"/>
      <c r="F791" s="31"/>
      <c r="G791" s="6" t="s">
        <v>265</v>
      </c>
      <c r="H791" s="7">
        <f>VLOOKUP(D791,A!B$1:L$1126,8,FALSE)</f>
        <v>0</v>
      </c>
      <c r="I791" s="31">
        <f>VLOOKUP(D791,A!B$1:L$1126,8,FALSE)</f>
        <v>0</v>
      </c>
      <c r="J791" s="92"/>
      <c r="K791" s="63" t="str">
        <f>VLOOKUP(D791,A!B$1:P$1126,11,FALSE)</f>
        <v/>
      </c>
      <c r="L791" s="162"/>
      <c r="M791" s="41" t="s">
        <v>585</v>
      </c>
      <c r="N791" s="94">
        <f>VLOOKUP(D791,A!B$1:L$1125,7,FALSE)</f>
        <v>0</v>
      </c>
      <c r="O791" s="94">
        <f>VLOOKUP(D791,A!B$1:P$1126,9,FALSE)</f>
        <v>0</v>
      </c>
      <c r="P791" s="10">
        <v>6</v>
      </c>
      <c r="Q791" s="151">
        <v>5.2</v>
      </c>
      <c r="R791" s="10">
        <f t="shared" si="123"/>
        <v>0</v>
      </c>
      <c r="S791" s="10">
        <f t="shared" si="124"/>
        <v>0</v>
      </c>
      <c r="T791" s="30" t="s">
        <v>327</v>
      </c>
      <c r="U791" s="115">
        <v>0.35</v>
      </c>
      <c r="V791" s="10">
        <f>VLOOKUP(D791,A!B$1:T$1125,17,FALSE)</f>
        <v>0</v>
      </c>
      <c r="W791" s="10">
        <f t="shared" si="125"/>
        <v>0</v>
      </c>
      <c r="X791" s="29"/>
      <c r="Y791" s="29"/>
      <c r="Z791" s="29"/>
      <c r="AA791" s="29"/>
    </row>
    <row r="792" spans="1:27" s="3" customFormat="1" ht="13.5" hidden="1" customHeight="1" x14ac:dyDescent="0.25">
      <c r="A792" t="str">
        <f>IF(R792=0,"",COUNTIF(A$13:A791,"&gt;0")+1)</f>
        <v/>
      </c>
      <c r="B792" s="4"/>
      <c r="C792" s="5" t="s">
        <v>44</v>
      </c>
      <c r="D792" s="7" t="s">
        <v>586</v>
      </c>
      <c r="E792" s="31"/>
      <c r="F792" s="31"/>
      <c r="G792" s="6" t="s">
        <v>587</v>
      </c>
      <c r="H792" s="7">
        <f>VLOOKUP(D792,A!B$1:L$1126,8,FALSE)</f>
        <v>0</v>
      </c>
      <c r="I792" s="31">
        <f>VLOOKUP(D792,A!B$1:L$1126,8,FALSE)</f>
        <v>0</v>
      </c>
      <c r="J792" s="92"/>
      <c r="K792" s="63" t="str">
        <f>VLOOKUP(D792,A!B$1:P$1126,11,FALSE)</f>
        <v/>
      </c>
      <c r="L792" s="162"/>
      <c r="M792" s="41" t="s">
        <v>588</v>
      </c>
      <c r="N792" s="94">
        <f>VLOOKUP(D792,A!B$1:L$1125,7,FALSE)</f>
        <v>0</v>
      </c>
      <c r="O792" s="94">
        <f>VLOOKUP(D792,A!B$1:P$1126,9,FALSE)</f>
        <v>0</v>
      </c>
      <c r="P792" s="10">
        <v>6</v>
      </c>
      <c r="Q792" s="151">
        <v>5.2</v>
      </c>
      <c r="R792" s="10">
        <f t="shared" si="123"/>
        <v>0</v>
      </c>
      <c r="S792" s="10">
        <f t="shared" si="124"/>
        <v>0</v>
      </c>
      <c r="T792" s="30" t="s">
        <v>327</v>
      </c>
      <c r="U792" s="115">
        <v>0.35</v>
      </c>
      <c r="V792" s="10">
        <f>VLOOKUP(D792,A!B$1:T$1125,17,FALSE)</f>
        <v>0</v>
      </c>
      <c r="W792" s="10">
        <f t="shared" si="125"/>
        <v>0</v>
      </c>
      <c r="X792" s="29"/>
      <c r="Y792" s="29"/>
      <c r="Z792" s="29"/>
      <c r="AA792" s="29"/>
    </row>
    <row r="793" spans="1:27" s="3" customFormat="1" ht="13.5" hidden="1" customHeight="1" x14ac:dyDescent="0.25">
      <c r="A793" t="str">
        <f>IF(R793=0,"",COUNTIF(A$13:A792,"&gt;0")+1)</f>
        <v/>
      </c>
      <c r="B793" s="4"/>
      <c r="C793" s="5" t="s">
        <v>44</v>
      </c>
      <c r="D793" s="7" t="s">
        <v>589</v>
      </c>
      <c r="E793" s="31"/>
      <c r="F793" s="31"/>
      <c r="G793" s="6" t="s">
        <v>265</v>
      </c>
      <c r="H793" s="7">
        <f>VLOOKUP(D793,A!B$1:L$1126,8,FALSE)</f>
        <v>0</v>
      </c>
      <c r="I793" s="31">
        <f>VLOOKUP(D793,A!B$1:L$1126,8,FALSE)</f>
        <v>0</v>
      </c>
      <c r="J793" s="92"/>
      <c r="K793" s="63" t="str">
        <f>VLOOKUP(D793,A!B$1:P$1126,11,FALSE)</f>
        <v/>
      </c>
      <c r="L793" s="162"/>
      <c r="M793" s="41" t="s">
        <v>590</v>
      </c>
      <c r="N793" s="94">
        <f>VLOOKUP(D793,A!B$1:L$1125,7,FALSE)</f>
        <v>0</v>
      </c>
      <c r="O793" s="94">
        <f>VLOOKUP(D793,A!B$1:P$1126,9,FALSE)</f>
        <v>0</v>
      </c>
      <c r="P793" s="10">
        <v>6</v>
      </c>
      <c r="Q793" s="151">
        <v>5.2</v>
      </c>
      <c r="R793" s="10">
        <f t="shared" si="123"/>
        <v>0</v>
      </c>
      <c r="S793" s="10">
        <f t="shared" si="124"/>
        <v>0</v>
      </c>
      <c r="T793" s="30" t="s">
        <v>327</v>
      </c>
      <c r="U793" s="115">
        <v>0.35</v>
      </c>
      <c r="V793" s="10">
        <f>VLOOKUP(D793,A!B$1:T$1125,17,FALSE)</f>
        <v>0</v>
      </c>
      <c r="W793" s="10">
        <f t="shared" si="125"/>
        <v>0</v>
      </c>
      <c r="X793" s="29"/>
      <c r="Y793" s="29"/>
      <c r="Z793" s="29"/>
      <c r="AA793" s="29"/>
    </row>
    <row r="794" spans="1:27" s="3" customFormat="1" ht="13.5" hidden="1" customHeight="1" x14ac:dyDescent="0.25">
      <c r="A794" t="str">
        <f>IF(R794=0,"",COUNTIF(A$13:A793,"&gt;0")+1)</f>
        <v/>
      </c>
      <c r="B794" s="4"/>
      <c r="C794" s="5" t="s">
        <v>44</v>
      </c>
      <c r="D794" s="7" t="s">
        <v>591</v>
      </c>
      <c r="E794" s="31"/>
      <c r="F794" s="31"/>
      <c r="G794" s="6" t="s">
        <v>592</v>
      </c>
      <c r="H794" s="7">
        <f>VLOOKUP(D794,A!B$1:L$1126,8,FALSE)</f>
        <v>0</v>
      </c>
      <c r="I794" s="31">
        <f>VLOOKUP(D794,A!B$1:L$1126,8,FALSE)</f>
        <v>0</v>
      </c>
      <c r="J794" s="92"/>
      <c r="K794" s="63" t="str">
        <f>VLOOKUP(D794,A!B$1:P$1126,11,FALSE)</f>
        <v/>
      </c>
      <c r="L794" s="162"/>
      <c r="M794" s="41" t="s">
        <v>593</v>
      </c>
      <c r="N794" s="94">
        <f>VLOOKUP(D794,A!B$1:L$1125,7,FALSE)</f>
        <v>0</v>
      </c>
      <c r="O794" s="94">
        <f>VLOOKUP(D794,A!B$1:P$1126,9,FALSE)</f>
        <v>0</v>
      </c>
      <c r="P794" s="10">
        <v>6</v>
      </c>
      <c r="Q794" s="151">
        <v>5.2</v>
      </c>
      <c r="R794" s="10">
        <f t="shared" si="123"/>
        <v>0</v>
      </c>
      <c r="S794" s="10">
        <f t="shared" si="124"/>
        <v>0</v>
      </c>
      <c r="T794" s="30" t="s">
        <v>327</v>
      </c>
      <c r="U794" s="115">
        <v>0.35</v>
      </c>
      <c r="V794" s="10">
        <f>VLOOKUP(D794,A!B$1:T$1125,17,FALSE)</f>
        <v>0</v>
      </c>
      <c r="W794" s="10">
        <f t="shared" si="125"/>
        <v>0</v>
      </c>
      <c r="X794" s="29"/>
      <c r="Y794" s="29"/>
      <c r="Z794" s="29"/>
      <c r="AA794" s="29"/>
    </row>
    <row r="795" spans="1:27" s="3" customFormat="1" ht="13.5" hidden="1" customHeight="1" x14ac:dyDescent="0.25">
      <c r="A795" t="str">
        <f>IF(R795=0,"",COUNTIF(A$13:A794,"&gt;0")+1)</f>
        <v/>
      </c>
      <c r="B795" s="4"/>
      <c r="C795" s="5" t="s">
        <v>44</v>
      </c>
      <c r="D795" s="7" t="s">
        <v>594</v>
      </c>
      <c r="E795" s="31"/>
      <c r="F795" s="31"/>
      <c r="G795" s="6" t="s">
        <v>595</v>
      </c>
      <c r="H795" s="7">
        <f>VLOOKUP(D795,A!B$1:L$1126,8,FALSE)</f>
        <v>0</v>
      </c>
      <c r="I795" s="31">
        <f>VLOOKUP(D795,A!B$1:L$1126,8,FALSE)</f>
        <v>0</v>
      </c>
      <c r="J795" s="92"/>
      <c r="K795" s="63" t="str">
        <f>VLOOKUP(D795,A!B$1:P$1126,11,FALSE)</f>
        <v/>
      </c>
      <c r="L795" s="162"/>
      <c r="M795" s="41" t="s">
        <v>596</v>
      </c>
      <c r="N795" s="94">
        <f>VLOOKUP(D795,A!B$1:L$1125,7,FALSE)</f>
        <v>0</v>
      </c>
      <c r="O795" s="94">
        <f>VLOOKUP(D795,A!B$1:P$1126,9,FALSE)</f>
        <v>0</v>
      </c>
      <c r="P795" s="10">
        <v>6</v>
      </c>
      <c r="Q795" s="151">
        <v>5.2</v>
      </c>
      <c r="R795" s="10">
        <f t="shared" si="123"/>
        <v>0</v>
      </c>
      <c r="S795" s="10">
        <f t="shared" si="124"/>
        <v>0</v>
      </c>
      <c r="T795" s="30" t="s">
        <v>327</v>
      </c>
      <c r="U795" s="115">
        <v>0.35</v>
      </c>
      <c r="V795" s="10">
        <f>VLOOKUP(D795,A!B$1:T$1125,17,FALSE)</f>
        <v>0</v>
      </c>
      <c r="W795" s="10">
        <f t="shared" si="125"/>
        <v>0</v>
      </c>
      <c r="X795" s="29"/>
      <c r="Y795" s="29"/>
      <c r="Z795" s="29"/>
      <c r="AA795" s="29"/>
    </row>
    <row r="796" spans="1:27" s="3" customFormat="1" ht="13.5" hidden="1" customHeight="1" x14ac:dyDescent="0.25">
      <c r="A796" t="str">
        <f>IF(R796=0,"",COUNTIF(A$13:A795,"&gt;0")+1)</f>
        <v/>
      </c>
      <c r="B796" s="4"/>
      <c r="C796" s="5" t="s">
        <v>44</v>
      </c>
      <c r="D796" s="7" t="s">
        <v>597</v>
      </c>
      <c r="E796" s="31"/>
      <c r="F796" s="31"/>
      <c r="G796" s="6" t="s">
        <v>592</v>
      </c>
      <c r="H796" s="7">
        <f>VLOOKUP(D796,A!B$1:L$1126,8,FALSE)</f>
        <v>0</v>
      </c>
      <c r="I796" s="31">
        <f>VLOOKUP(D796,A!B$1:L$1126,8,FALSE)</f>
        <v>0</v>
      </c>
      <c r="J796" s="92"/>
      <c r="K796" s="63" t="str">
        <f>VLOOKUP(D796,A!B$1:P$1126,11,FALSE)</f>
        <v/>
      </c>
      <c r="L796" s="162"/>
      <c r="M796" s="41" t="s">
        <v>598</v>
      </c>
      <c r="N796" s="94">
        <f>VLOOKUP(D796,A!B$1:L$1125,7,FALSE)</f>
        <v>0</v>
      </c>
      <c r="O796" s="94">
        <f>VLOOKUP(D796,A!B$1:P$1126,9,FALSE)</f>
        <v>0</v>
      </c>
      <c r="P796" s="10">
        <v>6</v>
      </c>
      <c r="Q796" s="151">
        <v>5.2</v>
      </c>
      <c r="R796" s="10">
        <f t="shared" si="123"/>
        <v>0</v>
      </c>
      <c r="S796" s="10">
        <f t="shared" si="124"/>
        <v>0</v>
      </c>
      <c r="T796" s="30" t="s">
        <v>327</v>
      </c>
      <c r="U796" s="115">
        <v>0.35</v>
      </c>
      <c r="V796" s="10">
        <f>VLOOKUP(D796,A!B$1:T$1125,17,FALSE)</f>
        <v>0</v>
      </c>
      <c r="W796" s="10">
        <f t="shared" si="125"/>
        <v>0</v>
      </c>
      <c r="X796" s="29"/>
      <c r="Y796" s="29"/>
      <c r="Z796" s="29"/>
      <c r="AA796" s="29"/>
    </row>
    <row r="797" spans="1:27" s="3" customFormat="1" ht="13.5" hidden="1" customHeight="1" x14ac:dyDescent="0.25">
      <c r="A797" t="str">
        <f>IF(R797=0,"",COUNTIF(A$13:A796,"&gt;0")+1)</f>
        <v/>
      </c>
      <c r="B797" s="4"/>
      <c r="C797" s="5" t="s">
        <v>44</v>
      </c>
      <c r="D797" s="7" t="s">
        <v>599</v>
      </c>
      <c r="E797" s="31"/>
      <c r="F797" s="31"/>
      <c r="G797" s="6" t="s">
        <v>600</v>
      </c>
      <c r="H797" s="7">
        <f>VLOOKUP(D797,A!B$1:L$1126,8,FALSE)</f>
        <v>0</v>
      </c>
      <c r="I797" s="31">
        <f>VLOOKUP(D797,A!B$1:L$1126,8,FALSE)</f>
        <v>0</v>
      </c>
      <c r="J797" s="92"/>
      <c r="K797" s="63" t="str">
        <f>VLOOKUP(D797,A!B$1:P$1126,11,FALSE)</f>
        <v/>
      </c>
      <c r="L797" s="162"/>
      <c r="M797" s="41" t="s">
        <v>601</v>
      </c>
      <c r="N797" s="94">
        <f>VLOOKUP(D797,A!B$1:L$1125,7,FALSE)</f>
        <v>0</v>
      </c>
      <c r="O797" s="94">
        <f>VLOOKUP(D797,A!B$1:P$1126,9,FALSE)</f>
        <v>0</v>
      </c>
      <c r="P797" s="10">
        <v>6</v>
      </c>
      <c r="Q797" s="151">
        <v>5.2</v>
      </c>
      <c r="R797" s="10">
        <f t="shared" si="123"/>
        <v>0</v>
      </c>
      <c r="S797" s="10">
        <f t="shared" si="124"/>
        <v>0</v>
      </c>
      <c r="T797" s="30" t="s">
        <v>327</v>
      </c>
      <c r="U797" s="115">
        <v>0.35</v>
      </c>
      <c r="V797" s="10">
        <f>VLOOKUP(D797,A!B$1:T$1125,17,FALSE)</f>
        <v>0</v>
      </c>
      <c r="W797" s="10">
        <f t="shared" si="125"/>
        <v>0</v>
      </c>
      <c r="X797" s="29"/>
      <c r="Y797" s="29"/>
      <c r="Z797" s="29"/>
      <c r="AA797" s="29"/>
    </row>
    <row r="798" spans="1:27" s="3" customFormat="1" ht="13.5" hidden="1" customHeight="1" x14ac:dyDescent="0.25">
      <c r="A798" t="str">
        <f>IF(R798=0,"",COUNTIF(A$13:A797,"&gt;0")+1)</f>
        <v/>
      </c>
      <c r="B798" s="4"/>
      <c r="C798" s="5" t="s">
        <v>44</v>
      </c>
      <c r="D798" s="7" t="s">
        <v>602</v>
      </c>
      <c r="E798" s="31"/>
      <c r="F798" s="31"/>
      <c r="G798" s="6" t="s">
        <v>603</v>
      </c>
      <c r="H798" s="7">
        <f>VLOOKUP(D798,A!B$1:L$1126,8,FALSE)</f>
        <v>0</v>
      </c>
      <c r="I798" s="31">
        <f>VLOOKUP(D798,A!B$1:L$1126,8,FALSE)</f>
        <v>0</v>
      </c>
      <c r="J798" s="92"/>
      <c r="K798" s="63" t="str">
        <f>VLOOKUP(D798,A!B$1:P$1126,11,FALSE)</f>
        <v/>
      </c>
      <c r="L798" s="162"/>
      <c r="M798" s="41" t="s">
        <v>604</v>
      </c>
      <c r="N798" s="94">
        <f>VLOOKUP(D798,A!B$1:L$1125,7,FALSE)</f>
        <v>0</v>
      </c>
      <c r="O798" s="94">
        <f>VLOOKUP(D798,A!B$1:P$1126,9,FALSE)</f>
        <v>0</v>
      </c>
      <c r="P798" s="10">
        <v>6</v>
      </c>
      <c r="Q798" s="151">
        <v>5.2</v>
      </c>
      <c r="R798" s="10">
        <f t="shared" si="123"/>
        <v>0</v>
      </c>
      <c r="S798" s="10">
        <f t="shared" si="124"/>
        <v>0</v>
      </c>
      <c r="T798" s="30" t="s">
        <v>327</v>
      </c>
      <c r="U798" s="115">
        <v>0.35</v>
      </c>
      <c r="V798" s="10">
        <f>VLOOKUP(D798,A!B$1:T$1125,17,FALSE)</f>
        <v>0</v>
      </c>
      <c r="W798" s="10">
        <f t="shared" si="125"/>
        <v>0</v>
      </c>
      <c r="X798" s="29"/>
      <c r="Y798" s="29"/>
      <c r="Z798" s="29"/>
      <c r="AA798" s="29"/>
    </row>
    <row r="799" spans="1:27" s="3" customFormat="1" ht="13.5" hidden="1" customHeight="1" x14ac:dyDescent="0.25">
      <c r="A799" t="str">
        <f>IF(R799=0,"",COUNTIF(A$13:A798,"&gt;0")+1)</f>
        <v/>
      </c>
      <c r="B799" s="4"/>
      <c r="C799" s="5" t="s">
        <v>44</v>
      </c>
      <c r="D799" s="7" t="s">
        <v>605</v>
      </c>
      <c r="E799" s="31"/>
      <c r="F799" s="31"/>
      <c r="G799" s="6" t="s">
        <v>606</v>
      </c>
      <c r="H799" s="7">
        <f>VLOOKUP(D799,A!B$1:L$1126,8,FALSE)</f>
        <v>0</v>
      </c>
      <c r="I799" s="31">
        <f>VLOOKUP(D799,A!B$1:L$1126,8,FALSE)</f>
        <v>0</v>
      </c>
      <c r="J799" s="92"/>
      <c r="K799" s="63" t="str">
        <f>VLOOKUP(D799,A!B$1:P$1126,11,FALSE)</f>
        <v/>
      </c>
      <c r="L799" s="162"/>
      <c r="M799" s="41" t="s">
        <v>607</v>
      </c>
      <c r="N799" s="94">
        <f>VLOOKUP(D799,A!B$1:L$1125,7,FALSE)</f>
        <v>0</v>
      </c>
      <c r="O799" s="94">
        <f>VLOOKUP(D799,A!B$1:P$1126,9,FALSE)</f>
        <v>0</v>
      </c>
      <c r="P799" s="10">
        <v>6</v>
      </c>
      <c r="Q799" s="151">
        <v>5.2</v>
      </c>
      <c r="R799" s="10">
        <f t="shared" si="123"/>
        <v>0</v>
      </c>
      <c r="S799" s="10">
        <f t="shared" si="124"/>
        <v>0</v>
      </c>
      <c r="T799" s="30" t="s">
        <v>327</v>
      </c>
      <c r="U799" s="115">
        <v>0.35</v>
      </c>
      <c r="V799" s="10">
        <f>VLOOKUP(D799,A!B$1:T$1125,17,FALSE)</f>
        <v>0</v>
      </c>
      <c r="W799" s="10">
        <f t="shared" si="125"/>
        <v>0</v>
      </c>
      <c r="X799" s="29"/>
      <c r="Y799" s="29"/>
      <c r="Z799" s="29"/>
      <c r="AA799" s="29"/>
    </row>
    <row r="800" spans="1:27" s="3" customFormat="1" ht="13.5" hidden="1" customHeight="1" x14ac:dyDescent="0.25">
      <c r="A800" t="str">
        <f>IF(R800=0,"",COUNTIF(A$13:A799,"&gt;0")+1)</f>
        <v/>
      </c>
      <c r="B800" s="4"/>
      <c r="C800" s="5" t="s">
        <v>44</v>
      </c>
      <c r="D800" s="7" t="s">
        <v>608</v>
      </c>
      <c r="E800" s="31"/>
      <c r="F800" s="31"/>
      <c r="G800" s="6" t="s">
        <v>600</v>
      </c>
      <c r="H800" s="7">
        <f>VLOOKUP(D800,A!B$1:L$1126,8,FALSE)</f>
        <v>0</v>
      </c>
      <c r="I800" s="31">
        <f>VLOOKUP(D800,A!B$1:L$1126,8,FALSE)</f>
        <v>0</v>
      </c>
      <c r="J800" s="92"/>
      <c r="K800" s="63" t="str">
        <f>VLOOKUP(D800,A!B$1:P$1126,11,FALSE)</f>
        <v/>
      </c>
      <c r="L800" s="162"/>
      <c r="M800" s="41" t="s">
        <v>609</v>
      </c>
      <c r="N800" s="94">
        <f>VLOOKUP(D800,A!B$1:L$1125,7,FALSE)</f>
        <v>0</v>
      </c>
      <c r="O800" s="94">
        <f>VLOOKUP(D800,A!B$1:P$1126,9,FALSE)</f>
        <v>0</v>
      </c>
      <c r="P800" s="10">
        <v>6</v>
      </c>
      <c r="Q800" s="151">
        <v>5.2</v>
      </c>
      <c r="R800" s="10">
        <f t="shared" si="123"/>
        <v>0</v>
      </c>
      <c r="S800" s="10">
        <f t="shared" si="124"/>
        <v>0</v>
      </c>
      <c r="T800" s="30" t="s">
        <v>327</v>
      </c>
      <c r="U800" s="115">
        <v>0.35</v>
      </c>
      <c r="V800" s="10">
        <f>VLOOKUP(D800,A!B$1:T$1125,17,FALSE)</f>
        <v>0</v>
      </c>
      <c r="W800" s="10">
        <f t="shared" si="125"/>
        <v>0</v>
      </c>
      <c r="X800" s="29"/>
      <c r="Y800" s="29"/>
      <c r="Z800" s="29"/>
      <c r="AA800" s="29"/>
    </row>
    <row r="801" spans="1:27" s="3" customFormat="1" ht="13.5" customHeight="1" x14ac:dyDescent="0.25">
      <c r="A801" t="str">
        <f>IF(R801=0,"",COUNTIF(A$13:A800,"&gt;0")+1)</f>
        <v/>
      </c>
      <c r="B801" s="4"/>
      <c r="C801" s="5" t="s">
        <v>44</v>
      </c>
      <c r="D801" s="7" t="s">
        <v>264</v>
      </c>
      <c r="E801" s="31"/>
      <c r="F801" s="31"/>
      <c r="G801" s="6" t="s">
        <v>265</v>
      </c>
      <c r="H801" s="7">
        <f>VLOOKUP(D801,A!B$1:L$1126,8,FALSE)</f>
        <v>2</v>
      </c>
      <c r="I801" s="31">
        <f>VLOOKUP(D801,A!B$1:L$1126,8,FALSE)</f>
        <v>2</v>
      </c>
      <c r="J801" s="92"/>
      <c r="K801" s="63" t="str">
        <f>VLOOKUP(D801,A!B$1:P$1126,11,FALSE)</f>
        <v/>
      </c>
      <c r="L801" s="2"/>
      <c r="M801" s="41" t="s">
        <v>266</v>
      </c>
      <c r="N801" s="94" t="str">
        <f>VLOOKUP(D801,A!B$1:L$1125,7,FALSE)</f>
        <v>y</v>
      </c>
      <c r="O801" s="94">
        <f>VLOOKUP(D801,A!B$1:P$1126,9,FALSE)</f>
        <v>0</v>
      </c>
      <c r="P801" s="10">
        <v>6</v>
      </c>
      <c r="Q801" s="151">
        <v>5.2</v>
      </c>
      <c r="R801" s="10">
        <f t="shared" si="123"/>
        <v>0</v>
      </c>
      <c r="S801" s="10">
        <f t="shared" si="124"/>
        <v>0</v>
      </c>
      <c r="T801" s="30" t="s">
        <v>327</v>
      </c>
      <c r="U801" s="115">
        <v>0.35</v>
      </c>
      <c r="V801" s="10">
        <f>VLOOKUP(D801,A!B$1:T$1125,17,FALSE)</f>
        <v>0</v>
      </c>
      <c r="W801" s="10">
        <f t="shared" si="125"/>
        <v>0</v>
      </c>
      <c r="X801" s="30"/>
      <c r="Y801" s="29"/>
      <c r="Z801" s="29"/>
      <c r="AA801" s="29"/>
    </row>
    <row r="802" spans="1:27" s="3" customFormat="1" ht="13.5" hidden="1" customHeight="1" x14ac:dyDescent="0.25">
      <c r="A802" t="str">
        <f>IF(R802=0,"",COUNTIF(A$13:A801,"&gt;0")+1)</f>
        <v/>
      </c>
      <c r="B802" s="4"/>
      <c r="C802" s="5" t="s">
        <v>44</v>
      </c>
      <c r="D802" s="7" t="s">
        <v>610</v>
      </c>
      <c r="E802" s="31"/>
      <c r="F802" s="31"/>
      <c r="G802" s="6" t="s">
        <v>265</v>
      </c>
      <c r="H802" s="7">
        <f>VLOOKUP(D802,A!B$1:L$1126,8,FALSE)</f>
        <v>0</v>
      </c>
      <c r="I802" s="31">
        <f>VLOOKUP(D802,A!B$1:L$1126,8,FALSE)</f>
        <v>0</v>
      </c>
      <c r="J802" s="92"/>
      <c r="K802" s="63" t="str">
        <f>VLOOKUP(D802,A!B$1:P$1126,11,FALSE)</f>
        <v/>
      </c>
      <c r="L802" s="162"/>
      <c r="M802" s="41" t="s">
        <v>611</v>
      </c>
      <c r="N802" s="94">
        <f>VLOOKUP(D802,A!B$1:L$1125,7,FALSE)</f>
        <v>0</v>
      </c>
      <c r="O802" s="94">
        <f>VLOOKUP(D802,A!B$1:P$1126,9,FALSE)</f>
        <v>0</v>
      </c>
      <c r="P802" s="10">
        <v>6</v>
      </c>
      <c r="Q802" s="151">
        <v>5.2</v>
      </c>
      <c r="R802" s="10">
        <f t="shared" si="123"/>
        <v>0</v>
      </c>
      <c r="S802" s="10">
        <f t="shared" si="124"/>
        <v>0</v>
      </c>
      <c r="T802" s="30" t="s">
        <v>327</v>
      </c>
      <c r="U802" s="115">
        <v>0.35</v>
      </c>
      <c r="V802" s="10">
        <f>VLOOKUP(D802,A!B$1:T$1125,17,FALSE)</f>
        <v>0</v>
      </c>
      <c r="W802" s="10">
        <f t="shared" si="125"/>
        <v>0</v>
      </c>
      <c r="X802" s="29"/>
      <c r="Y802" s="29"/>
      <c r="Z802" s="29"/>
      <c r="AA802" s="29"/>
    </row>
    <row r="803" spans="1:27" s="3" customFormat="1" ht="13.5" hidden="1" customHeight="1" x14ac:dyDescent="0.25">
      <c r="A803" t="str">
        <f>IF(R803=0,"",COUNTIF(A$13:A802,"&gt;0")+1)</f>
        <v/>
      </c>
      <c r="B803" s="4"/>
      <c r="C803" s="5" t="s">
        <v>44</v>
      </c>
      <c r="D803" s="7" t="s">
        <v>612</v>
      </c>
      <c r="E803" s="31"/>
      <c r="F803" s="31"/>
      <c r="G803" s="6" t="s">
        <v>613</v>
      </c>
      <c r="H803" s="7">
        <f>VLOOKUP(D803,A!B$1:L$1126,8,FALSE)</f>
        <v>0</v>
      </c>
      <c r="I803" s="31">
        <f>VLOOKUP(D803,A!B$1:L$1126,8,FALSE)</f>
        <v>0</v>
      </c>
      <c r="J803" s="92"/>
      <c r="K803" s="63" t="str">
        <f>VLOOKUP(D803,A!B$1:P$1126,11,FALSE)</f>
        <v/>
      </c>
      <c r="L803" s="162"/>
      <c r="M803" s="41" t="s">
        <v>614</v>
      </c>
      <c r="N803" s="94">
        <f>VLOOKUP(D803,A!B$1:L$1125,7,FALSE)</f>
        <v>0</v>
      </c>
      <c r="O803" s="94">
        <f>VLOOKUP(D803,A!B$1:P$1126,9,FALSE)</f>
        <v>0</v>
      </c>
      <c r="P803" s="10">
        <v>6</v>
      </c>
      <c r="Q803" s="151">
        <v>5.2</v>
      </c>
      <c r="R803" s="10">
        <f t="shared" ref="R803:R840" si="126">B803*P803</f>
        <v>0</v>
      </c>
      <c r="S803" s="10">
        <f t="shared" ref="S803:S840" si="127">R803*Q803</f>
        <v>0</v>
      </c>
      <c r="T803" s="30" t="s">
        <v>327</v>
      </c>
      <c r="U803" s="115">
        <v>0.35</v>
      </c>
      <c r="V803" s="10">
        <f>VLOOKUP(D803,A!B$1:T$1125,17,FALSE)</f>
        <v>0</v>
      </c>
      <c r="W803" s="10">
        <f t="shared" ref="W803:W840" si="128">U803*B803</f>
        <v>0</v>
      </c>
      <c r="X803" s="29"/>
      <c r="Y803" s="29"/>
      <c r="Z803" s="29"/>
      <c r="AA803" s="29"/>
    </row>
    <row r="804" spans="1:27" s="3" customFormat="1" ht="13.5" hidden="1" customHeight="1" x14ac:dyDescent="0.25">
      <c r="A804" t="str">
        <f>IF(R804=0,"",COUNTIF(A$13:A803,"&gt;0")+1)</f>
        <v/>
      </c>
      <c r="B804" s="4"/>
      <c r="C804" s="5" t="s">
        <v>44</v>
      </c>
      <c r="D804" s="7" t="s">
        <v>615</v>
      </c>
      <c r="E804" s="31"/>
      <c r="F804" s="31"/>
      <c r="G804" s="6" t="s">
        <v>616</v>
      </c>
      <c r="H804" s="7">
        <f>VLOOKUP(D804,A!B$1:L$1126,8,FALSE)</f>
        <v>0</v>
      </c>
      <c r="I804" s="31">
        <f>VLOOKUP(D804,A!B$1:L$1126,8,FALSE)</f>
        <v>0</v>
      </c>
      <c r="J804" s="92"/>
      <c r="K804" s="63" t="str">
        <f>VLOOKUP(D804,A!B$1:P$1126,11,FALSE)</f>
        <v/>
      </c>
      <c r="L804" s="162"/>
      <c r="M804" s="41" t="s">
        <v>617</v>
      </c>
      <c r="N804" s="94">
        <f>VLOOKUP(D804,A!B$1:L$1125,7,FALSE)</f>
        <v>0</v>
      </c>
      <c r="O804" s="94">
        <f>VLOOKUP(D804,A!B$1:P$1126,9,FALSE)</f>
        <v>0</v>
      </c>
      <c r="P804" s="10">
        <v>6</v>
      </c>
      <c r="Q804" s="151">
        <v>5.2</v>
      </c>
      <c r="R804" s="10">
        <f t="shared" si="126"/>
        <v>0</v>
      </c>
      <c r="S804" s="10">
        <f t="shared" si="127"/>
        <v>0</v>
      </c>
      <c r="T804" s="30" t="s">
        <v>327</v>
      </c>
      <c r="U804" s="115">
        <v>0.35</v>
      </c>
      <c r="V804" s="10">
        <f>VLOOKUP(D804,A!B$1:T$1125,17,FALSE)</f>
        <v>0</v>
      </c>
      <c r="W804" s="10">
        <f t="shared" si="128"/>
        <v>0</v>
      </c>
      <c r="X804" s="29"/>
      <c r="Y804" s="29"/>
      <c r="Z804" s="29"/>
      <c r="AA804" s="29"/>
    </row>
    <row r="805" spans="1:27" s="3" customFormat="1" ht="13.5" customHeight="1" x14ac:dyDescent="0.25">
      <c r="A805" t="str">
        <f>IF(R805=0,"",COUNTIF(A$13:A804,"&gt;0")+1)</f>
        <v/>
      </c>
      <c r="B805" s="4"/>
      <c r="C805" s="5" t="s">
        <v>44</v>
      </c>
      <c r="D805" s="7" t="s">
        <v>618</v>
      </c>
      <c r="E805" s="31"/>
      <c r="F805" s="31"/>
      <c r="G805" s="6" t="s">
        <v>587</v>
      </c>
      <c r="H805" s="7">
        <f>VLOOKUP(D805,A!B$1:L$1126,8,FALSE)</f>
        <v>1</v>
      </c>
      <c r="I805" s="31">
        <f>VLOOKUP(D805,A!B$1:L$1126,8,FALSE)</f>
        <v>1</v>
      </c>
      <c r="J805" s="92"/>
      <c r="K805" s="91" t="str">
        <f>VLOOKUP(D805,A!B$1:P$1126,11,FALSE)</f>
        <v/>
      </c>
      <c r="L805" s="162"/>
      <c r="M805" s="40" t="s">
        <v>619</v>
      </c>
      <c r="N805" s="94" t="str">
        <f>VLOOKUP(D805,A!B$1:L$1125,7,FALSE)</f>
        <v>y</v>
      </c>
      <c r="O805" s="94">
        <f>VLOOKUP(D805,A!B$1:P$1126,9,FALSE)</f>
        <v>0</v>
      </c>
      <c r="P805" s="10">
        <v>6</v>
      </c>
      <c r="Q805" s="151">
        <v>5.2</v>
      </c>
      <c r="R805" s="10">
        <f t="shared" si="126"/>
        <v>0</v>
      </c>
      <c r="S805" s="10">
        <f t="shared" si="127"/>
        <v>0</v>
      </c>
      <c r="T805" s="30" t="s">
        <v>327</v>
      </c>
      <c r="U805" s="115">
        <v>0.35</v>
      </c>
      <c r="V805" s="10">
        <f>VLOOKUP(D805,A!B$1:T$1125,17,FALSE)</f>
        <v>0</v>
      </c>
      <c r="W805" s="10">
        <f t="shared" si="128"/>
        <v>0</v>
      </c>
      <c r="X805" s="29"/>
      <c r="Y805" s="29"/>
      <c r="Z805" s="29"/>
      <c r="AA805" s="29"/>
    </row>
    <row r="806" spans="1:27" s="3" customFormat="1" ht="13.5" hidden="1" customHeight="1" x14ac:dyDescent="0.25">
      <c r="A806" t="str">
        <f>IF(R806=0,"",COUNTIF(A$13:A805,"&gt;0")+1)</f>
        <v/>
      </c>
      <c r="B806" s="4"/>
      <c r="C806" s="5" t="s">
        <v>44</v>
      </c>
      <c r="D806" s="7" t="s">
        <v>620</v>
      </c>
      <c r="E806" s="31"/>
      <c r="F806" s="31"/>
      <c r="G806" s="6" t="s">
        <v>621</v>
      </c>
      <c r="H806" s="7">
        <f>VLOOKUP(D806,A!B$1:L$1126,8,FALSE)</f>
        <v>0</v>
      </c>
      <c r="I806" s="31">
        <f>VLOOKUP(D806,A!B$1:L$1126,8,FALSE)</f>
        <v>0</v>
      </c>
      <c r="J806" s="92"/>
      <c r="K806" s="63" t="str">
        <f>VLOOKUP(D806,A!B$1:P$1126,11,FALSE)</f>
        <v/>
      </c>
      <c r="L806" s="162"/>
      <c r="M806" s="41" t="s">
        <v>622</v>
      </c>
      <c r="N806" s="94">
        <f>VLOOKUP(D806,A!B$1:L$1125,7,FALSE)</f>
        <v>0</v>
      </c>
      <c r="O806" s="94">
        <f>VLOOKUP(D806,A!B$1:P$1126,9,FALSE)</f>
        <v>0</v>
      </c>
      <c r="P806" s="10">
        <v>6</v>
      </c>
      <c r="Q806" s="151">
        <v>5.2</v>
      </c>
      <c r="R806" s="10">
        <f t="shared" si="126"/>
        <v>0</v>
      </c>
      <c r="S806" s="10">
        <f t="shared" si="127"/>
        <v>0</v>
      </c>
      <c r="T806" s="30" t="s">
        <v>327</v>
      </c>
      <c r="U806" s="115">
        <v>0.35</v>
      </c>
      <c r="V806" s="10">
        <f>VLOOKUP(D806,A!B$1:T$1125,17,FALSE)</f>
        <v>0</v>
      </c>
      <c r="W806" s="10">
        <f t="shared" si="128"/>
        <v>0</v>
      </c>
      <c r="X806" s="29"/>
      <c r="Y806" s="29"/>
      <c r="Z806" s="29"/>
      <c r="AA806" s="29"/>
    </row>
    <row r="807" spans="1:27" s="3" customFormat="1" ht="13.5" hidden="1" customHeight="1" x14ac:dyDescent="0.25">
      <c r="A807" t="str">
        <f>IF(R807=0,"",COUNTIF(A$13:A806,"&gt;0")+1)</f>
        <v/>
      </c>
      <c r="B807" s="4"/>
      <c r="C807" s="5" t="s">
        <v>44</v>
      </c>
      <c r="D807" s="7" t="s">
        <v>623</v>
      </c>
      <c r="E807" s="31"/>
      <c r="F807" s="31"/>
      <c r="G807" s="6" t="s">
        <v>624</v>
      </c>
      <c r="H807" s="7">
        <f>VLOOKUP(D807,A!B$1:L$1126,8,FALSE)</f>
        <v>0</v>
      </c>
      <c r="I807" s="31">
        <f>VLOOKUP(D807,A!B$1:L$1126,8,FALSE)</f>
        <v>0</v>
      </c>
      <c r="J807" s="92"/>
      <c r="K807" s="63" t="str">
        <f>VLOOKUP(D807,A!B$1:P$1126,11,FALSE)</f>
        <v/>
      </c>
      <c r="L807" s="162"/>
      <c r="M807" s="41" t="s">
        <v>625</v>
      </c>
      <c r="N807" s="94">
        <f>VLOOKUP(D807,A!B$1:L$1125,7,FALSE)</f>
        <v>0</v>
      </c>
      <c r="O807" s="94">
        <f>VLOOKUP(D807,A!B$1:P$1126,9,FALSE)</f>
        <v>0</v>
      </c>
      <c r="P807" s="10">
        <v>6</v>
      </c>
      <c r="Q807" s="151">
        <v>5.2</v>
      </c>
      <c r="R807" s="10">
        <f t="shared" si="126"/>
        <v>0</v>
      </c>
      <c r="S807" s="10">
        <f t="shared" si="127"/>
        <v>0</v>
      </c>
      <c r="T807" s="30" t="s">
        <v>327</v>
      </c>
      <c r="U807" s="115">
        <v>0.35</v>
      </c>
      <c r="V807" s="10">
        <f>VLOOKUP(D807,A!B$1:T$1125,17,FALSE)</f>
        <v>0</v>
      </c>
      <c r="W807" s="10">
        <f t="shared" si="128"/>
        <v>0</v>
      </c>
      <c r="X807" s="29"/>
      <c r="Y807" s="29"/>
      <c r="Z807" s="29"/>
      <c r="AA807" s="29"/>
    </row>
    <row r="808" spans="1:27" s="3" customFormat="1" ht="13.5" hidden="1" customHeight="1" x14ac:dyDescent="0.25">
      <c r="A808" t="str">
        <f>IF(R808=0,"",COUNTIF(A$13:A807,"&gt;0")+1)</f>
        <v/>
      </c>
      <c r="B808" s="4"/>
      <c r="C808" s="5" t="s">
        <v>44</v>
      </c>
      <c r="D808" s="7" t="s">
        <v>626</v>
      </c>
      <c r="E808" s="31"/>
      <c r="F808" s="31"/>
      <c r="G808" s="6" t="s">
        <v>627</v>
      </c>
      <c r="H808" s="7">
        <f>VLOOKUP(D808,A!B$1:L$1126,8,FALSE)</f>
        <v>0</v>
      </c>
      <c r="I808" s="31">
        <f>VLOOKUP(D808,A!B$1:L$1126,8,FALSE)</f>
        <v>0</v>
      </c>
      <c r="J808" s="92"/>
      <c r="K808" s="63" t="str">
        <f>VLOOKUP(D808,A!B$1:P$1126,11,FALSE)</f>
        <v/>
      </c>
      <c r="L808" s="162"/>
      <c r="M808" s="41" t="s">
        <v>628</v>
      </c>
      <c r="N808" s="94">
        <f>VLOOKUP(D808,A!B$1:L$1125,7,FALSE)</f>
        <v>0</v>
      </c>
      <c r="O808" s="94">
        <f>VLOOKUP(D808,A!B$1:P$1126,9,FALSE)</f>
        <v>0</v>
      </c>
      <c r="P808" s="10">
        <v>6</v>
      </c>
      <c r="Q808" s="151">
        <v>5.2</v>
      </c>
      <c r="R808" s="10">
        <f t="shared" si="126"/>
        <v>0</v>
      </c>
      <c r="S808" s="10">
        <f t="shared" si="127"/>
        <v>0</v>
      </c>
      <c r="T808" s="30" t="s">
        <v>327</v>
      </c>
      <c r="U808" s="115">
        <v>0.35</v>
      </c>
      <c r="V808" s="10">
        <f>VLOOKUP(D808,A!B$1:T$1125,17,FALSE)</f>
        <v>0</v>
      </c>
      <c r="W808" s="10">
        <f t="shared" si="128"/>
        <v>0</v>
      </c>
      <c r="X808" s="29"/>
      <c r="Y808" s="29"/>
      <c r="Z808" s="29"/>
      <c r="AA808" s="29"/>
    </row>
    <row r="809" spans="1:27" s="3" customFormat="1" ht="13.5" hidden="1" customHeight="1" x14ac:dyDescent="0.25">
      <c r="A809" t="str">
        <f>IF(R809=0,"",COUNTIF(A$13:A808,"&gt;0")+1)</f>
        <v/>
      </c>
      <c r="B809" s="4"/>
      <c r="C809" s="5" t="s">
        <v>44</v>
      </c>
      <c r="D809" s="7" t="s">
        <v>629</v>
      </c>
      <c r="E809" s="31"/>
      <c r="F809" s="31"/>
      <c r="G809" s="6" t="s">
        <v>630</v>
      </c>
      <c r="H809" s="7">
        <f>VLOOKUP(D809,A!B$1:L$1126,8,FALSE)</f>
        <v>0</v>
      </c>
      <c r="I809" s="31">
        <f>VLOOKUP(D809,A!B$1:L$1126,8,FALSE)</f>
        <v>0</v>
      </c>
      <c r="J809" s="92"/>
      <c r="K809" s="63" t="str">
        <f>VLOOKUP(D809,A!B$1:P$1126,11,FALSE)</f>
        <v/>
      </c>
      <c r="L809" s="162"/>
      <c r="M809" s="41" t="s">
        <v>631</v>
      </c>
      <c r="N809" s="94">
        <f>VLOOKUP(D809,A!B$1:L$1125,7,FALSE)</f>
        <v>0</v>
      </c>
      <c r="O809" s="94">
        <f>VLOOKUP(D809,A!B$1:P$1126,9,FALSE)</f>
        <v>0</v>
      </c>
      <c r="P809" s="10">
        <v>6</v>
      </c>
      <c r="Q809" s="151">
        <v>5.2</v>
      </c>
      <c r="R809" s="10">
        <f t="shared" si="126"/>
        <v>0</v>
      </c>
      <c r="S809" s="10">
        <f t="shared" si="127"/>
        <v>0</v>
      </c>
      <c r="T809" s="30" t="s">
        <v>327</v>
      </c>
      <c r="U809" s="115">
        <v>0.35</v>
      </c>
      <c r="V809" s="10">
        <f>VLOOKUP(D809,A!B$1:T$1125,17,FALSE)</f>
        <v>0</v>
      </c>
      <c r="W809" s="10">
        <f t="shared" si="128"/>
        <v>0</v>
      </c>
      <c r="X809" s="29"/>
      <c r="Y809" s="29"/>
      <c r="Z809" s="29"/>
      <c r="AA809" s="29"/>
    </row>
    <row r="810" spans="1:27" s="3" customFormat="1" ht="13.5" hidden="1" customHeight="1" x14ac:dyDescent="0.25">
      <c r="A810" t="str">
        <f>IF(R810=0,"",COUNTIF(A$13:A809,"&gt;0")+1)</f>
        <v/>
      </c>
      <c r="B810" s="4"/>
      <c r="C810" s="5" t="s">
        <v>44</v>
      </c>
      <c r="D810" s="7" t="s">
        <v>632</v>
      </c>
      <c r="E810" s="31"/>
      <c r="F810" s="31"/>
      <c r="G810" s="6" t="s">
        <v>82</v>
      </c>
      <c r="H810" s="7">
        <f>VLOOKUP(D810,A!B$1:L$1126,8,FALSE)</f>
        <v>0</v>
      </c>
      <c r="I810" s="31">
        <f>VLOOKUP(D810,A!B$1:L$1126,8,FALSE)</f>
        <v>0</v>
      </c>
      <c r="J810" s="92"/>
      <c r="K810" s="63" t="str">
        <f>VLOOKUP(D810,A!B$1:P$1126,11,FALSE)</f>
        <v/>
      </c>
      <c r="L810" s="162"/>
      <c r="M810" s="40" t="s">
        <v>633</v>
      </c>
      <c r="N810" s="94">
        <f>VLOOKUP(D810,A!B$1:L$1125,7,FALSE)</f>
        <v>0</v>
      </c>
      <c r="O810" s="94">
        <f>VLOOKUP(D810,A!B$1:P$1126,9,FALSE)</f>
        <v>0</v>
      </c>
      <c r="P810" s="10">
        <v>6</v>
      </c>
      <c r="Q810" s="151">
        <v>5.2</v>
      </c>
      <c r="R810" s="10">
        <f t="shared" si="126"/>
        <v>0</v>
      </c>
      <c r="S810" s="10">
        <f t="shared" si="127"/>
        <v>0</v>
      </c>
      <c r="T810" s="30" t="s">
        <v>327</v>
      </c>
      <c r="U810" s="115">
        <v>0.35</v>
      </c>
      <c r="V810" s="10">
        <f>VLOOKUP(D810,A!B$1:T$1125,17,FALSE)</f>
        <v>0</v>
      </c>
      <c r="W810" s="10">
        <f t="shared" si="128"/>
        <v>0</v>
      </c>
      <c r="X810" s="29"/>
      <c r="Y810" s="29"/>
      <c r="Z810" s="29"/>
      <c r="AA810" s="29"/>
    </row>
    <row r="811" spans="1:27" s="3" customFormat="1" ht="13.5" hidden="1" customHeight="1" x14ac:dyDescent="0.25">
      <c r="A811" t="str">
        <f>IF(R811=0,"",COUNTIF(A$13:A810,"&gt;0")+1)</f>
        <v/>
      </c>
      <c r="B811" s="4"/>
      <c r="C811" s="5" t="s">
        <v>44</v>
      </c>
      <c r="D811" s="7" t="s">
        <v>634</v>
      </c>
      <c r="E811" s="31"/>
      <c r="F811" s="31"/>
      <c r="G811" s="6" t="s">
        <v>82</v>
      </c>
      <c r="H811" s="7">
        <f>VLOOKUP(D811,A!B$1:L$1126,8,FALSE)</f>
        <v>0</v>
      </c>
      <c r="I811" s="31">
        <f>VLOOKUP(D811,A!B$1:L$1126,8,FALSE)</f>
        <v>0</v>
      </c>
      <c r="J811" s="92"/>
      <c r="K811" s="63" t="str">
        <f>VLOOKUP(D811,A!B$1:P$1126,11,FALSE)</f>
        <v/>
      </c>
      <c r="L811" s="162"/>
      <c r="M811" s="40" t="s">
        <v>635</v>
      </c>
      <c r="N811" s="94">
        <f>VLOOKUP(D811,A!B$1:L$1125,7,FALSE)</f>
        <v>0</v>
      </c>
      <c r="O811" s="94">
        <f>VLOOKUP(D811,A!B$1:P$1126,9,FALSE)</f>
        <v>0</v>
      </c>
      <c r="P811" s="10">
        <v>6</v>
      </c>
      <c r="Q811" s="151">
        <v>5.2</v>
      </c>
      <c r="R811" s="10">
        <f t="shared" si="126"/>
        <v>0</v>
      </c>
      <c r="S811" s="10">
        <f t="shared" si="127"/>
        <v>0</v>
      </c>
      <c r="T811" s="30" t="s">
        <v>327</v>
      </c>
      <c r="U811" s="115">
        <v>0.35</v>
      </c>
      <c r="V811" s="10">
        <f>VLOOKUP(D811,A!B$1:T$1125,17,FALSE)</f>
        <v>0</v>
      </c>
      <c r="W811" s="10">
        <f t="shared" si="128"/>
        <v>0</v>
      </c>
      <c r="X811" s="29"/>
      <c r="Y811" s="29"/>
      <c r="Z811" s="29"/>
      <c r="AA811" s="29"/>
    </row>
    <row r="812" spans="1:27" s="3" customFormat="1" ht="13.5" hidden="1" customHeight="1" x14ac:dyDescent="0.25">
      <c r="A812" t="str">
        <f>IF(R812=0,"",COUNTIF(A$13:A811,"&gt;0")+1)</f>
        <v/>
      </c>
      <c r="B812" s="4"/>
      <c r="C812" s="5" t="s">
        <v>44</v>
      </c>
      <c r="D812" s="7" t="s">
        <v>636</v>
      </c>
      <c r="E812" s="31"/>
      <c r="F812" s="31"/>
      <c r="G812" s="6" t="s">
        <v>82</v>
      </c>
      <c r="H812" s="7">
        <f>VLOOKUP(D812,A!B$1:L$1126,8,FALSE)</f>
        <v>0</v>
      </c>
      <c r="I812" s="31">
        <f>VLOOKUP(D812,A!B$1:L$1126,8,FALSE)</f>
        <v>0</v>
      </c>
      <c r="J812" s="92"/>
      <c r="K812" s="63" t="str">
        <f>VLOOKUP(D812,A!B$1:P$1126,11,FALSE)</f>
        <v/>
      </c>
      <c r="L812" s="162"/>
      <c r="M812" s="40" t="s">
        <v>637</v>
      </c>
      <c r="N812" s="94">
        <f>VLOOKUP(D812,A!B$1:L$1125,7,FALSE)</f>
        <v>0</v>
      </c>
      <c r="O812" s="94">
        <f>VLOOKUP(D812,A!B$1:P$1126,9,FALSE)</f>
        <v>0</v>
      </c>
      <c r="P812" s="10">
        <v>6</v>
      </c>
      <c r="Q812" s="151">
        <v>5.2</v>
      </c>
      <c r="R812" s="10">
        <f t="shared" si="126"/>
        <v>0</v>
      </c>
      <c r="S812" s="10">
        <f t="shared" si="127"/>
        <v>0</v>
      </c>
      <c r="T812" s="30" t="s">
        <v>327</v>
      </c>
      <c r="U812" s="115">
        <v>0.35</v>
      </c>
      <c r="V812" s="10">
        <f>VLOOKUP(D812,A!B$1:T$1125,17,FALSE)</f>
        <v>0</v>
      </c>
      <c r="W812" s="10">
        <f t="shared" si="128"/>
        <v>0</v>
      </c>
      <c r="X812" s="29"/>
      <c r="Y812" s="29"/>
      <c r="Z812" s="29"/>
      <c r="AA812" s="29"/>
    </row>
    <row r="813" spans="1:27" s="3" customFormat="1" ht="13.5" hidden="1" customHeight="1" x14ac:dyDescent="0.25">
      <c r="A813" t="str">
        <f>IF(R813=0,"",COUNTIF(A$13:A812,"&gt;0")+1)</f>
        <v/>
      </c>
      <c r="B813" s="4"/>
      <c r="C813" s="5" t="s">
        <v>44</v>
      </c>
      <c r="D813" s="7" t="s">
        <v>638</v>
      </c>
      <c r="E813" s="31"/>
      <c r="F813" s="31"/>
      <c r="G813" s="6" t="s">
        <v>82</v>
      </c>
      <c r="H813" s="7">
        <f>VLOOKUP(D813,A!B$1:L$1126,8,FALSE)</f>
        <v>0</v>
      </c>
      <c r="I813" s="31">
        <f>VLOOKUP(D813,A!B$1:L$1126,8,FALSE)</f>
        <v>0</v>
      </c>
      <c r="J813" s="92"/>
      <c r="K813" s="63" t="str">
        <f>VLOOKUP(D813,A!B$1:P$1126,11,FALSE)</f>
        <v/>
      </c>
      <c r="L813" s="162"/>
      <c r="M813" s="40" t="s">
        <v>639</v>
      </c>
      <c r="N813" s="94">
        <f>VLOOKUP(D813,A!B$1:L$1125,7,FALSE)</f>
        <v>0</v>
      </c>
      <c r="O813" s="94">
        <f>VLOOKUP(D813,A!B$1:P$1126,9,FALSE)</f>
        <v>0</v>
      </c>
      <c r="P813" s="10">
        <v>6</v>
      </c>
      <c r="Q813" s="151">
        <v>5.2</v>
      </c>
      <c r="R813" s="10">
        <f t="shared" si="126"/>
        <v>0</v>
      </c>
      <c r="S813" s="10">
        <f t="shared" si="127"/>
        <v>0</v>
      </c>
      <c r="T813" s="30" t="s">
        <v>327</v>
      </c>
      <c r="U813" s="115">
        <v>0.35</v>
      </c>
      <c r="V813" s="10">
        <f>VLOOKUP(D813,A!B$1:T$1125,17,FALSE)</f>
        <v>0</v>
      </c>
      <c r="W813" s="10">
        <f t="shared" si="128"/>
        <v>0</v>
      </c>
      <c r="X813" s="29"/>
      <c r="Y813" s="29"/>
      <c r="Z813" s="29"/>
      <c r="AA813" s="29"/>
    </row>
    <row r="814" spans="1:27" s="3" customFormat="1" ht="13.5" hidden="1" customHeight="1" x14ac:dyDescent="0.25">
      <c r="A814" t="str">
        <f>IF(R814=0,"",COUNTIF(A$13:A813,"&gt;0")+1)</f>
        <v/>
      </c>
      <c r="B814" s="4"/>
      <c r="C814" s="5" t="s">
        <v>44</v>
      </c>
      <c r="D814" s="7" t="s">
        <v>81</v>
      </c>
      <c r="E814" s="31"/>
      <c r="F814" s="31"/>
      <c r="G814" s="6" t="s">
        <v>82</v>
      </c>
      <c r="H814" s="7">
        <f>VLOOKUP(D814,A!B$1:L$1126,8,FALSE)</f>
        <v>0</v>
      </c>
      <c r="I814" s="31">
        <f>VLOOKUP(D814,A!B$1:L$1126,8,FALSE)</f>
        <v>0</v>
      </c>
      <c r="J814" s="92"/>
      <c r="K814" s="63" t="str">
        <f>VLOOKUP(D814,A!B$1:P$1126,11,FALSE)</f>
        <v/>
      </c>
      <c r="L814" s="162"/>
      <c r="M814" s="40" t="s">
        <v>640</v>
      </c>
      <c r="N814" s="94">
        <f>VLOOKUP(D814,A!B$1:L$1125,7,FALSE)</f>
        <v>0</v>
      </c>
      <c r="O814" s="94">
        <f>VLOOKUP(D814,A!B$1:P$1126,9,FALSE)</f>
        <v>0</v>
      </c>
      <c r="P814" s="10">
        <v>6</v>
      </c>
      <c r="Q814" s="151">
        <v>5.2</v>
      </c>
      <c r="R814" s="10">
        <f t="shared" si="126"/>
        <v>0</v>
      </c>
      <c r="S814" s="10">
        <f t="shared" si="127"/>
        <v>0</v>
      </c>
      <c r="T814" s="30" t="s">
        <v>327</v>
      </c>
      <c r="U814" s="115">
        <v>0.35</v>
      </c>
      <c r="V814" s="10">
        <f>VLOOKUP(D814,A!B$1:T$1125,17,FALSE)</f>
        <v>0</v>
      </c>
      <c r="W814" s="10">
        <f t="shared" si="128"/>
        <v>0</v>
      </c>
      <c r="X814" s="29"/>
      <c r="Y814" s="29"/>
      <c r="Z814" s="29"/>
      <c r="AA814" s="29"/>
    </row>
    <row r="815" spans="1:27" s="3" customFormat="1" ht="13.5" hidden="1" customHeight="1" x14ac:dyDescent="0.25">
      <c r="A815" t="str">
        <f>IF(R815=0,"",COUNTIF(A$13:A814,"&gt;0")+1)</f>
        <v/>
      </c>
      <c r="B815" s="4"/>
      <c r="C815" s="5" t="s">
        <v>44</v>
      </c>
      <c r="D815" s="7" t="s">
        <v>1815</v>
      </c>
      <c r="E815" s="31"/>
      <c r="F815" s="31"/>
      <c r="G815" s="6" t="s">
        <v>82</v>
      </c>
      <c r="H815" s="7">
        <f>VLOOKUP(D815,A!B$1:L$1126,8,FALSE)</f>
        <v>0</v>
      </c>
      <c r="I815" s="31">
        <f>VLOOKUP(D815,A!B$1:L$1126,8,FALSE)</f>
        <v>0</v>
      </c>
      <c r="J815" s="92"/>
      <c r="K815" s="63" t="str">
        <f>VLOOKUP(D815,A!B$1:P$1126,11,FALSE)</f>
        <v/>
      </c>
      <c r="L815" s="162"/>
      <c r="M815" s="39" t="s">
        <v>641</v>
      </c>
      <c r="N815" s="94">
        <f>VLOOKUP(D815,A!B$1:L$1125,7,FALSE)</f>
        <v>0</v>
      </c>
      <c r="O815" s="94">
        <f>VLOOKUP(D815,A!B$1:P$1126,9,FALSE)</f>
        <v>0</v>
      </c>
      <c r="P815" s="10">
        <v>6</v>
      </c>
      <c r="Q815" s="151">
        <v>5.2</v>
      </c>
      <c r="R815" s="10">
        <f t="shared" si="126"/>
        <v>0</v>
      </c>
      <c r="S815" s="10">
        <f t="shared" si="127"/>
        <v>0</v>
      </c>
      <c r="T815" s="30" t="s">
        <v>327</v>
      </c>
      <c r="U815" s="115">
        <v>0.35</v>
      </c>
      <c r="V815" s="10">
        <f>VLOOKUP(D815,A!B$1:T$1125,17,FALSE)</f>
        <v>0</v>
      </c>
      <c r="W815" s="10">
        <f t="shared" si="128"/>
        <v>0</v>
      </c>
      <c r="X815" s="29"/>
      <c r="Y815" s="29"/>
      <c r="Z815" s="29"/>
      <c r="AA815" s="29"/>
    </row>
    <row r="816" spans="1:27" s="3" customFormat="1" ht="13.5" hidden="1" customHeight="1" x14ac:dyDescent="0.25">
      <c r="A816" t="str">
        <f>IF(R816=0,"",COUNTIF(A$13:A815,"&gt;0")+1)</f>
        <v/>
      </c>
      <c r="B816" s="4"/>
      <c r="C816" s="5" t="s">
        <v>44</v>
      </c>
      <c r="D816" s="7" t="s">
        <v>69</v>
      </c>
      <c r="E816" s="31"/>
      <c r="F816" s="31"/>
      <c r="G816" s="6" t="s">
        <v>70</v>
      </c>
      <c r="H816" s="7">
        <f>VLOOKUP(D816,A!B$1:L$1126,8,FALSE)</f>
        <v>0</v>
      </c>
      <c r="I816" s="31">
        <f>VLOOKUP(D816,A!B$1:L$1126,8,FALSE)</f>
        <v>0</v>
      </c>
      <c r="J816" s="92"/>
      <c r="K816" s="63" t="str">
        <f>VLOOKUP(D816,A!B$1:P$1126,11,FALSE)</f>
        <v/>
      </c>
      <c r="L816" s="2"/>
      <c r="M816" s="39" t="s">
        <v>71</v>
      </c>
      <c r="N816" s="94">
        <f>VLOOKUP(D816,A!B$1:L$1125,7,FALSE)</f>
        <v>0</v>
      </c>
      <c r="O816" s="94">
        <f>VLOOKUP(D816,A!B$1:P$1126,9,FALSE)</f>
        <v>0</v>
      </c>
      <c r="P816" s="10">
        <v>6</v>
      </c>
      <c r="Q816" s="151">
        <v>5.2</v>
      </c>
      <c r="R816" s="10">
        <f t="shared" si="126"/>
        <v>0</v>
      </c>
      <c r="S816" s="10">
        <f t="shared" si="127"/>
        <v>0</v>
      </c>
      <c r="T816" s="30" t="s">
        <v>327</v>
      </c>
      <c r="U816" s="115">
        <v>0.35</v>
      </c>
      <c r="V816" s="10">
        <f>VLOOKUP(D816,A!B$1:T$1125,17,FALSE)</f>
        <v>0</v>
      </c>
      <c r="W816" s="10">
        <f t="shared" si="128"/>
        <v>0</v>
      </c>
      <c r="X816" s="30"/>
      <c r="Y816" s="29"/>
      <c r="Z816" s="29"/>
      <c r="AA816" s="29"/>
    </row>
    <row r="817" spans="1:27" s="3" customFormat="1" ht="13.5" hidden="1" customHeight="1" x14ac:dyDescent="0.25">
      <c r="A817" t="str">
        <f>IF(R817=0,"",COUNTIF(A$13:A816,"&gt;0")+1)</f>
        <v/>
      </c>
      <c r="B817" s="4"/>
      <c r="C817" s="5" t="s">
        <v>44</v>
      </c>
      <c r="D817" s="7" t="s">
        <v>642</v>
      </c>
      <c r="E817" s="31"/>
      <c r="F817" s="31"/>
      <c r="G817" s="6" t="s">
        <v>70</v>
      </c>
      <c r="H817" s="7">
        <f>VLOOKUP(D817,A!B$1:L$1126,8,FALSE)</f>
        <v>0</v>
      </c>
      <c r="I817" s="31">
        <f>VLOOKUP(D817,A!B$1:L$1126,8,FALSE)</f>
        <v>0</v>
      </c>
      <c r="J817" s="92"/>
      <c r="K817" s="63" t="str">
        <f>VLOOKUP(D817,A!B$1:P$1126,11,FALSE)</f>
        <v/>
      </c>
      <c r="L817" s="162"/>
      <c r="M817" s="40" t="s">
        <v>643</v>
      </c>
      <c r="N817" s="94">
        <f>VLOOKUP(D817,A!B$1:L$1125,7,FALSE)</f>
        <v>0</v>
      </c>
      <c r="O817" s="94">
        <f>VLOOKUP(D817,A!B$1:P$1126,9,FALSE)</f>
        <v>0</v>
      </c>
      <c r="P817" s="10">
        <v>6</v>
      </c>
      <c r="Q817" s="151">
        <v>5.2</v>
      </c>
      <c r="R817" s="10">
        <f t="shared" si="126"/>
        <v>0</v>
      </c>
      <c r="S817" s="10">
        <f t="shared" si="127"/>
        <v>0</v>
      </c>
      <c r="T817" s="30" t="s">
        <v>327</v>
      </c>
      <c r="U817" s="115">
        <v>0.35</v>
      </c>
      <c r="V817" s="10">
        <f>VLOOKUP(D817,A!B$1:T$1125,17,FALSE)</f>
        <v>0</v>
      </c>
      <c r="W817" s="10">
        <f t="shared" si="128"/>
        <v>0</v>
      </c>
      <c r="X817" s="29"/>
      <c r="Y817" s="29"/>
      <c r="Z817" s="29"/>
      <c r="AA817" s="29"/>
    </row>
    <row r="818" spans="1:27" s="3" customFormat="1" ht="13.5" hidden="1" customHeight="1" x14ac:dyDescent="0.25">
      <c r="A818" t="str">
        <f>IF(R818=0,"",COUNTIF(A$13:A817,"&gt;0")+1)</f>
        <v/>
      </c>
      <c r="B818" s="4"/>
      <c r="C818" s="5" t="s">
        <v>44</v>
      </c>
      <c r="D818" s="7" t="s">
        <v>644</v>
      </c>
      <c r="E818" s="31"/>
      <c r="F818" s="31"/>
      <c r="G818" s="6" t="s">
        <v>70</v>
      </c>
      <c r="H818" s="7">
        <f>VLOOKUP(D818,A!B$1:L$1126,8,FALSE)</f>
        <v>0</v>
      </c>
      <c r="I818" s="31">
        <f>VLOOKUP(D818,A!B$1:L$1126,8,FALSE)</f>
        <v>0</v>
      </c>
      <c r="J818" s="92"/>
      <c r="K818" s="63" t="str">
        <f>VLOOKUP(D818,A!B$1:P$1126,11,FALSE)</f>
        <v/>
      </c>
      <c r="L818" s="162"/>
      <c r="M818" s="40" t="s">
        <v>645</v>
      </c>
      <c r="N818" s="94">
        <f>VLOOKUP(D818,A!B$1:L$1125,7,FALSE)</f>
        <v>0</v>
      </c>
      <c r="O818" s="94">
        <f>VLOOKUP(D818,A!B$1:P$1126,9,FALSE)</f>
        <v>0</v>
      </c>
      <c r="P818" s="10">
        <v>6</v>
      </c>
      <c r="Q818" s="151">
        <v>5.2</v>
      </c>
      <c r="R818" s="10">
        <f t="shared" si="126"/>
        <v>0</v>
      </c>
      <c r="S818" s="10">
        <f t="shared" si="127"/>
        <v>0</v>
      </c>
      <c r="T818" s="30" t="s">
        <v>327</v>
      </c>
      <c r="U818" s="115">
        <v>0.35</v>
      </c>
      <c r="V818" s="10">
        <f>VLOOKUP(D818,A!B$1:T$1125,17,FALSE)</f>
        <v>0</v>
      </c>
      <c r="W818" s="10">
        <f t="shared" si="128"/>
        <v>0</v>
      </c>
      <c r="X818" s="29"/>
      <c r="Y818" s="29"/>
      <c r="Z818" s="29"/>
      <c r="AA818" s="29"/>
    </row>
    <row r="819" spans="1:27" s="3" customFormat="1" ht="13.5" hidden="1" customHeight="1" x14ac:dyDescent="0.25">
      <c r="A819" t="str">
        <f>IF(R819=0,"",COUNTIF(A$13:A818,"&gt;0")+1)</f>
        <v/>
      </c>
      <c r="B819" s="4"/>
      <c r="C819" s="5" t="s">
        <v>44</v>
      </c>
      <c r="D819" s="7" t="s">
        <v>646</v>
      </c>
      <c r="E819" s="31"/>
      <c r="F819" s="31"/>
      <c r="G819" s="6" t="s">
        <v>70</v>
      </c>
      <c r="H819" s="7">
        <f>VLOOKUP(D819,A!B$1:L$1126,8,FALSE)</f>
        <v>0</v>
      </c>
      <c r="I819" s="31">
        <f>VLOOKUP(D819,A!B$1:L$1126,8,FALSE)</f>
        <v>0</v>
      </c>
      <c r="J819" s="92"/>
      <c r="K819" s="63" t="str">
        <f>VLOOKUP(D819,A!B$1:P$1126,11,FALSE)</f>
        <v/>
      </c>
      <c r="L819" s="162"/>
      <c r="M819" s="40" t="s">
        <v>647</v>
      </c>
      <c r="N819" s="94">
        <f>VLOOKUP(D819,A!B$1:L$1125,7,FALSE)</f>
        <v>0</v>
      </c>
      <c r="O819" s="94">
        <f>VLOOKUP(D819,A!B$1:P$1126,9,FALSE)</f>
        <v>0</v>
      </c>
      <c r="P819" s="10">
        <v>6</v>
      </c>
      <c r="Q819" s="151">
        <v>5.2</v>
      </c>
      <c r="R819" s="10">
        <f t="shared" si="126"/>
        <v>0</v>
      </c>
      <c r="S819" s="10">
        <f t="shared" si="127"/>
        <v>0</v>
      </c>
      <c r="T819" s="30" t="s">
        <v>327</v>
      </c>
      <c r="U819" s="115">
        <v>0.35</v>
      </c>
      <c r="V819" s="10">
        <f>VLOOKUP(D819,A!B$1:T$1125,17,FALSE)</f>
        <v>0</v>
      </c>
      <c r="W819" s="10">
        <f t="shared" si="128"/>
        <v>0</v>
      </c>
      <c r="X819" s="29"/>
      <c r="Y819" s="29"/>
      <c r="Z819" s="29"/>
      <c r="AA819" s="29"/>
    </row>
    <row r="820" spans="1:27" s="3" customFormat="1" ht="13.5" hidden="1" customHeight="1" x14ac:dyDescent="0.25">
      <c r="A820" t="str">
        <f>IF(R820=0,"",COUNTIF(A$13:A819,"&gt;0")+1)</f>
        <v/>
      </c>
      <c r="B820" s="4"/>
      <c r="C820" s="5" t="s">
        <v>44</v>
      </c>
      <c r="D820" s="7" t="s">
        <v>648</v>
      </c>
      <c r="E820" s="31"/>
      <c r="F820" s="31"/>
      <c r="G820" s="6" t="s">
        <v>70</v>
      </c>
      <c r="H820" s="7">
        <f>VLOOKUP(D820,A!B$1:L$1126,8,FALSE)</f>
        <v>0</v>
      </c>
      <c r="I820" s="31">
        <f>VLOOKUP(D820,A!B$1:L$1126,8,FALSE)</f>
        <v>0</v>
      </c>
      <c r="J820" s="92"/>
      <c r="K820" s="63" t="str">
        <f>VLOOKUP(D820,A!B$1:P$1126,11,FALSE)</f>
        <v/>
      </c>
      <c r="L820" s="162"/>
      <c r="M820" s="40" t="s">
        <v>649</v>
      </c>
      <c r="N820" s="94">
        <f>VLOOKUP(D820,A!B$1:L$1125,7,FALSE)</f>
        <v>0</v>
      </c>
      <c r="O820" s="94">
        <f>VLOOKUP(D820,A!B$1:P$1126,9,FALSE)</f>
        <v>0</v>
      </c>
      <c r="P820" s="10">
        <v>6</v>
      </c>
      <c r="Q820" s="151">
        <v>5.2</v>
      </c>
      <c r="R820" s="10">
        <f t="shared" si="126"/>
        <v>0</v>
      </c>
      <c r="S820" s="10">
        <f t="shared" si="127"/>
        <v>0</v>
      </c>
      <c r="T820" s="30" t="s">
        <v>327</v>
      </c>
      <c r="U820" s="115">
        <v>0.35</v>
      </c>
      <c r="V820" s="10">
        <f>VLOOKUP(D820,A!B$1:T$1125,17,FALSE)</f>
        <v>0</v>
      </c>
      <c r="W820" s="10">
        <f t="shared" si="128"/>
        <v>0</v>
      </c>
      <c r="X820" s="29"/>
      <c r="Y820" s="29"/>
      <c r="Z820" s="29"/>
      <c r="AA820" s="29"/>
    </row>
    <row r="821" spans="1:27" s="3" customFormat="1" ht="13.5" hidden="1" customHeight="1" x14ac:dyDescent="0.25">
      <c r="A821" t="str">
        <f>IF(R821=0,"",COUNTIF(A$13:A820,"&gt;0")+1)</f>
        <v/>
      </c>
      <c r="B821" s="4"/>
      <c r="C821" s="5" t="s">
        <v>44</v>
      </c>
      <c r="D821" s="7" t="s">
        <v>650</v>
      </c>
      <c r="E821" s="31"/>
      <c r="F821" s="31"/>
      <c r="G821" s="6" t="s">
        <v>651</v>
      </c>
      <c r="H821" s="7">
        <f>VLOOKUP(D821,A!B$1:L$1126,8,FALSE)</f>
        <v>0</v>
      </c>
      <c r="I821" s="31">
        <f>VLOOKUP(D821,A!B$1:L$1126,8,FALSE)</f>
        <v>0</v>
      </c>
      <c r="J821" s="92"/>
      <c r="K821" s="63" t="str">
        <f>VLOOKUP(D821,A!B$1:P$1126,11,FALSE)</f>
        <v/>
      </c>
      <c r="L821" s="162"/>
      <c r="M821" s="40" t="s">
        <v>652</v>
      </c>
      <c r="N821" s="94">
        <f>VLOOKUP(D821,A!B$1:L$1125,7,FALSE)</f>
        <v>0</v>
      </c>
      <c r="O821" s="94">
        <f>VLOOKUP(D821,A!B$1:P$1126,9,FALSE)</f>
        <v>0</v>
      </c>
      <c r="P821" s="10">
        <v>6</v>
      </c>
      <c r="Q821" s="151">
        <v>5.2</v>
      </c>
      <c r="R821" s="10">
        <f t="shared" si="126"/>
        <v>0</v>
      </c>
      <c r="S821" s="10">
        <f t="shared" si="127"/>
        <v>0</v>
      </c>
      <c r="T821" s="30" t="s">
        <v>327</v>
      </c>
      <c r="U821" s="115">
        <v>0.35</v>
      </c>
      <c r="V821" s="10">
        <f>VLOOKUP(D821,A!B$1:T$1125,17,FALSE)</f>
        <v>0</v>
      </c>
      <c r="W821" s="10">
        <f t="shared" si="128"/>
        <v>0</v>
      </c>
      <c r="X821" s="29"/>
      <c r="Y821" s="29"/>
      <c r="Z821" s="29"/>
      <c r="AA821" s="29"/>
    </row>
    <row r="822" spans="1:27" s="3" customFormat="1" ht="13.5" hidden="1" customHeight="1" x14ac:dyDescent="0.25">
      <c r="A822" t="str">
        <f>IF(R822=0,"",COUNTIF(A$13:A821,"&gt;0")+1)</f>
        <v/>
      </c>
      <c r="B822" s="4"/>
      <c r="C822" s="5" t="s">
        <v>44</v>
      </c>
      <c r="D822" s="7" t="s">
        <v>653</v>
      </c>
      <c r="E822" s="31"/>
      <c r="F822" s="31"/>
      <c r="G822" s="6" t="s">
        <v>654</v>
      </c>
      <c r="H822" s="7">
        <f>VLOOKUP(D822,A!B$1:L$1126,8,FALSE)</f>
        <v>0</v>
      </c>
      <c r="I822" s="31">
        <f>VLOOKUP(D822,A!B$1:L$1126,8,FALSE)</f>
        <v>0</v>
      </c>
      <c r="J822" s="92"/>
      <c r="K822" s="63" t="str">
        <f>VLOOKUP(D822,A!B$1:P$1126,11,FALSE)</f>
        <v/>
      </c>
      <c r="L822" s="162"/>
      <c r="M822" s="40" t="s">
        <v>655</v>
      </c>
      <c r="N822" s="94">
        <f>VLOOKUP(D822,A!B$1:L$1125,7,FALSE)</f>
        <v>0</v>
      </c>
      <c r="O822" s="94">
        <f>VLOOKUP(D822,A!B$1:P$1126,9,FALSE)</f>
        <v>0</v>
      </c>
      <c r="P822" s="10">
        <v>6</v>
      </c>
      <c r="Q822" s="151">
        <v>5.2</v>
      </c>
      <c r="R822" s="10">
        <f t="shared" si="126"/>
        <v>0</v>
      </c>
      <c r="S822" s="10">
        <f t="shared" si="127"/>
        <v>0</v>
      </c>
      <c r="T822" s="30" t="s">
        <v>327</v>
      </c>
      <c r="U822" s="115">
        <v>0.35</v>
      </c>
      <c r="V822" s="10">
        <f>VLOOKUP(D822,A!B$1:T$1125,17,FALSE)</f>
        <v>0</v>
      </c>
      <c r="W822" s="10">
        <f t="shared" si="128"/>
        <v>0</v>
      </c>
      <c r="X822" s="29"/>
      <c r="Y822" s="29"/>
      <c r="Z822" s="29"/>
      <c r="AA822" s="29"/>
    </row>
    <row r="823" spans="1:27" s="3" customFormat="1" ht="13.5" hidden="1" customHeight="1" x14ac:dyDescent="0.25">
      <c r="A823" t="str">
        <f>IF(R823=0,"",COUNTIF(A$13:A822,"&gt;0")+1)</f>
        <v/>
      </c>
      <c r="B823" s="4"/>
      <c r="C823" s="5" t="s">
        <v>44</v>
      </c>
      <c r="D823" s="7" t="s">
        <v>166</v>
      </c>
      <c r="E823" s="31"/>
      <c r="F823" s="31"/>
      <c r="G823" s="6" t="s">
        <v>167</v>
      </c>
      <c r="H823" s="7">
        <f>VLOOKUP(D823,A!B$1:L$1126,8,FALSE)</f>
        <v>0</v>
      </c>
      <c r="I823" s="31">
        <f>VLOOKUP(D823,A!B$1:L$1126,8,FALSE)</f>
        <v>0</v>
      </c>
      <c r="J823" s="92"/>
      <c r="K823" s="63" t="str">
        <f>VLOOKUP(D823,A!B$1:P$1126,11,FALSE)</f>
        <v/>
      </c>
      <c r="L823" s="2"/>
      <c r="M823" s="40" t="s">
        <v>1802</v>
      </c>
      <c r="N823" s="94">
        <f>VLOOKUP(D823,A!B$1:L$1125,7,FALSE)</f>
        <v>0</v>
      </c>
      <c r="O823" s="94">
        <f>VLOOKUP(D823,A!B$1:P$1126,9,FALSE)</f>
        <v>0</v>
      </c>
      <c r="P823" s="10">
        <v>6</v>
      </c>
      <c r="Q823" s="151">
        <v>5.2</v>
      </c>
      <c r="R823" s="10">
        <f t="shared" si="126"/>
        <v>0</v>
      </c>
      <c r="S823" s="10">
        <f t="shared" si="127"/>
        <v>0</v>
      </c>
      <c r="T823" s="30" t="s">
        <v>327</v>
      </c>
      <c r="U823" s="115">
        <v>0.35</v>
      </c>
      <c r="V823" s="10">
        <f>VLOOKUP(D823,A!B$1:T$1125,17,FALSE)</f>
        <v>0</v>
      </c>
      <c r="W823" s="10">
        <f t="shared" si="128"/>
        <v>0</v>
      </c>
      <c r="X823" s="30"/>
      <c r="Y823" s="29"/>
      <c r="Z823" s="29"/>
      <c r="AA823" s="29"/>
    </row>
    <row r="824" spans="1:27" s="3" customFormat="1" ht="13.5" hidden="1" customHeight="1" x14ac:dyDescent="0.25">
      <c r="A824" t="str">
        <f>IF(R824=0,"",COUNTIF(A$13:A823,"&gt;0")+1)</f>
        <v/>
      </c>
      <c r="B824" s="4"/>
      <c r="C824" s="5" t="s">
        <v>44</v>
      </c>
      <c r="D824" s="7" t="s">
        <v>656</v>
      </c>
      <c r="E824" s="31"/>
      <c r="F824" s="31"/>
      <c r="G824" s="6" t="s">
        <v>70</v>
      </c>
      <c r="H824" s="7">
        <f>VLOOKUP(D824,A!B$1:L$1126,8,FALSE)</f>
        <v>0</v>
      </c>
      <c r="I824" s="31">
        <f>VLOOKUP(D824,A!B$1:L$1126,8,FALSE)</f>
        <v>0</v>
      </c>
      <c r="J824" s="92"/>
      <c r="K824" s="63" t="str">
        <f>VLOOKUP(D824,A!B$1:P$1126,11,FALSE)</f>
        <v/>
      </c>
      <c r="L824" s="162"/>
      <c r="M824" s="40" t="s">
        <v>657</v>
      </c>
      <c r="N824" s="94">
        <f>VLOOKUP(D824,A!B$1:L$1125,7,FALSE)</f>
        <v>0</v>
      </c>
      <c r="O824" s="94">
        <f>VLOOKUP(D824,A!B$1:P$1126,9,FALSE)</f>
        <v>0</v>
      </c>
      <c r="P824" s="10">
        <v>6</v>
      </c>
      <c r="Q824" s="151">
        <v>5.2</v>
      </c>
      <c r="R824" s="10">
        <f t="shared" si="126"/>
        <v>0</v>
      </c>
      <c r="S824" s="10">
        <f t="shared" si="127"/>
        <v>0</v>
      </c>
      <c r="T824" s="30" t="s">
        <v>327</v>
      </c>
      <c r="U824" s="115">
        <v>0.35</v>
      </c>
      <c r="V824" s="10">
        <f>VLOOKUP(D824,A!B$1:T$1125,17,FALSE)</f>
        <v>0</v>
      </c>
      <c r="W824" s="10">
        <f t="shared" si="128"/>
        <v>0</v>
      </c>
      <c r="X824" s="29"/>
      <c r="Y824" s="29"/>
      <c r="Z824" s="29"/>
      <c r="AA824" s="29"/>
    </row>
    <row r="825" spans="1:27" s="3" customFormat="1" ht="13.5" hidden="1" customHeight="1" x14ac:dyDescent="0.25">
      <c r="A825" t="str">
        <f>IF(R825=0,"",COUNTIF(A$13:A824,"&gt;0")+1)</f>
        <v/>
      </c>
      <c r="B825" s="4"/>
      <c r="C825" s="5" t="s">
        <v>44</v>
      </c>
      <c r="D825" s="7" t="s">
        <v>658</v>
      </c>
      <c r="E825" s="31"/>
      <c r="F825" s="31"/>
      <c r="G825" s="6" t="s">
        <v>654</v>
      </c>
      <c r="H825" s="7">
        <f>VLOOKUP(D825,A!B$1:L$1126,8,FALSE)</f>
        <v>0</v>
      </c>
      <c r="I825" s="31">
        <f>VLOOKUP(D825,A!B$1:L$1126,8,FALSE)</f>
        <v>0</v>
      </c>
      <c r="J825" s="92"/>
      <c r="K825" s="63" t="str">
        <f>VLOOKUP(D825,A!B$1:P$1126,11,FALSE)</f>
        <v/>
      </c>
      <c r="L825" s="162"/>
      <c r="M825" s="40" t="s">
        <v>659</v>
      </c>
      <c r="N825" s="94">
        <f>VLOOKUP(D825,A!B$1:L$1125,7,FALSE)</f>
        <v>0</v>
      </c>
      <c r="O825" s="94">
        <f>VLOOKUP(D825,A!B$1:P$1126,9,FALSE)</f>
        <v>0</v>
      </c>
      <c r="P825" s="10">
        <v>6</v>
      </c>
      <c r="Q825" s="151">
        <v>5.2</v>
      </c>
      <c r="R825" s="10">
        <f t="shared" si="126"/>
        <v>0</v>
      </c>
      <c r="S825" s="10">
        <f t="shared" si="127"/>
        <v>0</v>
      </c>
      <c r="T825" s="30" t="s">
        <v>327</v>
      </c>
      <c r="U825" s="115">
        <v>0.35</v>
      </c>
      <c r="V825" s="10">
        <f>VLOOKUP(D825,A!B$1:T$1125,17,FALSE)</f>
        <v>0</v>
      </c>
      <c r="W825" s="10">
        <f t="shared" si="128"/>
        <v>0</v>
      </c>
      <c r="X825" s="29"/>
      <c r="Y825" s="29"/>
      <c r="Z825" s="29"/>
      <c r="AA825" s="29"/>
    </row>
    <row r="826" spans="1:27" s="3" customFormat="1" ht="13.5" hidden="1" customHeight="1" x14ac:dyDescent="0.25">
      <c r="A826" t="str">
        <f>IF(R826=0,"",COUNTIF(A$13:A825,"&gt;0")+1)</f>
        <v/>
      </c>
      <c r="B826" s="4"/>
      <c r="C826" s="5" t="s">
        <v>44</v>
      </c>
      <c r="D826" s="7" t="s">
        <v>660</v>
      </c>
      <c r="E826" s="31"/>
      <c r="F826" s="31"/>
      <c r="G826" s="6" t="s">
        <v>661</v>
      </c>
      <c r="H826" s="7">
        <f>VLOOKUP(D826,A!B$1:L$1126,8,FALSE)</f>
        <v>0</v>
      </c>
      <c r="I826" s="31">
        <f>VLOOKUP(D826,A!B$1:L$1126,8,FALSE)</f>
        <v>0</v>
      </c>
      <c r="J826" s="92"/>
      <c r="K826" s="63" t="str">
        <f>VLOOKUP(D826,A!B$1:P$1126,11,FALSE)</f>
        <v/>
      </c>
      <c r="L826" s="162"/>
      <c r="M826" s="40" t="s">
        <v>662</v>
      </c>
      <c r="N826" s="94">
        <f>VLOOKUP(D826,A!B$1:L$1125,7,FALSE)</f>
        <v>0</v>
      </c>
      <c r="O826" s="94">
        <f>VLOOKUP(D826,A!B$1:P$1126,9,FALSE)</f>
        <v>0</v>
      </c>
      <c r="P826" s="10">
        <v>6</v>
      </c>
      <c r="Q826" s="151">
        <v>5.2</v>
      </c>
      <c r="R826" s="10">
        <f t="shared" si="126"/>
        <v>0</v>
      </c>
      <c r="S826" s="10">
        <f t="shared" si="127"/>
        <v>0</v>
      </c>
      <c r="T826" s="30" t="s">
        <v>327</v>
      </c>
      <c r="U826" s="115">
        <v>0.35</v>
      </c>
      <c r="V826" s="10">
        <f>VLOOKUP(D826,A!B$1:T$1125,17,FALSE)</f>
        <v>0</v>
      </c>
      <c r="W826" s="10">
        <f t="shared" si="128"/>
        <v>0</v>
      </c>
      <c r="X826" s="29"/>
      <c r="Y826" s="29"/>
      <c r="Z826" s="29"/>
      <c r="AA826" s="29"/>
    </row>
    <row r="827" spans="1:27" s="3" customFormat="1" ht="13.5" hidden="1" customHeight="1" x14ac:dyDescent="0.25">
      <c r="A827" t="str">
        <f>IF(R827=0,"",COUNTIF(A$13:A826,"&gt;0")+1)</f>
        <v/>
      </c>
      <c r="B827" s="4"/>
      <c r="C827" s="5" t="s">
        <v>44</v>
      </c>
      <c r="D827" s="7" t="s">
        <v>663</v>
      </c>
      <c r="E827" s="31"/>
      <c r="F827" s="31"/>
      <c r="G827" s="6" t="s">
        <v>664</v>
      </c>
      <c r="H827" s="7">
        <f>VLOOKUP(D827,A!B$1:L$1126,8,FALSE)</f>
        <v>0</v>
      </c>
      <c r="I827" s="31">
        <f>VLOOKUP(D827,A!B$1:L$1126,8,FALSE)</f>
        <v>0</v>
      </c>
      <c r="J827" s="92"/>
      <c r="K827" s="63" t="str">
        <f>VLOOKUP(D827,A!B$1:P$1126,11,FALSE)</f>
        <v/>
      </c>
      <c r="L827" s="162"/>
      <c r="M827" s="40" t="s">
        <v>665</v>
      </c>
      <c r="N827" s="94">
        <f>VLOOKUP(D827,A!B$1:L$1125,7,FALSE)</f>
        <v>0</v>
      </c>
      <c r="O827" s="94">
        <f>VLOOKUP(D827,A!B$1:P$1126,9,FALSE)</f>
        <v>0</v>
      </c>
      <c r="P827" s="10">
        <v>6</v>
      </c>
      <c r="Q827" s="151">
        <v>5.2</v>
      </c>
      <c r="R827" s="10">
        <f t="shared" si="126"/>
        <v>0</v>
      </c>
      <c r="S827" s="10">
        <f t="shared" si="127"/>
        <v>0</v>
      </c>
      <c r="T827" s="30" t="s">
        <v>327</v>
      </c>
      <c r="U827" s="115">
        <v>0.35</v>
      </c>
      <c r="V827" s="10">
        <f>VLOOKUP(D827,A!B$1:T$1125,17,FALSE)</f>
        <v>0</v>
      </c>
      <c r="W827" s="10">
        <f t="shared" si="128"/>
        <v>0</v>
      </c>
      <c r="X827" s="29"/>
      <c r="Y827" s="29"/>
      <c r="Z827" s="29"/>
      <c r="AA827" s="29"/>
    </row>
    <row r="828" spans="1:27" s="3" customFormat="1" ht="13.5" hidden="1" customHeight="1" x14ac:dyDescent="0.25">
      <c r="A828" t="str">
        <f>IF(R828=0,"",COUNTIF(A$13:A827,"&gt;0")+1)</f>
        <v/>
      </c>
      <c r="B828" s="4"/>
      <c r="C828" s="5" t="s">
        <v>44</v>
      </c>
      <c r="D828" s="7" t="s">
        <v>148</v>
      </c>
      <c r="E828" s="31"/>
      <c r="F828" s="31"/>
      <c r="G828" s="6" t="s">
        <v>149</v>
      </c>
      <c r="H828" s="7">
        <f>VLOOKUP(D828,A!B$1:L$1126,8,FALSE)</f>
        <v>0</v>
      </c>
      <c r="I828" s="31">
        <f>VLOOKUP(D828,A!B$1:L$1126,8,FALSE)</f>
        <v>0</v>
      </c>
      <c r="J828" s="92"/>
      <c r="K828" s="63" t="str">
        <f>VLOOKUP(D828,A!B$1:P$1126,11,FALSE)</f>
        <v/>
      </c>
      <c r="L828" s="162"/>
      <c r="M828" s="40" t="s">
        <v>150</v>
      </c>
      <c r="N828" s="94">
        <f>VLOOKUP(D828,A!B$1:L$1125,7,FALSE)</f>
        <v>0</v>
      </c>
      <c r="O828" s="94">
        <f>VLOOKUP(D828,A!B$1:P$1126,9,FALSE)</f>
        <v>0</v>
      </c>
      <c r="P828" s="10">
        <v>6</v>
      </c>
      <c r="Q828" s="151">
        <v>5.2</v>
      </c>
      <c r="R828" s="10">
        <f t="shared" si="126"/>
        <v>0</v>
      </c>
      <c r="S828" s="10">
        <f t="shared" si="127"/>
        <v>0</v>
      </c>
      <c r="T828" s="30" t="s">
        <v>327</v>
      </c>
      <c r="U828" s="115">
        <v>0.35</v>
      </c>
      <c r="V828" s="10">
        <f>VLOOKUP(D828,A!B$1:T$1125,17,FALSE)</f>
        <v>0</v>
      </c>
      <c r="W828" s="10">
        <f t="shared" si="128"/>
        <v>0</v>
      </c>
      <c r="X828" s="29"/>
      <c r="Y828" s="29"/>
      <c r="Z828" s="29"/>
      <c r="AA828" s="29"/>
    </row>
    <row r="829" spans="1:27" s="3" customFormat="1" ht="13.5" hidden="1" customHeight="1" x14ac:dyDescent="0.25">
      <c r="A829" t="str">
        <f>IF(R829=0,"",COUNTIF(A$13:A828,"&gt;0")+1)</f>
        <v/>
      </c>
      <c r="B829" s="4"/>
      <c r="C829" s="5" t="s">
        <v>44</v>
      </c>
      <c r="D829" s="7" t="s">
        <v>148</v>
      </c>
      <c r="E829" s="31"/>
      <c r="F829" s="31"/>
      <c r="G829" s="6" t="s">
        <v>149</v>
      </c>
      <c r="H829" s="7">
        <f>VLOOKUP(D829,A!B$1:L$1126,8,FALSE)</f>
        <v>0</v>
      </c>
      <c r="I829" s="31">
        <f>VLOOKUP(D829,A!B$1:L$1126,8,FALSE)</f>
        <v>0</v>
      </c>
      <c r="J829" s="92"/>
      <c r="K829" s="63" t="str">
        <f>VLOOKUP(D829,A!B$1:P$1126,11,FALSE)</f>
        <v/>
      </c>
      <c r="L829" s="2"/>
      <c r="M829" s="39" t="s">
        <v>150</v>
      </c>
      <c r="N829" s="94">
        <f>VLOOKUP(D829,A!B$1:L$1125,7,FALSE)</f>
        <v>0</v>
      </c>
      <c r="O829" s="94">
        <f>VLOOKUP(D829,A!B$1:P$1126,9,FALSE)</f>
        <v>0</v>
      </c>
      <c r="P829" s="10">
        <v>6</v>
      </c>
      <c r="Q829" s="151">
        <v>5.2</v>
      </c>
      <c r="R829" s="10">
        <f t="shared" si="126"/>
        <v>0</v>
      </c>
      <c r="S829" s="10">
        <f t="shared" si="127"/>
        <v>0</v>
      </c>
      <c r="T829" s="30" t="s">
        <v>327</v>
      </c>
      <c r="U829" s="115">
        <v>0.35</v>
      </c>
      <c r="V829" s="10">
        <f>VLOOKUP(D829,A!B$1:T$1125,17,FALSE)</f>
        <v>0</v>
      </c>
      <c r="W829" s="10">
        <f t="shared" si="128"/>
        <v>0</v>
      </c>
      <c r="X829" s="29"/>
      <c r="Y829" s="29"/>
      <c r="Z829" s="29"/>
      <c r="AA829" s="29"/>
    </row>
    <row r="830" spans="1:27" s="3" customFormat="1" ht="13.5" hidden="1" customHeight="1" x14ac:dyDescent="0.25">
      <c r="A830" t="str">
        <f>IF(R830=0,"",COUNTIF(A$13:A829,"&gt;0")+1)</f>
        <v/>
      </c>
      <c r="B830" s="4"/>
      <c r="C830" s="5" t="s">
        <v>44</v>
      </c>
      <c r="D830" s="7" t="s">
        <v>239</v>
      </c>
      <c r="E830" s="31"/>
      <c r="F830" s="31"/>
      <c r="G830" s="6" t="s">
        <v>240</v>
      </c>
      <c r="H830" s="7">
        <f>VLOOKUP(D830,A!B$1:L$1126,8,FALSE)</f>
        <v>0</v>
      </c>
      <c r="I830" s="31">
        <f>VLOOKUP(D830,A!B$1:L$1126,8,FALSE)</f>
        <v>0</v>
      </c>
      <c r="J830" s="92"/>
      <c r="K830" s="63" t="str">
        <f>VLOOKUP(D830,A!B$1:P$1126,11,FALSE)</f>
        <v/>
      </c>
      <c r="L830" s="162"/>
      <c r="M830" s="41" t="s">
        <v>241</v>
      </c>
      <c r="N830" s="94">
        <f>VLOOKUP(D830,A!B$1:L$1125,7,FALSE)</f>
        <v>0</v>
      </c>
      <c r="O830" s="94">
        <f>VLOOKUP(D830,A!B$1:P$1126,9,FALSE)</f>
        <v>0</v>
      </c>
      <c r="P830" s="10">
        <v>6</v>
      </c>
      <c r="Q830" s="151">
        <v>5.2</v>
      </c>
      <c r="R830" s="10">
        <f t="shared" si="126"/>
        <v>0</v>
      </c>
      <c r="S830" s="10">
        <f t="shared" si="127"/>
        <v>0</v>
      </c>
      <c r="T830" s="30" t="s">
        <v>327</v>
      </c>
      <c r="U830" s="115">
        <v>0.35</v>
      </c>
      <c r="V830" s="10">
        <f>VLOOKUP(D830,A!B$1:T$1125,17,FALSE)</f>
        <v>0</v>
      </c>
      <c r="W830" s="10">
        <f t="shared" si="128"/>
        <v>0</v>
      </c>
      <c r="X830" s="29"/>
      <c r="Y830" s="29"/>
      <c r="Z830" s="29"/>
      <c r="AA830" s="29"/>
    </row>
    <row r="831" spans="1:27" s="48" customFormat="1" ht="13.5" hidden="1" customHeight="1" x14ac:dyDescent="0.25">
      <c r="A831" t="str">
        <f>IF(R831=0,"",COUNTIF(A$13:A830,"&gt;0")+1)</f>
        <v/>
      </c>
      <c r="B831" s="4"/>
      <c r="C831" s="5" t="s">
        <v>44</v>
      </c>
      <c r="D831" s="7" t="s">
        <v>666</v>
      </c>
      <c r="E831" s="31"/>
      <c r="F831" s="31"/>
      <c r="G831" s="6" t="s">
        <v>40</v>
      </c>
      <c r="H831" s="7">
        <f>VLOOKUP(D831,A!B$1:L$1126,8,FALSE)</f>
        <v>0</v>
      </c>
      <c r="I831" s="31">
        <f>VLOOKUP(D831,A!B$1:L$1126,8,FALSE)</f>
        <v>0</v>
      </c>
      <c r="J831" s="92"/>
      <c r="K831" s="63" t="str">
        <f>VLOOKUP(D831,A!B$1:P$1126,11,FALSE)</f>
        <v/>
      </c>
      <c r="L831" s="162"/>
      <c r="M831" s="41" t="s">
        <v>41</v>
      </c>
      <c r="N831" s="94">
        <f>VLOOKUP(D831,A!B$1:L$1125,7,FALSE)</f>
        <v>0</v>
      </c>
      <c r="O831" s="94">
        <f>VLOOKUP(D831,A!B$1:P$1126,9,FALSE)</f>
        <v>0</v>
      </c>
      <c r="P831" s="10">
        <v>6</v>
      </c>
      <c r="Q831" s="151">
        <v>5.2</v>
      </c>
      <c r="R831" s="10">
        <f t="shared" si="126"/>
        <v>0</v>
      </c>
      <c r="S831" s="10">
        <f t="shared" si="127"/>
        <v>0</v>
      </c>
      <c r="T831" s="30" t="s">
        <v>327</v>
      </c>
      <c r="U831" s="115">
        <v>0.35</v>
      </c>
      <c r="V831" s="10">
        <f>VLOOKUP(D831,A!B$1:T$1125,17,FALSE)</f>
        <v>0</v>
      </c>
      <c r="W831" s="10">
        <f t="shared" si="128"/>
        <v>0</v>
      </c>
      <c r="X831" s="29"/>
      <c r="Y831" s="116"/>
      <c r="Z831" s="116"/>
      <c r="AA831" s="116"/>
    </row>
    <row r="832" spans="1:27" s="48" customFormat="1" ht="13.5" hidden="1" customHeight="1" x14ac:dyDescent="0.25">
      <c r="A832" t="str">
        <f>IF(R832=0,"",COUNTIF(A$13:A831,"&gt;0")+1)</f>
        <v/>
      </c>
      <c r="B832" s="4"/>
      <c r="C832" s="5" t="s">
        <v>44</v>
      </c>
      <c r="D832" s="7" t="s">
        <v>39</v>
      </c>
      <c r="E832" s="31"/>
      <c r="F832" s="31"/>
      <c r="G832" s="6" t="s">
        <v>40</v>
      </c>
      <c r="H832" s="7">
        <f>VLOOKUP(D832,A!B$1:L$1126,8,FALSE)</f>
        <v>0</v>
      </c>
      <c r="I832" s="31">
        <f>VLOOKUP(D832,A!B$1:L$1126,8,FALSE)</f>
        <v>0</v>
      </c>
      <c r="J832" s="92"/>
      <c r="K832" s="63" t="str">
        <f>VLOOKUP(D832,A!B$1:P$1126,11,FALSE)</f>
        <v/>
      </c>
      <c r="L832" s="162"/>
      <c r="M832" s="41" t="s">
        <v>41</v>
      </c>
      <c r="N832" s="94">
        <f>VLOOKUP(D832,A!B$1:L$1125,7,FALSE)</f>
        <v>0</v>
      </c>
      <c r="O832" s="94">
        <f>VLOOKUP(D832,A!B$1:P$1126,9,FALSE)</f>
        <v>0</v>
      </c>
      <c r="P832" s="10">
        <v>6</v>
      </c>
      <c r="Q832" s="151">
        <v>5.2</v>
      </c>
      <c r="R832" s="10">
        <f t="shared" si="126"/>
        <v>0</v>
      </c>
      <c r="S832" s="10">
        <f t="shared" si="127"/>
        <v>0</v>
      </c>
      <c r="T832" s="30" t="s">
        <v>327</v>
      </c>
      <c r="U832" s="115">
        <v>0.35</v>
      </c>
      <c r="V832" s="10">
        <f>VLOOKUP(D832,A!B$1:T$1125,17,FALSE)</f>
        <v>0</v>
      </c>
      <c r="W832" s="10">
        <f t="shared" si="128"/>
        <v>0</v>
      </c>
      <c r="X832" s="29"/>
      <c r="Y832" s="116"/>
      <c r="Z832" s="116"/>
      <c r="AA832" s="116"/>
    </row>
    <row r="833" spans="1:67" s="48" customFormat="1" ht="13.5" hidden="1" customHeight="1" x14ac:dyDescent="0.25">
      <c r="A833" t="str">
        <f>IF(R833=0,"",COUNTIF(A$13:A832,"&gt;0")+1)</f>
        <v/>
      </c>
      <c r="B833" s="4"/>
      <c r="C833" s="5" t="s">
        <v>44</v>
      </c>
      <c r="D833" s="7" t="s">
        <v>667</v>
      </c>
      <c r="E833" s="31"/>
      <c r="F833" s="31"/>
      <c r="G833" s="6" t="s">
        <v>668</v>
      </c>
      <c r="H833" s="7">
        <f>VLOOKUP(D833,A!B$1:L$1126,8,FALSE)</f>
        <v>0</v>
      </c>
      <c r="I833" s="31">
        <f>VLOOKUP(D833,A!B$1:L$1126,8,FALSE)</f>
        <v>0</v>
      </c>
      <c r="J833" s="92"/>
      <c r="K833" s="63" t="str">
        <f>VLOOKUP(D833,A!B$1:P$1126,11,FALSE)</f>
        <v/>
      </c>
      <c r="L833" s="162"/>
      <c r="M833" s="43" t="s">
        <v>669</v>
      </c>
      <c r="N833" s="94">
        <f>VLOOKUP(D833,A!B$1:L$1125,7,FALSE)</f>
        <v>0</v>
      </c>
      <c r="O833" s="94">
        <f>VLOOKUP(D833,A!B$1:P$1126,9,FALSE)</f>
        <v>0</v>
      </c>
      <c r="P833" s="10">
        <v>6</v>
      </c>
      <c r="Q833" s="151">
        <v>5.2</v>
      </c>
      <c r="R833" s="10">
        <f t="shared" si="126"/>
        <v>0</v>
      </c>
      <c r="S833" s="10">
        <f t="shared" si="127"/>
        <v>0</v>
      </c>
      <c r="T833" s="30" t="s">
        <v>327</v>
      </c>
      <c r="U833" s="115">
        <v>0.35</v>
      </c>
      <c r="V833" s="10">
        <f>VLOOKUP(D833,A!B$1:T$1125,17,FALSE)</f>
        <v>0</v>
      </c>
      <c r="W833" s="10">
        <f t="shared" si="128"/>
        <v>0</v>
      </c>
      <c r="X833" s="29"/>
      <c r="Y833" s="116"/>
      <c r="Z833" s="116"/>
      <c r="AA833" s="116"/>
    </row>
    <row r="834" spans="1:67" s="48" customFormat="1" ht="13.5" hidden="1" customHeight="1" x14ac:dyDescent="0.25">
      <c r="A834" t="str">
        <f>IF(R834=0,"",COUNTIF(A$13:A833,"&gt;0")+1)</f>
        <v/>
      </c>
      <c r="B834" s="4"/>
      <c r="C834" s="5" t="s">
        <v>44</v>
      </c>
      <c r="D834" s="7" t="s">
        <v>670</v>
      </c>
      <c r="E834" s="31"/>
      <c r="F834" s="31"/>
      <c r="G834" s="6" t="s">
        <v>671</v>
      </c>
      <c r="H834" s="7">
        <f>VLOOKUP(D834,A!B$1:L$1126,8,FALSE)</f>
        <v>0</v>
      </c>
      <c r="I834" s="31">
        <f>VLOOKUP(D834,A!B$1:L$1126,8,FALSE)</f>
        <v>0</v>
      </c>
      <c r="J834" s="92"/>
      <c r="K834" s="63" t="str">
        <f>VLOOKUP(D834,A!B$1:P$1126,11,FALSE)</f>
        <v/>
      </c>
      <c r="L834" s="162"/>
      <c r="M834" s="43" t="s">
        <v>672</v>
      </c>
      <c r="N834" s="94">
        <f>VLOOKUP(D834,A!B$1:L$1125,7,FALSE)</f>
        <v>0</v>
      </c>
      <c r="O834" s="94">
        <f>VLOOKUP(D834,A!B$1:P$1126,9,FALSE)</f>
        <v>0</v>
      </c>
      <c r="P834" s="10">
        <v>6</v>
      </c>
      <c r="Q834" s="151">
        <v>5.2</v>
      </c>
      <c r="R834" s="10">
        <f t="shared" si="126"/>
        <v>0</v>
      </c>
      <c r="S834" s="10">
        <f t="shared" si="127"/>
        <v>0</v>
      </c>
      <c r="T834" s="30" t="s">
        <v>327</v>
      </c>
      <c r="U834" s="115">
        <v>0.35</v>
      </c>
      <c r="V834" s="10">
        <f>VLOOKUP(D834,A!B$1:T$1125,17,FALSE)</f>
        <v>0</v>
      </c>
      <c r="W834" s="10">
        <f t="shared" si="128"/>
        <v>0</v>
      </c>
      <c r="X834" s="29"/>
      <c r="Y834" s="116"/>
      <c r="Z834" s="116"/>
      <c r="AA834" s="116"/>
    </row>
    <row r="835" spans="1:67" s="48" customFormat="1" ht="13.5" hidden="1" customHeight="1" x14ac:dyDescent="0.25">
      <c r="A835" t="str">
        <f>IF(R835=0,"",COUNTIF(A$13:A834,"&gt;0")+1)</f>
        <v/>
      </c>
      <c r="B835" s="4"/>
      <c r="C835" s="5" t="s">
        <v>44</v>
      </c>
      <c r="D835" s="7" t="s">
        <v>673</v>
      </c>
      <c r="E835" s="31"/>
      <c r="F835" s="31"/>
      <c r="G835" s="6" t="s">
        <v>674</v>
      </c>
      <c r="H835" s="7">
        <f>VLOOKUP(D835,A!B$1:L$1126,8,FALSE)</f>
        <v>0</v>
      </c>
      <c r="I835" s="31">
        <f>VLOOKUP(D835,A!B$1:L$1126,8,FALSE)</f>
        <v>0</v>
      </c>
      <c r="J835" s="92"/>
      <c r="K835" s="63" t="str">
        <f>VLOOKUP(D835,A!B$1:P$1126,11,FALSE)</f>
        <v/>
      </c>
      <c r="L835" s="162"/>
      <c r="M835" s="41" t="s">
        <v>675</v>
      </c>
      <c r="N835" s="94">
        <f>VLOOKUP(D835,A!B$1:L$1125,7,FALSE)</f>
        <v>0</v>
      </c>
      <c r="O835" s="94">
        <f>VLOOKUP(D835,A!B$1:P$1126,9,FALSE)</f>
        <v>0</v>
      </c>
      <c r="P835" s="10">
        <v>6</v>
      </c>
      <c r="Q835" s="151">
        <v>5.2</v>
      </c>
      <c r="R835" s="10">
        <f t="shared" si="126"/>
        <v>0</v>
      </c>
      <c r="S835" s="10">
        <f t="shared" si="127"/>
        <v>0</v>
      </c>
      <c r="T835" s="30" t="s">
        <v>327</v>
      </c>
      <c r="U835" s="115">
        <v>0.35</v>
      </c>
      <c r="V835" s="10">
        <f>VLOOKUP(D835,A!B$1:T$1125,17,FALSE)</f>
        <v>0</v>
      </c>
      <c r="W835" s="10">
        <f t="shared" si="128"/>
        <v>0</v>
      </c>
      <c r="X835" s="29"/>
      <c r="Y835" s="116"/>
      <c r="Z835" s="116"/>
      <c r="AA835" s="116"/>
    </row>
    <row r="836" spans="1:67" ht="12" hidden="1" customHeight="1" x14ac:dyDescent="0.25">
      <c r="A836" t="str">
        <f>IF(R836=0,"",COUNTIF(A$13:A835,"&gt;0")+1)</f>
        <v/>
      </c>
      <c r="B836" s="4"/>
      <c r="C836" s="5" t="s">
        <v>44</v>
      </c>
      <c r="D836" s="7" t="s">
        <v>676</v>
      </c>
      <c r="E836" s="31"/>
      <c r="F836" s="31"/>
      <c r="G836" s="6" t="s">
        <v>677</v>
      </c>
      <c r="H836" s="7">
        <f>VLOOKUP(D836,A!B$1:L$1126,8,FALSE)</f>
        <v>0</v>
      </c>
      <c r="I836" s="31">
        <f>VLOOKUP(D836,A!B$1:L$1126,8,FALSE)</f>
        <v>0</v>
      </c>
      <c r="J836" s="92"/>
      <c r="K836" s="63" t="str">
        <f>VLOOKUP(D836,A!B$1:P$1126,11,FALSE)</f>
        <v/>
      </c>
      <c r="L836" s="162"/>
      <c r="M836" s="41" t="s">
        <v>678</v>
      </c>
      <c r="N836" s="94">
        <f>VLOOKUP(D836,A!B$1:L$1125,7,FALSE)</f>
        <v>0</v>
      </c>
      <c r="O836" s="94">
        <f>VLOOKUP(D836,A!B$1:P$1126,9,FALSE)</f>
        <v>0</v>
      </c>
      <c r="P836" s="10">
        <v>6</v>
      </c>
      <c r="Q836" s="151">
        <v>5.2</v>
      </c>
      <c r="R836" s="10">
        <f t="shared" si="126"/>
        <v>0</v>
      </c>
      <c r="S836" s="10">
        <f t="shared" si="127"/>
        <v>0</v>
      </c>
      <c r="T836" s="30" t="s">
        <v>327</v>
      </c>
      <c r="U836" s="115">
        <v>0.35</v>
      </c>
      <c r="V836" s="10">
        <f>VLOOKUP(D836,A!B$1:T$1125,17,FALSE)</f>
        <v>0</v>
      </c>
      <c r="W836" s="10">
        <f t="shared" si="128"/>
        <v>0</v>
      </c>
      <c r="X836" s="116"/>
      <c r="AC836" s="30"/>
      <c r="AD836" s="30"/>
      <c r="AE836" s="115"/>
      <c r="AF836" s="115"/>
      <c r="AG836" s="115"/>
      <c r="AH836" s="115"/>
      <c r="AI836" s="115"/>
      <c r="AJ836" s="115"/>
      <c r="AK836" s="115"/>
      <c r="AL836" s="115"/>
      <c r="AM836" s="115"/>
      <c r="AN836" s="115"/>
      <c r="AO836" s="115"/>
      <c r="AP836" s="115"/>
      <c r="AQ836" s="115"/>
      <c r="AR836" s="115"/>
      <c r="AS836" s="115"/>
      <c r="AT836" s="115"/>
      <c r="AU836" s="115"/>
      <c r="AV836" s="115"/>
      <c r="AW836" s="115"/>
      <c r="AX836" s="115"/>
      <c r="AY836" s="115"/>
      <c r="AZ836" s="115"/>
      <c r="BA836" s="115"/>
      <c r="BB836" s="115"/>
      <c r="BC836" s="115"/>
      <c r="BD836" s="115"/>
      <c r="BE836" s="115"/>
      <c r="BF836" s="115"/>
      <c r="BG836" s="115"/>
      <c r="BH836" s="115"/>
      <c r="BI836" s="115"/>
      <c r="BJ836" s="115"/>
      <c r="BK836" s="115"/>
      <c r="BL836" s="115"/>
      <c r="BM836" s="115"/>
      <c r="BN836" s="115"/>
      <c r="BO836" s="115"/>
    </row>
    <row r="837" spans="1:67" ht="12" hidden="1" customHeight="1" x14ac:dyDescent="0.25">
      <c r="A837" t="str">
        <f>IF(R837=0,"",COUNTIF(A$13:A836,"&gt;0")+1)</f>
        <v/>
      </c>
      <c r="B837" s="4"/>
      <c r="C837" s="5" t="s">
        <v>44</v>
      </c>
      <c r="D837" s="7" t="s">
        <v>679</v>
      </c>
      <c r="E837" s="31"/>
      <c r="F837" s="31"/>
      <c r="G837" s="6" t="s">
        <v>680</v>
      </c>
      <c r="H837" s="7">
        <f>VLOOKUP(D837,A!B$1:L$1126,8,FALSE)</f>
        <v>0</v>
      </c>
      <c r="I837" s="31">
        <f>VLOOKUP(D837,A!B$1:L$1126,8,FALSE)</f>
        <v>0</v>
      </c>
      <c r="J837" s="92"/>
      <c r="K837" s="63" t="str">
        <f>VLOOKUP(D837,A!B$1:P$1126,11,FALSE)</f>
        <v/>
      </c>
      <c r="L837" s="162"/>
      <c r="M837" s="41" t="s">
        <v>681</v>
      </c>
      <c r="N837" s="94">
        <f>VLOOKUP(D837,A!B$1:L$1125,7,FALSE)</f>
        <v>0</v>
      </c>
      <c r="O837" s="94">
        <f>VLOOKUP(D837,A!B$1:P$1126,9,FALSE)</f>
        <v>0</v>
      </c>
      <c r="P837" s="10">
        <v>6</v>
      </c>
      <c r="Q837" s="151">
        <v>5.2</v>
      </c>
      <c r="R837" s="10">
        <f t="shared" si="126"/>
        <v>0</v>
      </c>
      <c r="S837" s="10">
        <f t="shared" si="127"/>
        <v>0</v>
      </c>
      <c r="T837" s="30" t="s">
        <v>327</v>
      </c>
      <c r="U837" s="115">
        <v>0.35</v>
      </c>
      <c r="V837" s="10">
        <f>VLOOKUP(D837,A!B$1:T$1125,17,FALSE)</f>
        <v>0</v>
      </c>
      <c r="W837" s="10">
        <f t="shared" si="128"/>
        <v>0</v>
      </c>
      <c r="X837" s="116"/>
      <c r="AC837" s="30"/>
      <c r="AD837" s="30"/>
      <c r="AE837" s="115"/>
      <c r="AF837" s="115"/>
      <c r="AG837" s="115"/>
      <c r="AH837" s="115"/>
      <c r="AI837" s="115"/>
      <c r="AJ837" s="115"/>
      <c r="AK837" s="115"/>
      <c r="AL837" s="115"/>
      <c r="AM837" s="115"/>
      <c r="AN837" s="115"/>
      <c r="AO837" s="115"/>
      <c r="AP837" s="115"/>
      <c r="AQ837" s="115"/>
      <c r="AR837" s="115"/>
      <c r="AS837" s="115"/>
      <c r="AT837" s="115"/>
      <c r="AU837" s="115"/>
      <c r="AV837" s="115"/>
      <c r="AW837" s="115"/>
      <c r="AX837" s="115"/>
      <c r="AY837" s="115"/>
      <c r="AZ837" s="115"/>
      <c r="BA837" s="115"/>
      <c r="BB837" s="115"/>
      <c r="BC837" s="115"/>
      <c r="BD837" s="115"/>
      <c r="BE837" s="115"/>
      <c r="BF837" s="115"/>
      <c r="BG837" s="115"/>
      <c r="BH837" s="115"/>
      <c r="BI837" s="115"/>
      <c r="BJ837" s="115"/>
      <c r="BK837" s="115"/>
      <c r="BL837" s="115"/>
      <c r="BM837" s="115"/>
      <c r="BN837" s="115"/>
      <c r="BO837" s="115"/>
    </row>
    <row r="838" spans="1:67" ht="12" hidden="1" customHeight="1" x14ac:dyDescent="0.25">
      <c r="A838" t="str">
        <f>IF(R838=0,"",COUNTIF(A$13:A837,"&gt;0")+1)</f>
        <v/>
      </c>
      <c r="B838" s="4"/>
      <c r="C838" s="5" t="s">
        <v>44</v>
      </c>
      <c r="D838" s="7" t="s">
        <v>682</v>
      </c>
      <c r="E838" s="31"/>
      <c r="F838" s="31"/>
      <c r="G838" s="6" t="s">
        <v>683</v>
      </c>
      <c r="H838" s="7">
        <f>VLOOKUP(D838,A!B$1:L$1126,8,FALSE)</f>
        <v>0</v>
      </c>
      <c r="I838" s="31">
        <f>VLOOKUP(D838,A!B$1:L$1126,8,FALSE)</f>
        <v>0</v>
      </c>
      <c r="J838" s="92"/>
      <c r="K838" s="63" t="str">
        <f>VLOOKUP(D838,A!B$1:P$1126,11,FALSE)</f>
        <v/>
      </c>
      <c r="L838" s="162"/>
      <c r="M838" s="41" t="s">
        <v>684</v>
      </c>
      <c r="N838" s="94">
        <f>VLOOKUP(D838,A!B$1:L$1125,7,FALSE)</f>
        <v>0</v>
      </c>
      <c r="O838" s="94">
        <f>VLOOKUP(D838,A!B$1:P$1126,9,FALSE)</f>
        <v>0</v>
      </c>
      <c r="P838" s="10">
        <v>6</v>
      </c>
      <c r="Q838" s="151">
        <v>5.2</v>
      </c>
      <c r="R838" s="10">
        <f t="shared" si="126"/>
        <v>0</v>
      </c>
      <c r="S838" s="10">
        <f t="shared" si="127"/>
        <v>0</v>
      </c>
      <c r="T838" s="30" t="s">
        <v>327</v>
      </c>
      <c r="U838" s="115">
        <v>0.35</v>
      </c>
      <c r="V838" s="10">
        <f>VLOOKUP(D838,A!B$1:T$1125,17,FALSE)</f>
        <v>0</v>
      </c>
      <c r="W838" s="10">
        <f t="shared" si="128"/>
        <v>0</v>
      </c>
      <c r="X838" s="116"/>
      <c r="AC838" s="30"/>
      <c r="AD838" s="30"/>
      <c r="AE838" s="115"/>
      <c r="AF838" s="115"/>
      <c r="AG838" s="115"/>
      <c r="AH838" s="115"/>
      <c r="AI838" s="115"/>
      <c r="AJ838" s="115"/>
      <c r="AK838" s="115"/>
      <c r="AL838" s="115"/>
      <c r="AM838" s="115"/>
      <c r="AN838" s="115"/>
      <c r="AO838" s="115"/>
      <c r="AP838" s="115"/>
      <c r="AQ838" s="115"/>
      <c r="AR838" s="115"/>
      <c r="AS838" s="115"/>
      <c r="AT838" s="115"/>
      <c r="AU838" s="115"/>
      <c r="AV838" s="115"/>
      <c r="AW838" s="115"/>
      <c r="AX838" s="115"/>
      <c r="AY838" s="115"/>
      <c r="AZ838" s="115"/>
      <c r="BA838" s="115"/>
      <c r="BB838" s="115"/>
      <c r="BC838" s="115"/>
      <c r="BD838" s="115"/>
      <c r="BE838" s="115"/>
      <c r="BF838" s="115"/>
      <c r="BG838" s="115"/>
      <c r="BH838" s="115"/>
      <c r="BI838" s="115"/>
      <c r="BJ838" s="115"/>
      <c r="BK838" s="115"/>
      <c r="BL838" s="115"/>
      <c r="BM838" s="115"/>
      <c r="BN838" s="115"/>
      <c r="BO838" s="115"/>
    </row>
    <row r="839" spans="1:67" ht="12" hidden="1" customHeight="1" x14ac:dyDescent="0.25">
      <c r="A839" t="str">
        <f>IF(R839=0,"",COUNTIF(A$13:A838,"&gt;0")+1)</f>
        <v/>
      </c>
      <c r="B839" s="4"/>
      <c r="C839" s="5" t="s">
        <v>44</v>
      </c>
      <c r="D839" s="7" t="s">
        <v>242</v>
      </c>
      <c r="E839" s="31"/>
      <c r="F839" s="31"/>
      <c r="G839" s="6" t="s">
        <v>243</v>
      </c>
      <c r="H839" s="7">
        <f>VLOOKUP(D839,A!B$1:L$1126,8,FALSE)</f>
        <v>0</v>
      </c>
      <c r="I839" s="31">
        <f>VLOOKUP(D839,A!B$1:L$1126,8,FALSE)</f>
        <v>0</v>
      </c>
      <c r="J839" s="92"/>
      <c r="K839" s="63" t="str">
        <f>VLOOKUP(D839,A!B$1:P$1126,11,FALSE)</f>
        <v/>
      </c>
      <c r="L839" s="162"/>
      <c r="M839" s="41" t="s">
        <v>244</v>
      </c>
      <c r="N839" s="94">
        <f>VLOOKUP(D839,A!B$1:L$1125,7,FALSE)</f>
        <v>0</v>
      </c>
      <c r="O839" s="94">
        <f>VLOOKUP(D839,A!B$1:P$1126,9,FALSE)</f>
        <v>0</v>
      </c>
      <c r="P839" s="10">
        <v>6</v>
      </c>
      <c r="Q839" s="151">
        <v>5.2</v>
      </c>
      <c r="R839" s="10">
        <f t="shared" si="126"/>
        <v>0</v>
      </c>
      <c r="S839" s="10">
        <f t="shared" si="127"/>
        <v>0</v>
      </c>
      <c r="T839" s="30" t="s">
        <v>327</v>
      </c>
      <c r="U839" s="115">
        <v>0.35</v>
      </c>
      <c r="V839" s="10">
        <f>VLOOKUP(D839,A!B$1:T$1125,17,FALSE)</f>
        <v>0</v>
      </c>
      <c r="W839" s="10">
        <f t="shared" si="128"/>
        <v>0</v>
      </c>
      <c r="X839" s="116"/>
      <c r="AC839" s="30"/>
      <c r="AD839" s="30"/>
      <c r="AE839" s="115"/>
      <c r="AF839" s="115"/>
      <c r="AG839" s="115"/>
      <c r="AH839" s="115"/>
      <c r="AI839" s="115"/>
      <c r="AJ839" s="115"/>
      <c r="AK839" s="115"/>
      <c r="AL839" s="115"/>
      <c r="AM839" s="115"/>
      <c r="AN839" s="115"/>
      <c r="AO839" s="115"/>
      <c r="AP839" s="115"/>
      <c r="AQ839" s="115"/>
      <c r="AR839" s="115"/>
      <c r="AS839" s="115"/>
      <c r="AT839" s="115"/>
      <c r="AU839" s="115"/>
      <c r="AV839" s="115"/>
      <c r="AW839" s="115"/>
      <c r="AX839" s="115"/>
      <c r="AY839" s="115"/>
      <c r="AZ839" s="115"/>
      <c r="BA839" s="115"/>
      <c r="BB839" s="115"/>
      <c r="BC839" s="115"/>
      <c r="BD839" s="115"/>
      <c r="BE839" s="115"/>
      <c r="BF839" s="115"/>
      <c r="BG839" s="115"/>
      <c r="BH839" s="115"/>
      <c r="BI839" s="115"/>
      <c r="BJ839" s="115"/>
      <c r="BK839" s="115"/>
      <c r="BL839" s="115"/>
      <c r="BM839" s="115"/>
      <c r="BN839" s="115"/>
      <c r="BO839" s="115"/>
    </row>
    <row r="840" spans="1:67" s="3" customFormat="1" ht="12" hidden="1" customHeight="1" x14ac:dyDescent="0.25">
      <c r="A840" t="str">
        <f>IF(R840=0,"",COUNTIF(A$13:A839,"&gt;0")+1)</f>
        <v/>
      </c>
      <c r="B840" s="4"/>
      <c r="C840" s="5" t="s">
        <v>44</v>
      </c>
      <c r="D840" s="7" t="s">
        <v>685</v>
      </c>
      <c r="E840" s="31"/>
      <c r="F840" s="31"/>
      <c r="G840" s="6" t="s">
        <v>686</v>
      </c>
      <c r="H840" s="7">
        <f>VLOOKUP(D840,A!B$1:L$1126,8,FALSE)</f>
        <v>0</v>
      </c>
      <c r="I840" s="31">
        <f>VLOOKUP(D840,A!B$1:L$1126,8,FALSE)</f>
        <v>0</v>
      </c>
      <c r="J840" s="92"/>
      <c r="K840" s="63" t="str">
        <f>VLOOKUP(D840,A!B$1:P$1126,11,FALSE)</f>
        <v/>
      </c>
      <c r="L840" s="162"/>
      <c r="M840" s="43" t="s">
        <v>687</v>
      </c>
      <c r="N840" s="94">
        <f>VLOOKUP(D840,A!B$1:L$1125,7,FALSE)</f>
        <v>0</v>
      </c>
      <c r="O840" s="94">
        <f>VLOOKUP(D840,A!B$1:P$1126,9,FALSE)</f>
        <v>0</v>
      </c>
      <c r="P840" s="10">
        <v>6</v>
      </c>
      <c r="Q840" s="151">
        <v>5.2</v>
      </c>
      <c r="R840" s="10">
        <f t="shared" si="126"/>
        <v>0</v>
      </c>
      <c r="S840" s="10">
        <f t="shared" si="127"/>
        <v>0</v>
      </c>
      <c r="T840" s="30" t="s">
        <v>327</v>
      </c>
      <c r="U840" s="115">
        <v>0.35</v>
      </c>
      <c r="V840" s="10">
        <f>VLOOKUP(D840,A!B$1:T$1125,17,FALSE)</f>
        <v>0</v>
      </c>
      <c r="W840" s="10">
        <f t="shared" si="128"/>
        <v>0</v>
      </c>
      <c r="X840" s="116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</row>
    <row r="841" spans="1:67" s="19" customFormat="1" ht="13.5" customHeight="1" x14ac:dyDescent="0.25">
      <c r="A841" t="str">
        <f>IF(R841=0,"",COUNTIF(A$13:A840,"&gt;0")+1)</f>
        <v/>
      </c>
      <c r="B841" s="82">
        <f>SUM(B739:B840)</f>
        <v>0</v>
      </c>
      <c r="C841" s="5" t="s">
        <v>44</v>
      </c>
      <c r="D841" s="24" t="s">
        <v>36</v>
      </c>
      <c r="E841" s="88"/>
      <c r="F841" s="96"/>
      <c r="G841" s="84"/>
      <c r="H841" s="84"/>
      <c r="I841" s="84"/>
      <c r="J841" s="84"/>
      <c r="K841" s="84"/>
      <c r="L841" s="84"/>
      <c r="M841" s="84"/>
      <c r="N841" s="100"/>
      <c r="O841" s="100"/>
      <c r="P841" s="10">
        <v>6</v>
      </c>
      <c r="Q841" s="151"/>
      <c r="R841" s="10">
        <f t="shared" si="117"/>
        <v>0</v>
      </c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  <c r="BL841" s="28"/>
      <c r="BM841" s="28"/>
      <c r="BN841" s="28"/>
      <c r="BO841" s="28"/>
    </row>
    <row r="842" spans="1:67" ht="15" customHeight="1" x14ac:dyDescent="0.25">
      <c r="A842" t="str">
        <f>IF(R842=0,"",COUNTIF(A$13:A841,"&gt;0")+1)</f>
        <v/>
      </c>
      <c r="N842" s="102"/>
      <c r="O842" s="102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  <c r="Z842" s="115"/>
      <c r="AA842" s="115"/>
      <c r="AB842" s="115"/>
      <c r="AC842" s="115"/>
      <c r="AD842" s="115"/>
      <c r="AE842" s="115"/>
      <c r="AF842" s="115"/>
      <c r="AG842" s="115"/>
      <c r="AH842" s="115"/>
      <c r="AI842" s="115"/>
      <c r="AJ842" s="115"/>
      <c r="AK842" s="115"/>
      <c r="AL842" s="115"/>
      <c r="AM842" s="115"/>
      <c r="AN842" s="115"/>
      <c r="AO842" s="115"/>
      <c r="AP842" s="115"/>
      <c r="AQ842" s="115"/>
      <c r="AR842" s="115"/>
      <c r="AS842" s="115"/>
      <c r="AT842" s="115"/>
      <c r="AU842" s="115"/>
      <c r="AV842" s="115"/>
      <c r="AW842" s="115"/>
      <c r="AX842" s="115"/>
      <c r="AY842" s="115"/>
      <c r="AZ842" s="115"/>
      <c r="BA842" s="115"/>
      <c r="BB842" s="115"/>
      <c r="BC842" s="115"/>
      <c r="BD842" s="115"/>
      <c r="BE842" s="115"/>
      <c r="BF842" s="115"/>
      <c r="BG842" s="115"/>
      <c r="BH842" s="115"/>
      <c r="BI842" s="115"/>
      <c r="BJ842" s="115"/>
      <c r="BK842" s="115"/>
      <c r="BL842" s="115"/>
      <c r="BM842" s="115"/>
      <c r="BN842" s="115"/>
      <c r="BO842" s="115"/>
    </row>
    <row r="843" spans="1:67" ht="21" customHeight="1" x14ac:dyDescent="0.25">
      <c r="A843" t="str">
        <f>IF(R843=0,"",COUNTIF(A$13:A842,"&gt;0")+1)</f>
        <v/>
      </c>
      <c r="B843" s="234" t="s">
        <v>97</v>
      </c>
      <c r="C843" s="235"/>
      <c r="D843" s="235"/>
      <c r="E843" s="235"/>
      <c r="F843" s="235"/>
      <c r="G843" s="236"/>
      <c r="H843" s="123"/>
      <c r="I843" s="124"/>
      <c r="J843" s="137"/>
      <c r="K843" s="137"/>
      <c r="L843" s="137" t="s">
        <v>74</v>
      </c>
      <c r="M843" s="27">
        <v>5.95</v>
      </c>
      <c r="S843" s="10"/>
      <c r="AC843" s="30"/>
      <c r="AD843" s="30"/>
      <c r="AE843" s="115"/>
      <c r="AF843" s="115"/>
      <c r="AG843" s="115"/>
      <c r="AH843" s="115"/>
      <c r="AI843" s="115"/>
      <c r="AJ843" s="115"/>
      <c r="AK843" s="115"/>
      <c r="AL843" s="115"/>
      <c r="AM843" s="115"/>
      <c r="AN843" s="115"/>
      <c r="AO843" s="115"/>
      <c r="AP843" s="115"/>
      <c r="AQ843" s="115"/>
      <c r="AR843" s="115"/>
      <c r="AS843" s="115"/>
      <c r="AT843" s="115"/>
      <c r="AU843" s="115"/>
      <c r="AV843" s="115"/>
      <c r="AW843" s="115"/>
      <c r="AX843" s="115"/>
      <c r="AY843" s="115"/>
      <c r="AZ843" s="115"/>
      <c r="BA843" s="115"/>
      <c r="BB843" s="115"/>
      <c r="BC843" s="115"/>
      <c r="BD843" s="115"/>
      <c r="BE843" s="115"/>
      <c r="BF843" s="115"/>
      <c r="BG843" s="115"/>
      <c r="BH843" s="115"/>
      <c r="BI843" s="115"/>
      <c r="BJ843" s="115"/>
      <c r="BK843" s="115"/>
      <c r="BL843" s="115"/>
      <c r="BM843" s="115"/>
      <c r="BN843" s="115"/>
      <c r="BO843" s="115"/>
    </row>
    <row r="844" spans="1:67" ht="12" customHeight="1" x14ac:dyDescent="0.25">
      <c r="A844" t="str">
        <f>IF(R844=0,"",COUNTIF(A$13:A843,"&gt;0")+1)</f>
        <v/>
      </c>
      <c r="B844" s="237" t="s">
        <v>18</v>
      </c>
      <c r="C844" s="238"/>
      <c r="D844" s="16" t="s">
        <v>19</v>
      </c>
      <c r="E844" s="86"/>
      <c r="F844" s="86"/>
      <c r="G844" s="17" t="s">
        <v>20</v>
      </c>
      <c r="H844" s="118"/>
      <c r="I844" s="117"/>
      <c r="J844" s="117"/>
      <c r="K844" s="122" t="s">
        <v>17</v>
      </c>
      <c r="L844" s="119">
        <v>5021353011609</v>
      </c>
      <c r="M844" s="120" t="s">
        <v>21</v>
      </c>
      <c r="S844" s="10"/>
      <c r="AC844" s="30"/>
      <c r="AD844" s="30"/>
      <c r="AE844" s="115"/>
      <c r="AF844" s="115"/>
      <c r="AG844" s="115"/>
      <c r="AH844" s="115"/>
      <c r="AI844" s="115"/>
      <c r="AJ844" s="115"/>
      <c r="AK844" s="115"/>
      <c r="AL844" s="115"/>
      <c r="AM844" s="115"/>
      <c r="AN844" s="115"/>
      <c r="AO844" s="115"/>
      <c r="AP844" s="115"/>
      <c r="AQ844" s="115"/>
      <c r="AR844" s="115"/>
      <c r="AS844" s="115"/>
      <c r="AT844" s="115"/>
      <c r="AU844" s="115"/>
      <c r="AV844" s="115"/>
      <c r="AW844" s="115"/>
      <c r="AX844" s="115"/>
      <c r="AY844" s="115"/>
      <c r="AZ844" s="115"/>
      <c r="BA844" s="115"/>
      <c r="BB844" s="115"/>
      <c r="BC844" s="115"/>
      <c r="BD844" s="115"/>
      <c r="BE844" s="115"/>
      <c r="BF844" s="115"/>
      <c r="BG844" s="115"/>
      <c r="BH844" s="115"/>
      <c r="BI844" s="115"/>
      <c r="BJ844" s="115"/>
      <c r="BK844" s="115"/>
      <c r="BL844" s="115"/>
      <c r="BM844" s="115"/>
      <c r="BN844" s="115"/>
      <c r="BO844" s="115"/>
    </row>
    <row r="845" spans="1:67" s="3" customFormat="1" ht="13.5" customHeight="1" x14ac:dyDescent="0.25">
      <c r="A845" t="str">
        <f>IF(R845=0,"",COUNTIF(A$13:A844,"&gt;0")+1)</f>
        <v/>
      </c>
      <c r="B845" s="4"/>
      <c r="C845" s="5" t="s">
        <v>44</v>
      </c>
      <c r="D845" s="7" t="s">
        <v>57</v>
      </c>
      <c r="E845" s="31"/>
      <c r="F845" s="31"/>
      <c r="G845" s="23" t="s">
        <v>61</v>
      </c>
      <c r="H845" s="7">
        <f>VLOOKUP(D845,A!B$1:L$1126,8,FALSE)</f>
        <v>1</v>
      </c>
      <c r="I845" s="31">
        <f>VLOOKUP(D845,A!B$1:L$1126,8,FALSE)</f>
        <v>1</v>
      </c>
      <c r="J845" s="92"/>
      <c r="K845" s="63" t="str">
        <f>VLOOKUP(D845,A!B$1:P$1126,11,FALSE)</f>
        <v/>
      </c>
      <c r="L845" s="31"/>
      <c r="M845" s="39" t="s">
        <v>60</v>
      </c>
      <c r="N845" s="94" t="str">
        <f>VLOOKUP(D845,A!B$1:L$1125,7,FALSE)</f>
        <v>y</v>
      </c>
      <c r="O845" s="94">
        <f>VLOOKUP(D845,A!B$1:P$1126,9,FALSE)</f>
        <v>0</v>
      </c>
      <c r="P845" s="10">
        <v>6</v>
      </c>
      <c r="Q845" s="10">
        <v>5.95</v>
      </c>
      <c r="R845" s="10">
        <f t="shared" ref="R845:R1043" si="129">B845*P845</f>
        <v>0</v>
      </c>
      <c r="S845" s="10">
        <f>R845*Q845</f>
        <v>0</v>
      </c>
      <c r="T845" s="29" t="s">
        <v>97</v>
      </c>
      <c r="U845" s="115">
        <v>0.35</v>
      </c>
      <c r="V845" s="10">
        <f>VLOOKUP(D845,A!B$1:T$1125,17,FALSE)</f>
        <v>0</v>
      </c>
      <c r="W845" s="10">
        <f t="shared" ref="W845" si="130">U845*B845</f>
        <v>0</v>
      </c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</row>
    <row r="846" spans="1:67" s="3" customFormat="1" ht="13.5" hidden="1" customHeight="1" x14ac:dyDescent="0.25">
      <c r="A846" t="str">
        <f>IF(R846=0,"",COUNTIF(A$13:A845,"&gt;0")+1)</f>
        <v/>
      </c>
      <c r="B846" s="4"/>
      <c r="C846" s="5" t="s">
        <v>44</v>
      </c>
      <c r="D846" s="175" t="s">
        <v>774</v>
      </c>
      <c r="E846" s="176"/>
      <c r="F846" s="176"/>
      <c r="G846" s="21" t="s">
        <v>775</v>
      </c>
      <c r="H846" s="7">
        <f>VLOOKUP(D846,A!B$1:L$1126,8,FALSE)</f>
        <v>0</v>
      </c>
      <c r="I846" s="31">
        <f>VLOOKUP(D846,A!B$1:L$1126,8,FALSE)</f>
        <v>0</v>
      </c>
      <c r="J846" s="92"/>
      <c r="K846" s="63" t="str">
        <f>VLOOKUP(D846,A!B$1:P$1126,11,FALSE)</f>
        <v/>
      </c>
      <c r="L846" s="162"/>
      <c r="M846" s="41" t="s">
        <v>776</v>
      </c>
      <c r="N846" s="94">
        <f>VLOOKUP(D846,A!B$1:L$1125,7,FALSE)</f>
        <v>0</v>
      </c>
      <c r="O846" s="94">
        <f>VLOOKUP(D846,A!B$1:P$1126,9,FALSE)</f>
        <v>0</v>
      </c>
      <c r="P846" s="10">
        <v>6</v>
      </c>
      <c r="Q846" s="10">
        <v>5.95</v>
      </c>
      <c r="R846" s="10">
        <f t="shared" ref="R846:R909" si="131">B846*P846</f>
        <v>0</v>
      </c>
      <c r="S846" s="10">
        <f t="shared" ref="S846:S909" si="132">R846*Q846</f>
        <v>0</v>
      </c>
      <c r="T846" s="29" t="s">
        <v>97</v>
      </c>
      <c r="U846" s="115">
        <v>0.35</v>
      </c>
      <c r="V846" s="10">
        <f>VLOOKUP(D846,A!B$1:T$1125,17,FALSE)</f>
        <v>0</v>
      </c>
      <c r="W846" s="10">
        <f t="shared" ref="W846:W909" si="133">U846*B846</f>
        <v>0</v>
      </c>
      <c r="X846" s="29"/>
      <c r="Y846" s="29"/>
      <c r="Z846" s="29"/>
      <c r="AA846" s="29"/>
    </row>
    <row r="847" spans="1:67" s="3" customFormat="1" ht="13.5" hidden="1" customHeight="1" x14ac:dyDescent="0.25">
      <c r="A847" t="str">
        <f>IF(R847=0,"",COUNTIF(A$13:A846,"&gt;0")+1)</f>
        <v/>
      </c>
      <c r="B847" s="4"/>
      <c r="C847" s="5" t="s">
        <v>44</v>
      </c>
      <c r="D847" s="7" t="s">
        <v>777</v>
      </c>
      <c r="E847" s="31"/>
      <c r="F847" s="31"/>
      <c r="G847" s="21" t="s">
        <v>778</v>
      </c>
      <c r="H847" s="7">
        <f>VLOOKUP(D847,A!B$1:L$1126,8,FALSE)</f>
        <v>0</v>
      </c>
      <c r="I847" s="31">
        <f>VLOOKUP(D847,A!B$1:L$1126,8,FALSE)</f>
        <v>0</v>
      </c>
      <c r="J847" s="92"/>
      <c r="K847" s="63" t="str">
        <f>VLOOKUP(D847,A!B$1:P$1126,11,FALSE)</f>
        <v/>
      </c>
      <c r="L847" s="162"/>
      <c r="M847" s="41" t="s">
        <v>779</v>
      </c>
      <c r="N847" s="94">
        <f>VLOOKUP(D847,A!B$1:L$1125,7,FALSE)</f>
        <v>0</v>
      </c>
      <c r="O847" s="94">
        <f>VLOOKUP(D847,A!B$1:P$1126,9,FALSE)</f>
        <v>0</v>
      </c>
      <c r="P847" s="10">
        <v>6</v>
      </c>
      <c r="Q847" s="10">
        <v>5.95</v>
      </c>
      <c r="R847" s="10">
        <f t="shared" si="131"/>
        <v>0</v>
      </c>
      <c r="S847" s="10">
        <f t="shared" si="132"/>
        <v>0</v>
      </c>
      <c r="T847" s="29" t="s">
        <v>97</v>
      </c>
      <c r="U847" s="115">
        <v>0.35</v>
      </c>
      <c r="V847" s="10">
        <f>VLOOKUP(D847,A!B$1:T$1125,17,FALSE)</f>
        <v>0</v>
      </c>
      <c r="W847" s="10">
        <f t="shared" si="133"/>
        <v>0</v>
      </c>
      <c r="X847" s="29"/>
      <c r="Y847" s="29"/>
      <c r="Z847" s="29"/>
      <c r="AA847" s="29"/>
    </row>
    <row r="848" spans="1:67" s="3" customFormat="1" ht="13.5" hidden="1" customHeight="1" x14ac:dyDescent="0.25">
      <c r="A848" t="str">
        <f>IF(R848=0,"",COUNTIF(A$13:A847,"&gt;0")+1)</f>
        <v/>
      </c>
      <c r="B848" s="4"/>
      <c r="C848" s="5" t="s">
        <v>44</v>
      </c>
      <c r="D848" s="7" t="s">
        <v>780</v>
      </c>
      <c r="E848" s="31"/>
      <c r="F848" s="31"/>
      <c r="G848" s="21" t="s">
        <v>781</v>
      </c>
      <c r="H848" s="7">
        <f>VLOOKUP(D848,A!B$1:L$1126,8,FALSE)</f>
        <v>0</v>
      </c>
      <c r="I848" s="31">
        <f>VLOOKUP(D848,A!B$1:L$1126,8,FALSE)</f>
        <v>0</v>
      </c>
      <c r="J848" s="92"/>
      <c r="K848" s="63" t="str">
        <f>VLOOKUP(D848,A!B$1:P$1126,11,FALSE)</f>
        <v/>
      </c>
      <c r="L848" s="162"/>
      <c r="M848" s="43" t="s">
        <v>782</v>
      </c>
      <c r="N848" s="94">
        <f>VLOOKUP(D848,A!B$1:L$1125,7,FALSE)</f>
        <v>0</v>
      </c>
      <c r="O848" s="94">
        <f>VLOOKUP(D848,A!B$1:P$1126,9,FALSE)</f>
        <v>0</v>
      </c>
      <c r="P848" s="10">
        <v>6</v>
      </c>
      <c r="Q848" s="10">
        <v>5.95</v>
      </c>
      <c r="R848" s="10">
        <f t="shared" si="131"/>
        <v>0</v>
      </c>
      <c r="S848" s="10">
        <f t="shared" si="132"/>
        <v>0</v>
      </c>
      <c r="T848" s="29" t="s">
        <v>97</v>
      </c>
      <c r="U848" s="115">
        <v>0.35</v>
      </c>
      <c r="V848" s="10">
        <f>VLOOKUP(D848,A!B$1:T$1125,17,FALSE)</f>
        <v>0</v>
      </c>
      <c r="W848" s="10">
        <f t="shared" si="133"/>
        <v>0</v>
      </c>
      <c r="X848" s="29"/>
      <c r="Y848" s="29"/>
      <c r="Z848" s="29"/>
      <c r="AA848" s="29"/>
    </row>
    <row r="849" spans="1:27" s="3" customFormat="1" ht="13.5" hidden="1" customHeight="1" x14ac:dyDescent="0.25">
      <c r="A849" t="str">
        <f>IF(R849=0,"",COUNTIF(A$13:A848,"&gt;0")+1)</f>
        <v/>
      </c>
      <c r="B849" s="4"/>
      <c r="C849" s="5" t="s">
        <v>44</v>
      </c>
      <c r="D849" s="7" t="s">
        <v>783</v>
      </c>
      <c r="E849" s="31"/>
      <c r="F849" s="31"/>
      <c r="G849" s="21" t="s">
        <v>784</v>
      </c>
      <c r="H849" s="7">
        <f>VLOOKUP(D849,A!B$1:L$1126,8,FALSE)</f>
        <v>0</v>
      </c>
      <c r="I849" s="31">
        <f>VLOOKUP(D849,A!B$1:L$1126,8,FALSE)</f>
        <v>0</v>
      </c>
      <c r="J849" s="92"/>
      <c r="K849" s="63" t="str">
        <f>VLOOKUP(D849,A!B$1:P$1126,11,FALSE)</f>
        <v/>
      </c>
      <c r="L849" s="162"/>
      <c r="M849" s="41" t="s">
        <v>785</v>
      </c>
      <c r="N849" s="94">
        <f>VLOOKUP(D849,A!B$1:L$1125,7,FALSE)</f>
        <v>0</v>
      </c>
      <c r="O849" s="94">
        <f>VLOOKUP(D849,A!B$1:P$1126,9,FALSE)</f>
        <v>0</v>
      </c>
      <c r="P849" s="10">
        <v>6</v>
      </c>
      <c r="Q849" s="10">
        <v>5.95</v>
      </c>
      <c r="R849" s="10">
        <f t="shared" si="131"/>
        <v>0</v>
      </c>
      <c r="S849" s="10">
        <f t="shared" si="132"/>
        <v>0</v>
      </c>
      <c r="T849" s="29" t="s">
        <v>97</v>
      </c>
      <c r="U849" s="115">
        <v>0.35</v>
      </c>
      <c r="V849" s="10">
        <f>VLOOKUP(D849,A!B$1:T$1125,17,FALSE)</f>
        <v>0</v>
      </c>
      <c r="W849" s="10">
        <f t="shared" si="133"/>
        <v>0</v>
      </c>
      <c r="X849" s="29"/>
      <c r="Y849" s="29"/>
      <c r="Z849" s="29"/>
      <c r="AA849" s="29"/>
    </row>
    <row r="850" spans="1:27" s="3" customFormat="1" ht="13.5" hidden="1" customHeight="1" x14ac:dyDescent="0.25">
      <c r="A850" t="str">
        <f>IF(R850=0,"",COUNTIF(A$13:A849,"&gt;0")+1)</f>
        <v/>
      </c>
      <c r="B850" s="4"/>
      <c r="C850" s="5" t="s">
        <v>44</v>
      </c>
      <c r="D850" s="7" t="s">
        <v>786</v>
      </c>
      <c r="E850" s="31"/>
      <c r="F850" s="31"/>
      <c r="G850" s="21" t="s">
        <v>784</v>
      </c>
      <c r="H850" s="7">
        <f>VLOOKUP(D850,A!B$1:L$1126,8,FALSE)</f>
        <v>0</v>
      </c>
      <c r="I850" s="31">
        <f>VLOOKUP(D850,A!B$1:L$1126,8,FALSE)</f>
        <v>0</v>
      </c>
      <c r="J850" s="92"/>
      <c r="K850" s="63" t="str">
        <f>VLOOKUP(D850,A!B$1:P$1126,11,FALSE)</f>
        <v/>
      </c>
      <c r="L850" s="162"/>
      <c r="M850" s="43" t="s">
        <v>787</v>
      </c>
      <c r="N850" s="94">
        <f>VLOOKUP(D850,A!B$1:L$1125,7,FALSE)</f>
        <v>0</v>
      </c>
      <c r="O850" s="94">
        <f>VLOOKUP(D850,A!B$1:P$1126,9,FALSE)</f>
        <v>0</v>
      </c>
      <c r="P850" s="10">
        <v>6</v>
      </c>
      <c r="Q850" s="10">
        <v>5.95</v>
      </c>
      <c r="R850" s="10">
        <f t="shared" si="131"/>
        <v>0</v>
      </c>
      <c r="S850" s="10">
        <f t="shared" si="132"/>
        <v>0</v>
      </c>
      <c r="T850" s="29" t="s">
        <v>97</v>
      </c>
      <c r="U850" s="115">
        <v>0.35</v>
      </c>
      <c r="V850" s="10">
        <f>VLOOKUP(D850,A!B$1:T$1125,17,FALSE)</f>
        <v>0</v>
      </c>
      <c r="W850" s="10">
        <f t="shared" si="133"/>
        <v>0</v>
      </c>
      <c r="X850" s="29"/>
      <c r="Y850" s="29"/>
      <c r="Z850" s="29"/>
      <c r="AA850" s="29"/>
    </row>
    <row r="851" spans="1:27" s="3" customFormat="1" ht="13.5" hidden="1" customHeight="1" x14ac:dyDescent="0.25">
      <c r="A851" t="str">
        <f>IF(R851=0,"",COUNTIF(A$13:A850,"&gt;0")+1)</f>
        <v/>
      </c>
      <c r="B851" s="4"/>
      <c r="C851" s="5" t="s">
        <v>44</v>
      </c>
      <c r="D851" s="7" t="s">
        <v>788</v>
      </c>
      <c r="E851" s="31"/>
      <c r="F851" s="31"/>
      <c r="G851" s="6" t="s">
        <v>784</v>
      </c>
      <c r="H851" s="7">
        <f>VLOOKUP(D851,A!B$1:L$1126,8,FALSE)</f>
        <v>0</v>
      </c>
      <c r="I851" s="31">
        <f>VLOOKUP(D851,A!B$1:L$1126,8,FALSE)</f>
        <v>0</v>
      </c>
      <c r="J851" s="92"/>
      <c r="K851" s="63" t="str">
        <f>VLOOKUP(D851,A!B$1:P$1126,11,FALSE)</f>
        <v/>
      </c>
      <c r="L851" s="162"/>
      <c r="M851" s="43" t="s">
        <v>789</v>
      </c>
      <c r="N851" s="94">
        <f>VLOOKUP(D851,A!B$1:L$1125,7,FALSE)</f>
        <v>0</v>
      </c>
      <c r="O851" s="94">
        <f>VLOOKUP(D851,A!B$1:P$1126,9,FALSE)</f>
        <v>0</v>
      </c>
      <c r="P851" s="10">
        <v>6</v>
      </c>
      <c r="Q851" s="10">
        <v>5.95</v>
      </c>
      <c r="R851" s="10">
        <f t="shared" si="131"/>
        <v>0</v>
      </c>
      <c r="S851" s="10">
        <f t="shared" si="132"/>
        <v>0</v>
      </c>
      <c r="T851" s="29" t="s">
        <v>97</v>
      </c>
      <c r="U851" s="115">
        <v>0.35</v>
      </c>
      <c r="V851" s="10">
        <f>VLOOKUP(D851,A!B$1:T$1125,17,FALSE)</f>
        <v>0</v>
      </c>
      <c r="W851" s="10">
        <f t="shared" si="133"/>
        <v>0</v>
      </c>
      <c r="X851" s="29"/>
      <c r="Y851" s="29"/>
      <c r="Z851" s="29"/>
      <c r="AA851" s="29"/>
    </row>
    <row r="852" spans="1:27" s="3" customFormat="1" ht="13.5" hidden="1" customHeight="1" x14ac:dyDescent="0.25">
      <c r="A852" t="str">
        <f>IF(R852=0,"",COUNTIF(A$13:A851,"&gt;0")+1)</f>
        <v/>
      </c>
      <c r="B852" s="4"/>
      <c r="C852" s="5" t="s">
        <v>44</v>
      </c>
      <c r="D852" s="7" t="s">
        <v>790</v>
      </c>
      <c r="E852" s="31"/>
      <c r="F852" s="31"/>
      <c r="G852" s="6" t="s">
        <v>784</v>
      </c>
      <c r="H852" s="7">
        <f>VLOOKUP(D852,A!B$1:L$1126,8,FALSE)</f>
        <v>0</v>
      </c>
      <c r="I852" s="31">
        <f>VLOOKUP(D852,A!B$1:L$1126,8,FALSE)</f>
        <v>0</v>
      </c>
      <c r="J852" s="92"/>
      <c r="K852" s="63" t="str">
        <f>VLOOKUP(D852,A!B$1:P$1126,11,FALSE)</f>
        <v/>
      </c>
      <c r="L852" s="162"/>
      <c r="M852" s="43" t="s">
        <v>791</v>
      </c>
      <c r="N852" s="94">
        <f>VLOOKUP(D852,A!B$1:L$1125,7,FALSE)</f>
        <v>0</v>
      </c>
      <c r="O852" s="94">
        <f>VLOOKUP(D852,A!B$1:P$1126,9,FALSE)</f>
        <v>0</v>
      </c>
      <c r="P852" s="10">
        <v>6</v>
      </c>
      <c r="Q852" s="10">
        <v>5.95</v>
      </c>
      <c r="R852" s="10">
        <f t="shared" si="131"/>
        <v>0</v>
      </c>
      <c r="S852" s="10">
        <f t="shared" si="132"/>
        <v>0</v>
      </c>
      <c r="T852" s="29" t="s">
        <v>97</v>
      </c>
      <c r="U852" s="115">
        <v>0.35</v>
      </c>
      <c r="V852" s="10">
        <f>VLOOKUP(D852,A!B$1:T$1125,17,FALSE)</f>
        <v>0</v>
      </c>
      <c r="W852" s="10">
        <f t="shared" si="133"/>
        <v>0</v>
      </c>
      <c r="X852" s="29"/>
      <c r="Y852" s="29"/>
      <c r="Z852" s="29"/>
      <c r="AA852" s="29"/>
    </row>
    <row r="853" spans="1:27" s="3" customFormat="1" ht="13.5" hidden="1" customHeight="1" x14ac:dyDescent="0.25">
      <c r="A853" t="str">
        <f>IF(R853=0,"",COUNTIF(A$13:A852,"&gt;0")+1)</f>
        <v/>
      </c>
      <c r="B853" s="4"/>
      <c r="C853" s="5" t="s">
        <v>44</v>
      </c>
      <c r="D853" s="7" t="s">
        <v>792</v>
      </c>
      <c r="E853" s="31"/>
      <c r="F853" s="31"/>
      <c r="G853" s="6" t="s">
        <v>784</v>
      </c>
      <c r="H853" s="7">
        <f>VLOOKUP(D853,A!B$1:L$1126,8,FALSE)</f>
        <v>0</v>
      </c>
      <c r="I853" s="31">
        <f>VLOOKUP(D853,A!B$1:L$1126,8,FALSE)</f>
        <v>0</v>
      </c>
      <c r="J853" s="92"/>
      <c r="K853" s="63" t="str">
        <f>VLOOKUP(D853,A!B$1:P$1126,11,FALSE)</f>
        <v/>
      </c>
      <c r="L853" s="162"/>
      <c r="M853" s="43" t="s">
        <v>793</v>
      </c>
      <c r="N853" s="94">
        <f>VLOOKUP(D853,A!B$1:L$1125,7,FALSE)</f>
        <v>0</v>
      </c>
      <c r="O853" s="94">
        <f>VLOOKUP(D853,A!B$1:P$1126,9,FALSE)</f>
        <v>0</v>
      </c>
      <c r="P853" s="10">
        <v>6</v>
      </c>
      <c r="Q853" s="10">
        <v>5.95</v>
      </c>
      <c r="R853" s="10">
        <f t="shared" si="131"/>
        <v>0</v>
      </c>
      <c r="S853" s="10">
        <f t="shared" si="132"/>
        <v>0</v>
      </c>
      <c r="T853" s="29" t="s">
        <v>97</v>
      </c>
      <c r="U853" s="115">
        <v>0.35</v>
      </c>
      <c r="V853" s="10">
        <f>VLOOKUP(D853,A!B$1:T$1125,17,FALSE)</f>
        <v>0</v>
      </c>
      <c r="W853" s="10">
        <f t="shared" si="133"/>
        <v>0</v>
      </c>
      <c r="X853" s="29"/>
      <c r="Y853" s="29"/>
      <c r="Z853" s="29"/>
      <c r="AA853" s="29"/>
    </row>
    <row r="854" spans="1:27" s="3" customFormat="1" ht="13.5" hidden="1" customHeight="1" x14ac:dyDescent="0.25">
      <c r="A854" t="str">
        <f>IF(R854=0,"",COUNTIF(A$13:A853,"&gt;0")+1)</f>
        <v/>
      </c>
      <c r="B854" s="4"/>
      <c r="C854" s="5" t="s">
        <v>44</v>
      </c>
      <c r="D854" s="7" t="s">
        <v>794</v>
      </c>
      <c r="E854" s="31"/>
      <c r="F854" s="31"/>
      <c r="G854" s="6" t="s">
        <v>784</v>
      </c>
      <c r="H854" s="7">
        <f>VLOOKUP(D854,A!B$1:L$1126,8,FALSE)</f>
        <v>0</v>
      </c>
      <c r="I854" s="31">
        <f>VLOOKUP(D854,A!B$1:L$1126,8,FALSE)</f>
        <v>0</v>
      </c>
      <c r="J854" s="92"/>
      <c r="K854" s="63" t="str">
        <f>VLOOKUP(D854,A!B$1:P$1126,11,FALSE)</f>
        <v/>
      </c>
      <c r="L854" s="162"/>
      <c r="M854" s="43" t="s">
        <v>787</v>
      </c>
      <c r="N854" s="94">
        <f>VLOOKUP(D854,A!B$1:L$1125,7,FALSE)</f>
        <v>0</v>
      </c>
      <c r="O854" s="94">
        <f>VLOOKUP(D854,A!B$1:P$1126,9,FALSE)</f>
        <v>0</v>
      </c>
      <c r="P854" s="10">
        <v>6</v>
      </c>
      <c r="Q854" s="10">
        <v>5.95</v>
      </c>
      <c r="R854" s="10">
        <f t="shared" si="131"/>
        <v>0</v>
      </c>
      <c r="S854" s="10">
        <f t="shared" si="132"/>
        <v>0</v>
      </c>
      <c r="T854" s="29" t="s">
        <v>97</v>
      </c>
      <c r="U854" s="115">
        <v>0.35</v>
      </c>
      <c r="V854" s="10">
        <f>VLOOKUP(D854,A!B$1:T$1125,17,FALSE)</f>
        <v>0</v>
      </c>
      <c r="W854" s="10">
        <f t="shared" si="133"/>
        <v>0</v>
      </c>
      <c r="X854" s="29"/>
      <c r="Y854" s="29"/>
      <c r="Z854" s="29"/>
      <c r="AA854" s="29"/>
    </row>
    <row r="855" spans="1:27" s="3" customFormat="1" ht="13.5" hidden="1" customHeight="1" x14ac:dyDescent="0.25">
      <c r="A855" t="str">
        <f>IF(R855=0,"",COUNTIF(A$13:A854,"&gt;0")+1)</f>
        <v/>
      </c>
      <c r="B855" s="4"/>
      <c r="C855" s="5" t="s">
        <v>44</v>
      </c>
      <c r="D855" s="7" t="s">
        <v>795</v>
      </c>
      <c r="E855" s="31"/>
      <c r="F855" s="31"/>
      <c r="G855" s="6" t="s">
        <v>784</v>
      </c>
      <c r="H855" s="7">
        <f>VLOOKUP(D855,A!B$1:L$1126,8,FALSE)</f>
        <v>0</v>
      </c>
      <c r="I855" s="31">
        <f>VLOOKUP(D855,A!B$1:L$1126,8,FALSE)</f>
        <v>0</v>
      </c>
      <c r="J855" s="92"/>
      <c r="K855" s="63" t="str">
        <f>VLOOKUP(D855,A!B$1:P$1126,11,FALSE)</f>
        <v/>
      </c>
      <c r="L855" s="162"/>
      <c r="M855" s="42" t="s">
        <v>796</v>
      </c>
      <c r="N855" s="94">
        <f>VLOOKUP(D855,A!B$1:L$1125,7,FALSE)</f>
        <v>0</v>
      </c>
      <c r="O855" s="94">
        <f>VLOOKUP(D855,A!B$1:P$1126,9,FALSE)</f>
        <v>0</v>
      </c>
      <c r="P855" s="10">
        <v>6</v>
      </c>
      <c r="Q855" s="10">
        <v>5.95</v>
      </c>
      <c r="R855" s="10">
        <f t="shared" si="131"/>
        <v>0</v>
      </c>
      <c r="S855" s="10">
        <f t="shared" si="132"/>
        <v>0</v>
      </c>
      <c r="T855" s="29" t="s">
        <v>97</v>
      </c>
      <c r="U855" s="115">
        <v>0.35</v>
      </c>
      <c r="V855" s="10">
        <f>VLOOKUP(D855,A!B$1:T$1125,17,FALSE)</f>
        <v>0</v>
      </c>
      <c r="W855" s="10">
        <f t="shared" si="133"/>
        <v>0</v>
      </c>
      <c r="X855" s="29"/>
      <c r="Y855" s="29"/>
      <c r="Z855" s="29"/>
      <c r="AA855" s="29"/>
    </row>
    <row r="856" spans="1:27" s="3" customFormat="1" ht="13.5" hidden="1" customHeight="1" x14ac:dyDescent="0.25">
      <c r="A856" t="str">
        <f>IF(R856=0,"",COUNTIF(A$13:A855,"&gt;0")+1)</f>
        <v/>
      </c>
      <c r="B856" s="4"/>
      <c r="C856" s="5" t="s">
        <v>44</v>
      </c>
      <c r="D856" s="7" t="s">
        <v>797</v>
      </c>
      <c r="E856" s="31"/>
      <c r="F856" s="31"/>
      <c r="G856" s="6" t="s">
        <v>784</v>
      </c>
      <c r="H856" s="7">
        <f>VLOOKUP(D856,A!B$1:L$1126,8,FALSE)</f>
        <v>0</v>
      </c>
      <c r="I856" s="31">
        <f>VLOOKUP(D856,A!B$1:L$1126,8,FALSE)</f>
        <v>0</v>
      </c>
      <c r="J856" s="92"/>
      <c r="K856" s="63" t="str">
        <f>VLOOKUP(D856,A!B$1:P$1126,11,FALSE)</f>
        <v/>
      </c>
      <c r="L856" s="162"/>
      <c r="M856" s="43" t="s">
        <v>798</v>
      </c>
      <c r="N856" s="94">
        <f>VLOOKUP(D856,A!B$1:L$1125,7,FALSE)</f>
        <v>0</v>
      </c>
      <c r="O856" s="94">
        <f>VLOOKUP(D856,A!B$1:P$1126,9,FALSE)</f>
        <v>0</v>
      </c>
      <c r="P856" s="10">
        <v>6</v>
      </c>
      <c r="Q856" s="10">
        <v>5.95</v>
      </c>
      <c r="R856" s="10">
        <f t="shared" si="131"/>
        <v>0</v>
      </c>
      <c r="S856" s="10">
        <f t="shared" si="132"/>
        <v>0</v>
      </c>
      <c r="T856" s="29" t="s">
        <v>97</v>
      </c>
      <c r="U856" s="115">
        <v>0.35</v>
      </c>
      <c r="V856" s="10">
        <f>VLOOKUP(D856,A!B$1:T$1125,17,FALSE)</f>
        <v>0</v>
      </c>
      <c r="W856" s="10">
        <f t="shared" si="133"/>
        <v>0</v>
      </c>
      <c r="X856" s="29"/>
      <c r="Y856" s="29"/>
      <c r="Z856" s="29"/>
      <c r="AA856" s="29"/>
    </row>
    <row r="857" spans="1:27" s="3" customFormat="1" ht="13.5" hidden="1" customHeight="1" x14ac:dyDescent="0.25">
      <c r="A857" t="str">
        <f>IF(R857=0,"",COUNTIF(A$13:A856,"&gt;0")+1)</f>
        <v/>
      </c>
      <c r="B857" s="4"/>
      <c r="C857" s="5" t="s">
        <v>44</v>
      </c>
      <c r="D857" s="7" t="s">
        <v>799</v>
      </c>
      <c r="E857" s="31"/>
      <c r="F857" s="31"/>
      <c r="G857" s="6" t="s">
        <v>784</v>
      </c>
      <c r="H857" s="7">
        <f>VLOOKUP(D857,A!B$1:L$1126,8,FALSE)</f>
        <v>0</v>
      </c>
      <c r="I857" s="31">
        <f>VLOOKUP(D857,A!B$1:L$1126,8,FALSE)</f>
        <v>0</v>
      </c>
      <c r="J857" s="92"/>
      <c r="K857" s="63" t="str">
        <f>VLOOKUP(D857,A!B$1:P$1126,11,FALSE)</f>
        <v/>
      </c>
      <c r="L857" s="162"/>
      <c r="M857" s="43" t="s">
        <v>800</v>
      </c>
      <c r="N857" s="94">
        <f>VLOOKUP(D857,A!B$1:L$1125,7,FALSE)</f>
        <v>0</v>
      </c>
      <c r="O857" s="94">
        <f>VLOOKUP(D857,A!B$1:P$1126,9,FALSE)</f>
        <v>0</v>
      </c>
      <c r="P857" s="10">
        <v>6</v>
      </c>
      <c r="Q857" s="10">
        <v>5.95</v>
      </c>
      <c r="R857" s="10">
        <f t="shared" si="131"/>
        <v>0</v>
      </c>
      <c r="S857" s="10">
        <f t="shared" si="132"/>
        <v>0</v>
      </c>
      <c r="T857" s="29" t="s">
        <v>97</v>
      </c>
      <c r="U857" s="115">
        <v>0.35</v>
      </c>
      <c r="V857" s="10">
        <f>VLOOKUP(D857,A!B$1:T$1125,17,FALSE)</f>
        <v>0</v>
      </c>
      <c r="W857" s="10">
        <f t="shared" si="133"/>
        <v>0</v>
      </c>
      <c r="X857" s="29"/>
      <c r="Y857" s="29"/>
      <c r="Z857" s="29"/>
      <c r="AA857" s="29"/>
    </row>
    <row r="858" spans="1:27" s="3" customFormat="1" ht="13.5" hidden="1" customHeight="1" x14ac:dyDescent="0.25">
      <c r="A858" t="str">
        <f>IF(R858=0,"",COUNTIF(A$13:A857,"&gt;0")+1)</f>
        <v/>
      </c>
      <c r="B858" s="4"/>
      <c r="C858" s="5" t="s">
        <v>44</v>
      </c>
      <c r="D858" s="7" t="s">
        <v>801</v>
      </c>
      <c r="E858" s="31"/>
      <c r="F858" s="31"/>
      <c r="G858" s="6" t="s">
        <v>784</v>
      </c>
      <c r="H858" s="7">
        <f>VLOOKUP(D858,A!B$1:L$1126,8,FALSE)</f>
        <v>0</v>
      </c>
      <c r="I858" s="31">
        <f>VLOOKUP(D858,A!B$1:L$1126,8,FALSE)</f>
        <v>0</v>
      </c>
      <c r="J858" s="92"/>
      <c r="K858" s="63" t="str">
        <f>VLOOKUP(D858,A!B$1:P$1126,11,FALSE)</f>
        <v/>
      </c>
      <c r="L858" s="162"/>
      <c r="M858" s="43" t="s">
        <v>802</v>
      </c>
      <c r="N858" s="94">
        <f>VLOOKUP(D858,A!B$1:L$1125,7,FALSE)</f>
        <v>0</v>
      </c>
      <c r="O858" s="94">
        <f>VLOOKUP(D858,A!B$1:P$1126,9,FALSE)</f>
        <v>0</v>
      </c>
      <c r="P858" s="10">
        <v>6</v>
      </c>
      <c r="Q858" s="10">
        <v>5.95</v>
      </c>
      <c r="R858" s="10">
        <f t="shared" si="131"/>
        <v>0</v>
      </c>
      <c r="S858" s="10">
        <f t="shared" si="132"/>
        <v>0</v>
      </c>
      <c r="T858" s="29" t="s">
        <v>97</v>
      </c>
      <c r="U858" s="115">
        <v>0.35</v>
      </c>
      <c r="V858" s="10">
        <f>VLOOKUP(D858,A!B$1:T$1125,17,FALSE)</f>
        <v>0</v>
      </c>
      <c r="W858" s="10">
        <f t="shared" si="133"/>
        <v>0</v>
      </c>
      <c r="X858" s="29"/>
      <c r="Y858" s="29"/>
      <c r="Z858" s="29"/>
      <c r="AA858" s="29"/>
    </row>
    <row r="859" spans="1:27" s="3" customFormat="1" ht="13.5" hidden="1" customHeight="1" x14ac:dyDescent="0.25">
      <c r="A859" t="str">
        <f>IF(R859=0,"",COUNTIF(A$13:A858,"&gt;0")+1)</f>
        <v/>
      </c>
      <c r="B859" s="4"/>
      <c r="C859" s="5" t="s">
        <v>44</v>
      </c>
      <c r="D859" s="7" t="s">
        <v>803</v>
      </c>
      <c r="E859" s="31"/>
      <c r="F859" s="31"/>
      <c r="G859" s="6" t="s">
        <v>784</v>
      </c>
      <c r="H859" s="7">
        <f>VLOOKUP(D859,A!B$1:L$1126,8,FALSE)</f>
        <v>0</v>
      </c>
      <c r="I859" s="31">
        <f>VLOOKUP(D859,A!B$1:L$1126,8,FALSE)</f>
        <v>0</v>
      </c>
      <c r="J859" s="92"/>
      <c r="K859" s="63" t="str">
        <f>VLOOKUP(D859,A!B$1:P$1126,11,FALSE)</f>
        <v/>
      </c>
      <c r="L859" s="162"/>
      <c r="M859" s="42" t="s">
        <v>804</v>
      </c>
      <c r="N859" s="94">
        <f>VLOOKUP(D859,A!B$1:L$1125,7,FALSE)</f>
        <v>0</v>
      </c>
      <c r="O859" s="94">
        <f>VLOOKUP(D859,A!B$1:P$1126,9,FALSE)</f>
        <v>0</v>
      </c>
      <c r="P859" s="10">
        <v>6</v>
      </c>
      <c r="Q859" s="10">
        <v>5.95</v>
      </c>
      <c r="R859" s="10">
        <f t="shared" si="131"/>
        <v>0</v>
      </c>
      <c r="S859" s="10">
        <f t="shared" si="132"/>
        <v>0</v>
      </c>
      <c r="T859" s="29" t="s">
        <v>97</v>
      </c>
      <c r="U859" s="115">
        <v>0.35</v>
      </c>
      <c r="V859" s="10">
        <f>VLOOKUP(D859,A!B$1:T$1125,17,FALSE)</f>
        <v>0</v>
      </c>
      <c r="W859" s="10">
        <f t="shared" si="133"/>
        <v>0</v>
      </c>
      <c r="X859" s="29"/>
      <c r="Y859" s="29"/>
      <c r="Z859" s="29"/>
      <c r="AA859" s="29"/>
    </row>
    <row r="860" spans="1:27" s="3" customFormat="1" ht="13.5" hidden="1" customHeight="1" x14ac:dyDescent="0.25">
      <c r="A860" t="str">
        <f>IF(R860=0,"",COUNTIF(A$13:A859,"&gt;0")+1)</f>
        <v/>
      </c>
      <c r="B860" s="4"/>
      <c r="C860" s="5" t="s">
        <v>44</v>
      </c>
      <c r="D860" s="7" t="s">
        <v>805</v>
      </c>
      <c r="E860" s="31"/>
      <c r="F860" s="31"/>
      <c r="G860" s="6" t="s">
        <v>784</v>
      </c>
      <c r="H860" s="7">
        <f>VLOOKUP(D860,A!B$1:L$1126,8,FALSE)</f>
        <v>0</v>
      </c>
      <c r="I860" s="31">
        <f>VLOOKUP(D860,A!B$1:L$1126,8,FALSE)</f>
        <v>0</v>
      </c>
      <c r="J860" s="92"/>
      <c r="K860" s="63" t="str">
        <f>VLOOKUP(D860,A!B$1:P$1126,11,FALSE)</f>
        <v/>
      </c>
      <c r="L860" s="162"/>
      <c r="M860" s="41" t="s">
        <v>802</v>
      </c>
      <c r="N860" s="94">
        <f>VLOOKUP(D860,A!B$1:L$1125,7,FALSE)</f>
        <v>0</v>
      </c>
      <c r="O860" s="94">
        <f>VLOOKUP(D860,A!B$1:P$1126,9,FALSE)</f>
        <v>0</v>
      </c>
      <c r="P860" s="10">
        <v>6</v>
      </c>
      <c r="Q860" s="10">
        <v>5.95</v>
      </c>
      <c r="R860" s="10">
        <f t="shared" si="131"/>
        <v>0</v>
      </c>
      <c r="S860" s="10">
        <f t="shared" si="132"/>
        <v>0</v>
      </c>
      <c r="T860" s="29" t="s">
        <v>97</v>
      </c>
      <c r="U860" s="115">
        <v>0.35</v>
      </c>
      <c r="V860" s="10">
        <f>VLOOKUP(D860,A!B$1:T$1125,17,FALSE)</f>
        <v>0</v>
      </c>
      <c r="W860" s="10">
        <f t="shared" si="133"/>
        <v>0</v>
      </c>
      <c r="X860" s="29"/>
      <c r="Y860" s="29"/>
      <c r="Z860" s="29"/>
      <c r="AA860" s="29"/>
    </row>
    <row r="861" spans="1:27" s="3" customFormat="1" ht="13.5" hidden="1" customHeight="1" x14ac:dyDescent="0.25">
      <c r="A861" t="str">
        <f>IF(R861=0,"",COUNTIF(A$13:A860,"&gt;0")+1)</f>
        <v/>
      </c>
      <c r="B861" s="4"/>
      <c r="C861" s="5" t="s">
        <v>44</v>
      </c>
      <c r="D861" s="7" t="s">
        <v>806</v>
      </c>
      <c r="E861" s="31"/>
      <c r="F861" s="31"/>
      <c r="G861" s="6" t="s">
        <v>784</v>
      </c>
      <c r="H861" s="7">
        <f>VLOOKUP(D861,A!B$1:L$1126,8,FALSE)</f>
        <v>0</v>
      </c>
      <c r="I861" s="31">
        <f>VLOOKUP(D861,A!B$1:L$1126,8,FALSE)</f>
        <v>0</v>
      </c>
      <c r="J861" s="92"/>
      <c r="K861" s="63" t="str">
        <f>VLOOKUP(D861,A!B$1:P$1126,11,FALSE)</f>
        <v/>
      </c>
      <c r="L861" s="162"/>
      <c r="M861" s="41" t="s">
        <v>807</v>
      </c>
      <c r="N861" s="94">
        <f>VLOOKUP(D861,A!B$1:L$1125,7,FALSE)</f>
        <v>0</v>
      </c>
      <c r="O861" s="94">
        <f>VLOOKUP(D861,A!B$1:P$1126,9,FALSE)</f>
        <v>0</v>
      </c>
      <c r="P861" s="10">
        <v>6</v>
      </c>
      <c r="Q861" s="10">
        <v>5.95</v>
      </c>
      <c r="R861" s="10">
        <f t="shared" si="131"/>
        <v>0</v>
      </c>
      <c r="S861" s="10">
        <f t="shared" si="132"/>
        <v>0</v>
      </c>
      <c r="T861" s="29" t="s">
        <v>97</v>
      </c>
      <c r="U861" s="115">
        <v>0.35</v>
      </c>
      <c r="V861" s="10">
        <f>VLOOKUP(D861,A!B$1:T$1125,17,FALSE)</f>
        <v>0</v>
      </c>
      <c r="W861" s="10">
        <f t="shared" si="133"/>
        <v>0</v>
      </c>
      <c r="X861" s="29"/>
      <c r="Y861" s="29"/>
      <c r="Z861" s="29"/>
      <c r="AA861" s="29"/>
    </row>
    <row r="862" spans="1:27" s="3" customFormat="1" ht="13.5" hidden="1" customHeight="1" x14ac:dyDescent="0.25">
      <c r="A862" t="str">
        <f>IF(R862=0,"",COUNTIF(A$13:A861,"&gt;0")+1)</f>
        <v/>
      </c>
      <c r="B862" s="4"/>
      <c r="C862" s="5" t="s">
        <v>44</v>
      </c>
      <c r="D862" s="7" t="s">
        <v>808</v>
      </c>
      <c r="E862" s="31"/>
      <c r="F862" s="31"/>
      <c r="G862" s="6" t="s">
        <v>784</v>
      </c>
      <c r="H862" s="7">
        <f>VLOOKUP(D862,A!B$1:L$1126,8,FALSE)</f>
        <v>0</v>
      </c>
      <c r="I862" s="31">
        <f>VLOOKUP(D862,A!B$1:L$1126,8,FALSE)</f>
        <v>0</v>
      </c>
      <c r="J862" s="92"/>
      <c r="K862" s="63" t="str">
        <f>VLOOKUP(D862,A!B$1:P$1126,11,FALSE)</f>
        <v/>
      </c>
      <c r="L862" s="162"/>
      <c r="M862" s="41" t="s">
        <v>809</v>
      </c>
      <c r="N862" s="94">
        <f>VLOOKUP(D862,A!B$1:L$1125,7,FALSE)</f>
        <v>0</v>
      </c>
      <c r="O862" s="94">
        <f>VLOOKUP(D862,A!B$1:P$1126,9,FALSE)</f>
        <v>0</v>
      </c>
      <c r="P862" s="10">
        <v>6</v>
      </c>
      <c r="Q862" s="10">
        <v>5.95</v>
      </c>
      <c r="R862" s="10">
        <f t="shared" si="131"/>
        <v>0</v>
      </c>
      <c r="S862" s="10">
        <f t="shared" si="132"/>
        <v>0</v>
      </c>
      <c r="T862" s="29" t="s">
        <v>97</v>
      </c>
      <c r="U862" s="115">
        <v>0.35</v>
      </c>
      <c r="V862" s="10">
        <f>VLOOKUP(D862,A!B$1:T$1125,17,FALSE)</f>
        <v>0</v>
      </c>
      <c r="W862" s="10">
        <f t="shared" si="133"/>
        <v>0</v>
      </c>
      <c r="X862" s="29"/>
      <c r="Y862" s="29"/>
      <c r="Z862" s="29"/>
      <c r="AA862" s="29"/>
    </row>
    <row r="863" spans="1:27" s="3" customFormat="1" ht="13.5" hidden="1" customHeight="1" x14ac:dyDescent="0.25">
      <c r="A863" t="str">
        <f>IF(R863=0,"",COUNTIF(A$13:A862,"&gt;0")+1)</f>
        <v/>
      </c>
      <c r="B863" s="4"/>
      <c r="C863" s="5" t="s">
        <v>44</v>
      </c>
      <c r="D863" s="7" t="s">
        <v>810</v>
      </c>
      <c r="E863" s="31"/>
      <c r="F863" s="31"/>
      <c r="G863" s="6" t="s">
        <v>784</v>
      </c>
      <c r="H863" s="7">
        <f>VLOOKUP(D863,A!B$1:L$1126,8,FALSE)</f>
        <v>0</v>
      </c>
      <c r="I863" s="31">
        <f>VLOOKUP(D863,A!B$1:L$1126,8,FALSE)</f>
        <v>0</v>
      </c>
      <c r="J863" s="92"/>
      <c r="K863" s="63" t="str">
        <f>VLOOKUP(D863,A!B$1:P$1126,11,FALSE)</f>
        <v/>
      </c>
      <c r="L863" s="162"/>
      <c r="M863" s="41" t="s">
        <v>811</v>
      </c>
      <c r="N863" s="94">
        <f>VLOOKUP(D863,A!B$1:L$1125,7,FALSE)</f>
        <v>0</v>
      </c>
      <c r="O863" s="94">
        <f>VLOOKUP(D863,A!B$1:P$1126,9,FALSE)</f>
        <v>0</v>
      </c>
      <c r="P863" s="10">
        <v>6</v>
      </c>
      <c r="Q863" s="10">
        <v>5.95</v>
      </c>
      <c r="R863" s="10">
        <f t="shared" si="131"/>
        <v>0</v>
      </c>
      <c r="S863" s="10">
        <f t="shared" si="132"/>
        <v>0</v>
      </c>
      <c r="T863" s="29" t="s">
        <v>97</v>
      </c>
      <c r="U863" s="115">
        <v>0.35</v>
      </c>
      <c r="V863" s="10">
        <f>VLOOKUP(D863,A!B$1:T$1125,17,FALSE)</f>
        <v>0</v>
      </c>
      <c r="W863" s="10">
        <f t="shared" si="133"/>
        <v>0</v>
      </c>
      <c r="X863" s="29"/>
      <c r="Y863" s="29"/>
      <c r="Z863" s="29"/>
      <c r="AA863" s="29"/>
    </row>
    <row r="864" spans="1:27" s="3" customFormat="1" ht="13.5" hidden="1" customHeight="1" x14ac:dyDescent="0.25">
      <c r="A864" t="str">
        <f>IF(R864=0,"",COUNTIF(A$13:A863,"&gt;0")+1)</f>
        <v/>
      </c>
      <c r="B864" s="4"/>
      <c r="C864" s="5" t="s">
        <v>44</v>
      </c>
      <c r="D864" s="7" t="s">
        <v>812</v>
      </c>
      <c r="E864" s="31"/>
      <c r="F864" s="31"/>
      <c r="G864" s="6" t="s">
        <v>784</v>
      </c>
      <c r="H864" s="7">
        <f>VLOOKUP(D864,A!B$1:L$1126,8,FALSE)</f>
        <v>0</v>
      </c>
      <c r="I864" s="31">
        <f>VLOOKUP(D864,A!B$1:L$1126,8,FALSE)</f>
        <v>0</v>
      </c>
      <c r="J864" s="92"/>
      <c r="K864" s="63" t="str">
        <f>VLOOKUP(D864,A!B$1:P$1126,11,FALSE)</f>
        <v/>
      </c>
      <c r="L864" s="162"/>
      <c r="M864" s="41" t="s">
        <v>813</v>
      </c>
      <c r="N864" s="94">
        <f>VLOOKUP(D864,A!B$1:L$1125,7,FALSE)</f>
        <v>0</v>
      </c>
      <c r="O864" s="94">
        <f>VLOOKUP(D864,A!B$1:P$1126,9,FALSE)</f>
        <v>0</v>
      </c>
      <c r="P864" s="10">
        <v>6</v>
      </c>
      <c r="Q864" s="10">
        <v>5.95</v>
      </c>
      <c r="R864" s="10">
        <f t="shared" si="131"/>
        <v>0</v>
      </c>
      <c r="S864" s="10">
        <f t="shared" si="132"/>
        <v>0</v>
      </c>
      <c r="T864" s="29" t="s">
        <v>97</v>
      </c>
      <c r="U864" s="115">
        <v>0.35</v>
      </c>
      <c r="V864" s="10">
        <f>VLOOKUP(D864,A!B$1:T$1125,17,FALSE)</f>
        <v>0</v>
      </c>
      <c r="W864" s="10">
        <f t="shared" si="133"/>
        <v>0</v>
      </c>
      <c r="X864" s="29"/>
      <c r="Y864" s="29"/>
      <c r="Z864" s="29"/>
      <c r="AA864" s="29"/>
    </row>
    <row r="865" spans="1:27" s="3" customFormat="1" ht="13.5" hidden="1" customHeight="1" x14ac:dyDescent="0.25">
      <c r="A865" t="str">
        <f>IF(R865=0,"",COUNTIF(A$13:A864,"&gt;0")+1)</f>
        <v/>
      </c>
      <c r="B865" s="4"/>
      <c r="C865" s="5" t="s">
        <v>44</v>
      </c>
      <c r="D865" s="7" t="s">
        <v>814</v>
      </c>
      <c r="E865" s="31"/>
      <c r="F865" s="31"/>
      <c r="G865" s="6" t="s">
        <v>784</v>
      </c>
      <c r="H865" s="7">
        <f>VLOOKUP(D865,A!B$1:L$1126,8,FALSE)</f>
        <v>0</v>
      </c>
      <c r="I865" s="31">
        <f>VLOOKUP(D865,A!B$1:L$1126,8,FALSE)</f>
        <v>0</v>
      </c>
      <c r="J865" s="92"/>
      <c r="K865" s="63" t="str">
        <f>VLOOKUP(D865,A!B$1:P$1126,11,FALSE)</f>
        <v/>
      </c>
      <c r="L865" s="162"/>
      <c r="M865" s="41" t="s">
        <v>815</v>
      </c>
      <c r="N865" s="94">
        <f>VLOOKUP(D865,A!B$1:L$1125,7,FALSE)</f>
        <v>0</v>
      </c>
      <c r="O865" s="94">
        <f>VLOOKUP(D865,A!B$1:P$1126,9,FALSE)</f>
        <v>0</v>
      </c>
      <c r="P865" s="10">
        <v>6</v>
      </c>
      <c r="Q865" s="10">
        <v>5.95</v>
      </c>
      <c r="R865" s="10">
        <f t="shared" si="131"/>
        <v>0</v>
      </c>
      <c r="S865" s="10">
        <f t="shared" si="132"/>
        <v>0</v>
      </c>
      <c r="T865" s="29" t="s">
        <v>97</v>
      </c>
      <c r="U865" s="115">
        <v>0.35</v>
      </c>
      <c r="V865" s="10">
        <f>VLOOKUP(D865,A!B$1:T$1125,17,FALSE)</f>
        <v>0</v>
      </c>
      <c r="W865" s="10">
        <f t="shared" si="133"/>
        <v>0</v>
      </c>
      <c r="X865" s="29"/>
      <c r="Y865" s="29"/>
      <c r="Z865" s="29"/>
      <c r="AA865" s="29"/>
    </row>
    <row r="866" spans="1:27" s="3" customFormat="1" ht="13.5" hidden="1" customHeight="1" x14ac:dyDescent="0.25">
      <c r="A866" t="str">
        <f>IF(R866=0,"",COUNTIF(A$13:A865,"&gt;0")+1)</f>
        <v/>
      </c>
      <c r="B866" s="4"/>
      <c r="C866" s="5" t="s">
        <v>44</v>
      </c>
      <c r="D866" s="7" t="s">
        <v>816</v>
      </c>
      <c r="E866" s="31"/>
      <c r="F866" s="31"/>
      <c r="G866" s="6" t="s">
        <v>784</v>
      </c>
      <c r="H866" s="7">
        <f>VLOOKUP(D866,A!B$1:L$1126,8,FALSE)</f>
        <v>0</v>
      </c>
      <c r="I866" s="31">
        <f>VLOOKUP(D866,A!B$1:L$1126,8,FALSE)</f>
        <v>0</v>
      </c>
      <c r="J866" s="92"/>
      <c r="K866" s="63" t="str">
        <f>VLOOKUP(D866,A!B$1:P$1126,11,FALSE)</f>
        <v/>
      </c>
      <c r="L866" s="162"/>
      <c r="M866" s="41" t="s">
        <v>817</v>
      </c>
      <c r="N866" s="94">
        <f>VLOOKUP(D866,A!B$1:L$1125,7,FALSE)</f>
        <v>0</v>
      </c>
      <c r="O866" s="94">
        <f>VLOOKUP(D866,A!B$1:P$1126,9,FALSE)</f>
        <v>0</v>
      </c>
      <c r="P866" s="10">
        <v>6</v>
      </c>
      <c r="Q866" s="10">
        <v>5.95</v>
      </c>
      <c r="R866" s="10">
        <f t="shared" si="131"/>
        <v>0</v>
      </c>
      <c r="S866" s="10">
        <f t="shared" si="132"/>
        <v>0</v>
      </c>
      <c r="T866" s="29" t="s">
        <v>97</v>
      </c>
      <c r="U866" s="115">
        <v>0.35</v>
      </c>
      <c r="V866" s="10">
        <f>VLOOKUP(D866,A!B$1:T$1125,17,FALSE)</f>
        <v>0</v>
      </c>
      <c r="W866" s="10">
        <f t="shared" si="133"/>
        <v>0</v>
      </c>
      <c r="X866" s="29"/>
      <c r="Y866" s="29"/>
      <c r="Z866" s="29"/>
      <c r="AA866" s="29"/>
    </row>
    <row r="867" spans="1:27" s="3" customFormat="1" ht="13.5" hidden="1" customHeight="1" x14ac:dyDescent="0.25">
      <c r="A867" t="str">
        <f>IF(R867=0,"",COUNTIF(A$13:A866,"&gt;0")+1)</f>
        <v/>
      </c>
      <c r="B867" s="4"/>
      <c r="C867" s="5" t="s">
        <v>44</v>
      </c>
      <c r="D867" s="7" t="s">
        <v>818</v>
      </c>
      <c r="E867" s="31"/>
      <c r="F867" s="31"/>
      <c r="G867" s="6" t="s">
        <v>784</v>
      </c>
      <c r="H867" s="7">
        <f>VLOOKUP(D867,A!B$1:L$1126,8,FALSE)</f>
        <v>0</v>
      </c>
      <c r="I867" s="31">
        <f>VLOOKUP(D867,A!B$1:L$1126,8,FALSE)</f>
        <v>0</v>
      </c>
      <c r="J867" s="92"/>
      <c r="K867" s="63" t="str">
        <f>VLOOKUP(D867,A!B$1:P$1126,11,FALSE)</f>
        <v/>
      </c>
      <c r="L867" s="162"/>
      <c r="M867" s="41" t="s">
        <v>819</v>
      </c>
      <c r="N867" s="94">
        <f>VLOOKUP(D867,A!B$1:L$1125,7,FALSE)</f>
        <v>0</v>
      </c>
      <c r="O867" s="94">
        <f>VLOOKUP(D867,A!B$1:P$1126,9,FALSE)</f>
        <v>0</v>
      </c>
      <c r="P867" s="10">
        <v>6</v>
      </c>
      <c r="Q867" s="10">
        <v>5.95</v>
      </c>
      <c r="R867" s="10">
        <f t="shared" si="131"/>
        <v>0</v>
      </c>
      <c r="S867" s="10">
        <f t="shared" si="132"/>
        <v>0</v>
      </c>
      <c r="T867" s="29" t="s">
        <v>97</v>
      </c>
      <c r="U867" s="115">
        <v>0.35</v>
      </c>
      <c r="V867" s="10">
        <f>VLOOKUP(D867,A!B$1:T$1125,17,FALSE)</f>
        <v>0</v>
      </c>
      <c r="W867" s="10">
        <f t="shared" si="133"/>
        <v>0</v>
      </c>
      <c r="X867" s="29"/>
      <c r="Y867" s="29"/>
      <c r="Z867" s="29"/>
      <c r="AA867" s="29"/>
    </row>
    <row r="868" spans="1:27" s="3" customFormat="1" ht="13.5" hidden="1" customHeight="1" x14ac:dyDescent="0.25">
      <c r="A868" t="str">
        <f>IF(R868=0,"",COUNTIF(A$13:A867,"&gt;0")+1)</f>
        <v/>
      </c>
      <c r="B868" s="4"/>
      <c r="C868" s="5" t="s">
        <v>44</v>
      </c>
      <c r="D868" s="7" t="s">
        <v>820</v>
      </c>
      <c r="E868" s="31"/>
      <c r="F868" s="31"/>
      <c r="G868" s="6" t="s">
        <v>784</v>
      </c>
      <c r="H868" s="7">
        <f>VLOOKUP(D868,A!B$1:L$1126,8,FALSE)</f>
        <v>0</v>
      </c>
      <c r="I868" s="31">
        <f>VLOOKUP(D868,A!B$1:L$1126,8,FALSE)</f>
        <v>0</v>
      </c>
      <c r="J868" s="92"/>
      <c r="K868" s="63" t="str">
        <f>VLOOKUP(D868,A!B$1:P$1126,11,FALSE)</f>
        <v/>
      </c>
      <c r="L868" s="162"/>
      <c r="M868" s="41" t="s">
        <v>821</v>
      </c>
      <c r="N868" s="94">
        <f>VLOOKUP(D868,A!B$1:L$1125,7,FALSE)</f>
        <v>0</v>
      </c>
      <c r="O868" s="94">
        <f>VLOOKUP(D868,A!B$1:P$1126,9,FALSE)</f>
        <v>0</v>
      </c>
      <c r="P868" s="10">
        <v>6</v>
      </c>
      <c r="Q868" s="10">
        <v>5.95</v>
      </c>
      <c r="R868" s="10">
        <f t="shared" si="131"/>
        <v>0</v>
      </c>
      <c r="S868" s="10">
        <f t="shared" si="132"/>
        <v>0</v>
      </c>
      <c r="T868" s="29" t="s">
        <v>97</v>
      </c>
      <c r="U868" s="115">
        <v>0.35</v>
      </c>
      <c r="V868" s="10">
        <f>VLOOKUP(D868,A!B$1:T$1125,17,FALSE)</f>
        <v>0</v>
      </c>
      <c r="W868" s="10">
        <f t="shared" si="133"/>
        <v>0</v>
      </c>
      <c r="X868" s="29"/>
      <c r="Y868" s="29"/>
      <c r="Z868" s="29"/>
      <c r="AA868" s="29"/>
    </row>
    <row r="869" spans="1:27" s="3" customFormat="1" ht="13.5" hidden="1" customHeight="1" x14ac:dyDescent="0.25">
      <c r="A869" t="str">
        <f>IF(R869=0,"",COUNTIF(A$13:A868,"&gt;0")+1)</f>
        <v/>
      </c>
      <c r="B869" s="4"/>
      <c r="C869" s="5" t="s">
        <v>44</v>
      </c>
      <c r="D869" s="7" t="s">
        <v>822</v>
      </c>
      <c r="E869" s="31"/>
      <c r="F869" s="31"/>
      <c r="G869" s="6" t="s">
        <v>784</v>
      </c>
      <c r="H869" s="7">
        <f>VLOOKUP(D869,A!B$1:L$1126,8,FALSE)</f>
        <v>0</v>
      </c>
      <c r="I869" s="31">
        <f>VLOOKUP(D869,A!B$1:L$1126,8,FALSE)</f>
        <v>0</v>
      </c>
      <c r="J869" s="92"/>
      <c r="K869" s="63" t="str">
        <f>VLOOKUP(D869,A!B$1:P$1126,11,FALSE)</f>
        <v/>
      </c>
      <c r="L869" s="162"/>
      <c r="M869" s="41" t="s">
        <v>823</v>
      </c>
      <c r="N869" s="94">
        <f>VLOOKUP(D869,A!B$1:L$1125,7,FALSE)</f>
        <v>0</v>
      </c>
      <c r="O869" s="94">
        <f>VLOOKUP(D869,A!B$1:P$1126,9,FALSE)</f>
        <v>0</v>
      </c>
      <c r="P869" s="10">
        <v>6</v>
      </c>
      <c r="Q869" s="10">
        <v>5.95</v>
      </c>
      <c r="R869" s="10">
        <f t="shared" si="131"/>
        <v>0</v>
      </c>
      <c r="S869" s="10">
        <f t="shared" si="132"/>
        <v>0</v>
      </c>
      <c r="T869" s="29" t="s">
        <v>97</v>
      </c>
      <c r="U869" s="115">
        <v>0.35</v>
      </c>
      <c r="V869" s="10">
        <f>VLOOKUP(D869,A!B$1:T$1125,17,FALSE)</f>
        <v>0</v>
      </c>
      <c r="W869" s="10">
        <f t="shared" si="133"/>
        <v>0</v>
      </c>
      <c r="X869" s="29"/>
      <c r="Y869" s="29"/>
      <c r="Z869" s="29"/>
      <c r="AA869" s="29"/>
    </row>
    <row r="870" spans="1:27" s="3" customFormat="1" ht="13.5" hidden="1" customHeight="1" x14ac:dyDescent="0.25">
      <c r="A870" t="str">
        <f>IF(R870=0,"",COUNTIF(A$13:A869,"&gt;0")+1)</f>
        <v/>
      </c>
      <c r="B870" s="4"/>
      <c r="C870" s="5" t="s">
        <v>44</v>
      </c>
      <c r="D870" s="7" t="s">
        <v>824</v>
      </c>
      <c r="E870" s="31"/>
      <c r="F870" s="31"/>
      <c r="G870" s="6" t="s">
        <v>784</v>
      </c>
      <c r="H870" s="7">
        <f>VLOOKUP(D870,A!B$1:L$1126,8,FALSE)</f>
        <v>0</v>
      </c>
      <c r="I870" s="31">
        <f>VLOOKUP(D870,A!B$1:L$1126,8,FALSE)</f>
        <v>0</v>
      </c>
      <c r="J870" s="92"/>
      <c r="K870" s="63" t="str">
        <f>VLOOKUP(D870,A!B$1:P$1126,11,FALSE)</f>
        <v/>
      </c>
      <c r="L870" s="162"/>
      <c r="M870" s="41" t="s">
        <v>825</v>
      </c>
      <c r="N870" s="94">
        <f>VLOOKUP(D870,A!B$1:L$1125,7,FALSE)</f>
        <v>0</v>
      </c>
      <c r="O870" s="94">
        <f>VLOOKUP(D870,A!B$1:P$1126,9,FALSE)</f>
        <v>0</v>
      </c>
      <c r="P870" s="10">
        <v>6</v>
      </c>
      <c r="Q870" s="10">
        <v>5.95</v>
      </c>
      <c r="R870" s="10">
        <f t="shared" si="131"/>
        <v>0</v>
      </c>
      <c r="S870" s="10">
        <f t="shared" si="132"/>
        <v>0</v>
      </c>
      <c r="T870" s="29" t="s">
        <v>97</v>
      </c>
      <c r="U870" s="115">
        <v>0.35</v>
      </c>
      <c r="V870" s="10">
        <f>VLOOKUP(D870,A!B$1:T$1125,17,FALSE)</f>
        <v>0</v>
      </c>
      <c r="W870" s="10">
        <f t="shared" si="133"/>
        <v>0</v>
      </c>
      <c r="X870" s="29"/>
      <c r="Y870" s="29"/>
      <c r="Z870" s="29"/>
      <c r="AA870" s="29"/>
    </row>
    <row r="871" spans="1:27" s="3" customFormat="1" ht="13.5" hidden="1" customHeight="1" x14ac:dyDescent="0.25">
      <c r="A871" t="str">
        <f>IF(R871=0,"",COUNTIF(A$13:A870,"&gt;0")+1)</f>
        <v/>
      </c>
      <c r="B871" s="4"/>
      <c r="C871" s="5" t="s">
        <v>44</v>
      </c>
      <c r="D871" s="7" t="s">
        <v>826</v>
      </c>
      <c r="E871" s="31"/>
      <c r="F871" s="31"/>
      <c r="G871" s="6" t="s">
        <v>784</v>
      </c>
      <c r="H871" s="7">
        <f>VLOOKUP(D871,A!B$1:L$1126,8,FALSE)</f>
        <v>0</v>
      </c>
      <c r="I871" s="31">
        <f>VLOOKUP(D871,A!B$1:L$1126,8,FALSE)</f>
        <v>0</v>
      </c>
      <c r="J871" s="92"/>
      <c r="K871" s="63" t="str">
        <f>VLOOKUP(D871,A!B$1:P$1126,11,FALSE)</f>
        <v/>
      </c>
      <c r="L871" s="162"/>
      <c r="M871" s="41" t="s">
        <v>827</v>
      </c>
      <c r="N871" s="94">
        <f>VLOOKUP(D871,A!B$1:L$1125,7,FALSE)</f>
        <v>0</v>
      </c>
      <c r="O871" s="94">
        <f>VLOOKUP(D871,A!B$1:P$1126,9,FALSE)</f>
        <v>0</v>
      </c>
      <c r="P871" s="10">
        <v>6</v>
      </c>
      <c r="Q871" s="10">
        <v>5.95</v>
      </c>
      <c r="R871" s="10">
        <f t="shared" si="131"/>
        <v>0</v>
      </c>
      <c r="S871" s="10">
        <f t="shared" si="132"/>
        <v>0</v>
      </c>
      <c r="T871" s="29" t="s">
        <v>97</v>
      </c>
      <c r="U871" s="115">
        <v>0.35</v>
      </c>
      <c r="V871" s="10">
        <f>VLOOKUP(D871,A!B$1:T$1125,17,FALSE)</f>
        <v>0</v>
      </c>
      <c r="W871" s="10">
        <f t="shared" si="133"/>
        <v>0</v>
      </c>
      <c r="X871" s="29"/>
      <c r="Y871" s="29"/>
      <c r="Z871" s="29"/>
      <c r="AA871" s="29"/>
    </row>
    <row r="872" spans="1:27" s="3" customFormat="1" ht="13.5" hidden="1" customHeight="1" x14ac:dyDescent="0.25">
      <c r="A872" t="str">
        <f>IF(R872=0,"",COUNTIF(A$13:A871,"&gt;0")+1)</f>
        <v/>
      </c>
      <c r="B872" s="4"/>
      <c r="C872" s="5" t="s">
        <v>44</v>
      </c>
      <c r="D872" s="7" t="s">
        <v>828</v>
      </c>
      <c r="E872" s="31"/>
      <c r="F872" s="31"/>
      <c r="G872" s="6" t="s">
        <v>784</v>
      </c>
      <c r="H872" s="7">
        <f>VLOOKUP(D872,A!B$1:L$1126,8,FALSE)</f>
        <v>0</v>
      </c>
      <c r="I872" s="31">
        <f>VLOOKUP(D872,A!B$1:L$1126,8,FALSE)</f>
        <v>0</v>
      </c>
      <c r="J872" s="92"/>
      <c r="K872" s="63" t="str">
        <f>VLOOKUP(D872,A!B$1:P$1126,11,FALSE)</f>
        <v/>
      </c>
      <c r="L872" s="162"/>
      <c r="M872" s="41" t="s">
        <v>829</v>
      </c>
      <c r="N872" s="94">
        <f>VLOOKUP(D872,A!B$1:L$1125,7,FALSE)</f>
        <v>0</v>
      </c>
      <c r="O872" s="94">
        <f>VLOOKUP(D872,A!B$1:P$1126,9,FALSE)</f>
        <v>0</v>
      </c>
      <c r="P872" s="10">
        <v>6</v>
      </c>
      <c r="Q872" s="10">
        <v>5.95</v>
      </c>
      <c r="R872" s="10">
        <f t="shared" si="131"/>
        <v>0</v>
      </c>
      <c r="S872" s="10">
        <f t="shared" si="132"/>
        <v>0</v>
      </c>
      <c r="T872" s="29" t="s">
        <v>97</v>
      </c>
      <c r="U872" s="115">
        <v>0.35</v>
      </c>
      <c r="V872" s="10">
        <f>VLOOKUP(D872,A!B$1:T$1125,17,FALSE)</f>
        <v>0</v>
      </c>
      <c r="W872" s="10">
        <f t="shared" si="133"/>
        <v>0</v>
      </c>
      <c r="X872" s="29"/>
      <c r="Y872" s="29"/>
      <c r="Z872" s="29"/>
      <c r="AA872" s="29"/>
    </row>
    <row r="873" spans="1:27" s="3" customFormat="1" ht="13.5" hidden="1" customHeight="1" x14ac:dyDescent="0.25">
      <c r="A873" t="str">
        <f>IF(R873=0,"",COUNTIF(A$13:A872,"&gt;0")+1)</f>
        <v/>
      </c>
      <c r="B873" s="4"/>
      <c r="C873" s="5" t="s">
        <v>44</v>
      </c>
      <c r="D873" s="7" t="s">
        <v>830</v>
      </c>
      <c r="E873" s="31"/>
      <c r="F873" s="31"/>
      <c r="G873" s="6" t="s">
        <v>784</v>
      </c>
      <c r="H873" s="7">
        <f>VLOOKUP(D873,A!B$1:L$1126,8,FALSE)</f>
        <v>0</v>
      </c>
      <c r="I873" s="31">
        <f>VLOOKUP(D873,A!B$1:L$1126,8,FALSE)</f>
        <v>0</v>
      </c>
      <c r="J873" s="92"/>
      <c r="K873" s="63" t="str">
        <f>VLOOKUP(D873,A!B$1:P$1126,11,FALSE)</f>
        <v/>
      </c>
      <c r="L873" s="162"/>
      <c r="M873" s="41" t="s">
        <v>831</v>
      </c>
      <c r="N873" s="94">
        <f>VLOOKUP(D873,A!B$1:L$1125,7,FALSE)</f>
        <v>0</v>
      </c>
      <c r="O873" s="94">
        <f>VLOOKUP(D873,A!B$1:P$1126,9,FALSE)</f>
        <v>0</v>
      </c>
      <c r="P873" s="10">
        <v>6</v>
      </c>
      <c r="Q873" s="10">
        <v>5.95</v>
      </c>
      <c r="R873" s="10">
        <f t="shared" si="131"/>
        <v>0</v>
      </c>
      <c r="S873" s="10">
        <f t="shared" si="132"/>
        <v>0</v>
      </c>
      <c r="T873" s="29" t="s">
        <v>97</v>
      </c>
      <c r="U873" s="115">
        <v>0.35</v>
      </c>
      <c r="V873" s="10">
        <f>VLOOKUP(D873,A!B$1:T$1125,17,FALSE)</f>
        <v>0</v>
      </c>
      <c r="W873" s="10">
        <f t="shared" si="133"/>
        <v>0</v>
      </c>
      <c r="X873" s="29"/>
      <c r="Y873" s="29"/>
      <c r="Z873" s="29"/>
      <c r="AA873" s="29"/>
    </row>
    <row r="874" spans="1:27" s="3" customFormat="1" ht="13.5" hidden="1" customHeight="1" x14ac:dyDescent="0.25">
      <c r="A874" t="str">
        <f>IF(R874=0,"",COUNTIF(A$13:A873,"&gt;0")+1)</f>
        <v/>
      </c>
      <c r="B874" s="4"/>
      <c r="C874" s="5" t="s">
        <v>44</v>
      </c>
      <c r="D874" s="7" t="s">
        <v>832</v>
      </c>
      <c r="E874" s="31"/>
      <c r="F874" s="31"/>
      <c r="G874" s="6" t="s">
        <v>784</v>
      </c>
      <c r="H874" s="7">
        <f>VLOOKUP(D874,A!B$1:L$1126,8,FALSE)</f>
        <v>0</v>
      </c>
      <c r="I874" s="31">
        <f>VLOOKUP(D874,A!B$1:L$1126,8,FALSE)</f>
        <v>0</v>
      </c>
      <c r="J874" s="92"/>
      <c r="K874" s="63" t="str">
        <f>VLOOKUP(D874,A!B$1:P$1126,11,FALSE)</f>
        <v/>
      </c>
      <c r="L874" s="162"/>
      <c r="M874" s="41" t="s">
        <v>833</v>
      </c>
      <c r="N874" s="94">
        <f>VLOOKUP(D874,A!B$1:L$1125,7,FALSE)</f>
        <v>0</v>
      </c>
      <c r="O874" s="94">
        <f>VLOOKUP(D874,A!B$1:P$1126,9,FALSE)</f>
        <v>0</v>
      </c>
      <c r="P874" s="10">
        <v>6</v>
      </c>
      <c r="Q874" s="10">
        <v>5.95</v>
      </c>
      <c r="R874" s="10">
        <f t="shared" si="131"/>
        <v>0</v>
      </c>
      <c r="S874" s="10">
        <f t="shared" si="132"/>
        <v>0</v>
      </c>
      <c r="T874" s="29" t="s">
        <v>97</v>
      </c>
      <c r="U874" s="115">
        <v>0.35</v>
      </c>
      <c r="V874" s="10">
        <f>VLOOKUP(D874,A!B$1:T$1125,17,FALSE)</f>
        <v>0</v>
      </c>
      <c r="W874" s="10">
        <f t="shared" si="133"/>
        <v>0</v>
      </c>
      <c r="X874" s="29"/>
      <c r="Y874" s="29"/>
      <c r="Z874" s="29"/>
      <c r="AA874" s="29"/>
    </row>
    <row r="875" spans="1:27" s="3" customFormat="1" ht="13.5" hidden="1" customHeight="1" x14ac:dyDescent="0.25">
      <c r="A875" t="str">
        <f>IF(R875=0,"",COUNTIF(A$13:A874,"&gt;0")+1)</f>
        <v/>
      </c>
      <c r="B875" s="4"/>
      <c r="C875" s="5" t="s">
        <v>44</v>
      </c>
      <c r="D875" s="7" t="s">
        <v>834</v>
      </c>
      <c r="E875" s="31"/>
      <c r="F875" s="31"/>
      <c r="G875" s="6" t="s">
        <v>784</v>
      </c>
      <c r="H875" s="7">
        <f>VLOOKUP(D875,A!B$1:L$1126,8,FALSE)</f>
        <v>0</v>
      </c>
      <c r="I875" s="31">
        <f>VLOOKUP(D875,A!B$1:L$1126,8,FALSE)</f>
        <v>0</v>
      </c>
      <c r="J875" s="92"/>
      <c r="K875" s="63" t="str">
        <f>VLOOKUP(D875,A!B$1:P$1126,11,FALSE)</f>
        <v/>
      </c>
      <c r="L875" s="162"/>
      <c r="M875" s="41" t="s">
        <v>835</v>
      </c>
      <c r="N875" s="94">
        <f>VLOOKUP(D875,A!B$1:L$1125,7,FALSE)</f>
        <v>0</v>
      </c>
      <c r="O875" s="94">
        <f>VLOOKUP(D875,A!B$1:P$1126,9,FALSE)</f>
        <v>0</v>
      </c>
      <c r="P875" s="10">
        <v>6</v>
      </c>
      <c r="Q875" s="10">
        <v>5.95</v>
      </c>
      <c r="R875" s="10">
        <f t="shared" si="131"/>
        <v>0</v>
      </c>
      <c r="S875" s="10">
        <f t="shared" si="132"/>
        <v>0</v>
      </c>
      <c r="T875" s="29" t="s">
        <v>97</v>
      </c>
      <c r="U875" s="115">
        <v>0.35</v>
      </c>
      <c r="V875" s="10">
        <f>VLOOKUP(D875,A!B$1:T$1125,17,FALSE)</f>
        <v>0</v>
      </c>
      <c r="W875" s="10">
        <f t="shared" si="133"/>
        <v>0</v>
      </c>
      <c r="X875" s="29"/>
      <c r="Y875" s="29"/>
      <c r="Z875" s="29"/>
      <c r="AA875" s="29"/>
    </row>
    <row r="876" spans="1:27" s="3" customFormat="1" ht="13.5" hidden="1" customHeight="1" x14ac:dyDescent="0.25">
      <c r="A876" t="str">
        <f>IF(R876=0,"",COUNTIF(A$13:A875,"&gt;0")+1)</f>
        <v/>
      </c>
      <c r="B876" s="4"/>
      <c r="C876" s="5" t="s">
        <v>44</v>
      </c>
      <c r="D876" s="7" t="s">
        <v>102</v>
      </c>
      <c r="E876" s="31"/>
      <c r="F876" s="31"/>
      <c r="G876" s="6" t="s">
        <v>103</v>
      </c>
      <c r="H876" s="7">
        <f>VLOOKUP(D876,A!B$1:L$1126,8,FALSE)</f>
        <v>0</v>
      </c>
      <c r="I876" s="31">
        <f>VLOOKUP(D876,A!B$1:L$1126,8,FALSE)</f>
        <v>0</v>
      </c>
      <c r="J876" s="92"/>
      <c r="K876" s="63" t="str">
        <f>VLOOKUP(D876,A!B$1:P$1126,11,FALSE)</f>
        <v/>
      </c>
      <c r="L876" s="162"/>
      <c r="M876" s="41" t="s">
        <v>104</v>
      </c>
      <c r="N876" s="94">
        <f>VLOOKUP(D876,A!B$1:L$1125,7,FALSE)</f>
        <v>0</v>
      </c>
      <c r="O876" s="94">
        <f>VLOOKUP(D876,A!B$1:P$1126,9,FALSE)</f>
        <v>0</v>
      </c>
      <c r="P876" s="10">
        <v>6</v>
      </c>
      <c r="Q876" s="10">
        <v>5.95</v>
      </c>
      <c r="R876" s="10">
        <f t="shared" si="131"/>
        <v>0</v>
      </c>
      <c r="S876" s="10">
        <f t="shared" si="132"/>
        <v>0</v>
      </c>
      <c r="T876" s="29" t="s">
        <v>97</v>
      </c>
      <c r="U876" s="115">
        <v>0.35</v>
      </c>
      <c r="V876" s="10">
        <f>VLOOKUP(D876,A!B$1:T$1125,17,FALSE)</f>
        <v>0</v>
      </c>
      <c r="W876" s="10">
        <f t="shared" si="133"/>
        <v>0</v>
      </c>
      <c r="X876" s="29"/>
      <c r="Y876" s="29"/>
      <c r="Z876" s="29"/>
      <c r="AA876" s="29"/>
    </row>
    <row r="877" spans="1:27" s="3" customFormat="1" ht="13.5" hidden="1" customHeight="1" x14ac:dyDescent="0.25">
      <c r="A877" t="str">
        <f>IF(R877=0,"",COUNTIF(A$13:A876,"&gt;0")+1)</f>
        <v/>
      </c>
      <c r="B877" s="4"/>
      <c r="C877" s="5" t="s">
        <v>44</v>
      </c>
      <c r="D877" s="7" t="s">
        <v>836</v>
      </c>
      <c r="E877" s="31"/>
      <c r="F877" s="31"/>
      <c r="G877" s="6" t="s">
        <v>837</v>
      </c>
      <c r="H877" s="7">
        <f>VLOOKUP(D877,A!B$1:L$1126,8,FALSE)</f>
        <v>0</v>
      </c>
      <c r="I877" s="31">
        <f>VLOOKUP(D877,A!B$1:L$1126,8,FALSE)</f>
        <v>0</v>
      </c>
      <c r="J877" s="92"/>
      <c r="K877" s="63" t="str">
        <f>VLOOKUP(D877,A!B$1:P$1126,11,FALSE)</f>
        <v/>
      </c>
      <c r="L877" s="162"/>
      <c r="M877" s="41" t="s">
        <v>838</v>
      </c>
      <c r="N877" s="94">
        <f>VLOOKUP(D877,A!B$1:L$1125,7,FALSE)</f>
        <v>0</v>
      </c>
      <c r="O877" s="94">
        <f>VLOOKUP(D877,A!B$1:P$1126,9,FALSE)</f>
        <v>0</v>
      </c>
      <c r="P877" s="10">
        <v>6</v>
      </c>
      <c r="Q877" s="10">
        <v>5.95</v>
      </c>
      <c r="R877" s="10">
        <f t="shared" si="131"/>
        <v>0</v>
      </c>
      <c r="S877" s="10">
        <f t="shared" si="132"/>
        <v>0</v>
      </c>
      <c r="T877" s="29" t="s">
        <v>97</v>
      </c>
      <c r="U877" s="115">
        <v>0.35</v>
      </c>
      <c r="V877" s="10">
        <f>VLOOKUP(D877,A!B$1:T$1125,17,FALSE)</f>
        <v>0</v>
      </c>
      <c r="W877" s="10">
        <f t="shared" si="133"/>
        <v>0</v>
      </c>
      <c r="X877" s="29"/>
      <c r="Y877" s="29"/>
      <c r="Z877" s="29"/>
      <c r="AA877" s="29"/>
    </row>
    <row r="878" spans="1:27" s="3" customFormat="1" ht="13.5" hidden="1" customHeight="1" x14ac:dyDescent="0.25">
      <c r="A878" t="str">
        <f>IF(R878=0,"",COUNTIF(A$13:A877,"&gt;0")+1)</f>
        <v/>
      </c>
      <c r="B878" s="4"/>
      <c r="C878" s="5" t="s">
        <v>44</v>
      </c>
      <c r="D878" s="7" t="s">
        <v>839</v>
      </c>
      <c r="E878" s="31"/>
      <c r="F878" s="31"/>
      <c r="G878" s="6" t="s">
        <v>840</v>
      </c>
      <c r="H878" s="7">
        <f>VLOOKUP(D878,A!B$1:L$1126,8,FALSE)</f>
        <v>0</v>
      </c>
      <c r="I878" s="31">
        <f>VLOOKUP(D878,A!B$1:L$1126,8,FALSE)</f>
        <v>0</v>
      </c>
      <c r="J878" s="92"/>
      <c r="K878" s="63" t="str">
        <f>VLOOKUP(D878,A!B$1:P$1126,11,FALSE)</f>
        <v/>
      </c>
      <c r="L878" s="162"/>
      <c r="M878" s="43" t="s">
        <v>841</v>
      </c>
      <c r="N878" s="94">
        <f>VLOOKUP(D878,A!B$1:L$1125,7,FALSE)</f>
        <v>0</v>
      </c>
      <c r="O878" s="94">
        <f>VLOOKUP(D878,A!B$1:P$1126,9,FALSE)</f>
        <v>0</v>
      </c>
      <c r="P878" s="10">
        <v>6</v>
      </c>
      <c r="Q878" s="10">
        <v>5.95</v>
      </c>
      <c r="R878" s="10">
        <f t="shared" si="131"/>
        <v>0</v>
      </c>
      <c r="S878" s="10">
        <f t="shared" si="132"/>
        <v>0</v>
      </c>
      <c r="T878" s="29" t="s">
        <v>97</v>
      </c>
      <c r="U878" s="115">
        <v>0.35</v>
      </c>
      <c r="V878" s="10">
        <f>VLOOKUP(D878,A!B$1:T$1125,17,FALSE)</f>
        <v>0</v>
      </c>
      <c r="W878" s="10">
        <f t="shared" si="133"/>
        <v>0</v>
      </c>
      <c r="X878" s="29"/>
      <c r="Y878" s="29"/>
      <c r="Z878" s="29"/>
      <c r="AA878" s="29"/>
    </row>
    <row r="879" spans="1:27" s="3" customFormat="1" ht="13.5" hidden="1" customHeight="1" x14ac:dyDescent="0.25">
      <c r="A879" t="str">
        <f>IF(R879=0,"",COUNTIF(A$13:A878,"&gt;0")+1)</f>
        <v/>
      </c>
      <c r="B879" s="4"/>
      <c r="C879" s="5" t="s">
        <v>44</v>
      </c>
      <c r="D879" s="7" t="s">
        <v>842</v>
      </c>
      <c r="E879" s="31"/>
      <c r="F879" s="31"/>
      <c r="G879" s="6" t="s">
        <v>843</v>
      </c>
      <c r="H879" s="7">
        <f>VLOOKUP(D879,A!B$1:L$1126,8,FALSE)</f>
        <v>0</v>
      </c>
      <c r="I879" s="31">
        <f>VLOOKUP(D879,A!B$1:L$1126,8,FALSE)</f>
        <v>0</v>
      </c>
      <c r="J879" s="92"/>
      <c r="K879" s="63" t="str">
        <f>VLOOKUP(D879,A!B$1:P$1126,11,FALSE)</f>
        <v/>
      </c>
      <c r="L879" s="162"/>
      <c r="M879" s="41" t="s">
        <v>844</v>
      </c>
      <c r="N879" s="94">
        <f>VLOOKUP(D879,A!B$1:L$1125,7,FALSE)</f>
        <v>0</v>
      </c>
      <c r="O879" s="94">
        <f>VLOOKUP(D879,A!B$1:P$1126,9,FALSE)</f>
        <v>0</v>
      </c>
      <c r="P879" s="10">
        <v>6</v>
      </c>
      <c r="Q879" s="10">
        <v>5.95</v>
      </c>
      <c r="R879" s="10">
        <f t="shared" si="131"/>
        <v>0</v>
      </c>
      <c r="S879" s="10">
        <f t="shared" si="132"/>
        <v>0</v>
      </c>
      <c r="T879" s="29" t="s">
        <v>97</v>
      </c>
      <c r="U879" s="115">
        <v>0.35</v>
      </c>
      <c r="V879" s="10">
        <f>VLOOKUP(D879,A!B$1:T$1125,17,FALSE)</f>
        <v>0</v>
      </c>
      <c r="W879" s="10">
        <f t="shared" si="133"/>
        <v>0</v>
      </c>
      <c r="X879" s="29"/>
      <c r="Y879" s="29"/>
      <c r="Z879" s="29"/>
      <c r="AA879" s="29"/>
    </row>
    <row r="880" spans="1:27" s="3" customFormat="1" ht="13.5" hidden="1" customHeight="1" x14ac:dyDescent="0.25">
      <c r="A880" t="str">
        <f>IF(R880=0,"",COUNTIF(A$13:A879,"&gt;0")+1)</f>
        <v/>
      </c>
      <c r="B880" s="4"/>
      <c r="C880" s="5" t="s">
        <v>44</v>
      </c>
      <c r="D880" s="7" t="s">
        <v>845</v>
      </c>
      <c r="E880" s="31"/>
      <c r="F880" s="31"/>
      <c r="G880" s="6" t="s">
        <v>843</v>
      </c>
      <c r="H880" s="7">
        <f>VLOOKUP(D880,A!B$1:L$1126,8,FALSE)</f>
        <v>0</v>
      </c>
      <c r="I880" s="31">
        <f>VLOOKUP(D880,A!B$1:L$1126,8,FALSE)</f>
        <v>0</v>
      </c>
      <c r="J880" s="92"/>
      <c r="K880" s="63" t="str">
        <f>VLOOKUP(D880,A!B$1:P$1126,11,FALSE)</f>
        <v/>
      </c>
      <c r="L880" s="162"/>
      <c r="M880" s="43" t="s">
        <v>846</v>
      </c>
      <c r="N880" s="94">
        <f>VLOOKUP(D880,A!B$1:L$1125,7,FALSE)</f>
        <v>0</v>
      </c>
      <c r="O880" s="94">
        <f>VLOOKUP(D880,A!B$1:P$1126,9,FALSE)</f>
        <v>0</v>
      </c>
      <c r="P880" s="10">
        <v>6</v>
      </c>
      <c r="Q880" s="10">
        <v>5.95</v>
      </c>
      <c r="R880" s="10">
        <f t="shared" si="131"/>
        <v>0</v>
      </c>
      <c r="S880" s="10">
        <f t="shared" si="132"/>
        <v>0</v>
      </c>
      <c r="T880" s="29" t="s">
        <v>97</v>
      </c>
      <c r="U880" s="115">
        <v>0.35</v>
      </c>
      <c r="V880" s="10">
        <f>VLOOKUP(D880,A!B$1:T$1125,17,FALSE)</f>
        <v>0</v>
      </c>
      <c r="W880" s="10">
        <f t="shared" si="133"/>
        <v>0</v>
      </c>
      <c r="X880" s="29"/>
      <c r="Y880" s="29"/>
      <c r="Z880" s="29"/>
      <c r="AA880" s="29"/>
    </row>
    <row r="881" spans="1:27" s="3" customFormat="1" ht="13.5" hidden="1" customHeight="1" x14ac:dyDescent="0.25">
      <c r="A881" t="str">
        <f>IF(R881=0,"",COUNTIF(A$13:A880,"&gt;0")+1)</f>
        <v/>
      </c>
      <c r="B881" s="4"/>
      <c r="C881" s="5" t="s">
        <v>44</v>
      </c>
      <c r="D881" s="7" t="s">
        <v>847</v>
      </c>
      <c r="E881" s="31"/>
      <c r="F881" s="31"/>
      <c r="G881" s="6" t="s">
        <v>843</v>
      </c>
      <c r="H881" s="7">
        <f>VLOOKUP(D881,A!B$1:L$1126,8,FALSE)</f>
        <v>0</v>
      </c>
      <c r="I881" s="31">
        <f>VLOOKUP(D881,A!B$1:L$1126,8,FALSE)</f>
        <v>0</v>
      </c>
      <c r="J881" s="92"/>
      <c r="K881" s="63" t="str">
        <f>VLOOKUP(D881,A!B$1:P$1126,11,FALSE)</f>
        <v/>
      </c>
      <c r="L881" s="162"/>
      <c r="M881" s="43" t="s">
        <v>848</v>
      </c>
      <c r="N881" s="94">
        <f>VLOOKUP(D881,A!B$1:L$1125,7,FALSE)</f>
        <v>0</v>
      </c>
      <c r="O881" s="94">
        <f>VLOOKUP(D881,A!B$1:P$1126,9,FALSE)</f>
        <v>0</v>
      </c>
      <c r="P881" s="10">
        <v>6</v>
      </c>
      <c r="Q881" s="10">
        <v>5.95</v>
      </c>
      <c r="R881" s="10">
        <f t="shared" si="131"/>
        <v>0</v>
      </c>
      <c r="S881" s="10">
        <f t="shared" si="132"/>
        <v>0</v>
      </c>
      <c r="T881" s="29" t="s">
        <v>97</v>
      </c>
      <c r="U881" s="115">
        <v>0.35</v>
      </c>
      <c r="V881" s="10">
        <f>VLOOKUP(D881,A!B$1:T$1125,17,FALSE)</f>
        <v>0</v>
      </c>
      <c r="W881" s="10">
        <f t="shared" si="133"/>
        <v>0</v>
      </c>
      <c r="X881" s="29"/>
      <c r="Y881" s="29"/>
      <c r="Z881" s="29"/>
      <c r="AA881" s="29"/>
    </row>
    <row r="882" spans="1:27" s="3" customFormat="1" ht="13.5" hidden="1" customHeight="1" x14ac:dyDescent="0.25">
      <c r="A882" t="str">
        <f>IF(R882=0,"",COUNTIF(A$13:A881,"&gt;0")+1)</f>
        <v/>
      </c>
      <c r="B882" s="4"/>
      <c r="C882" s="5" t="s">
        <v>44</v>
      </c>
      <c r="D882" s="7" t="s">
        <v>849</v>
      </c>
      <c r="E882" s="31"/>
      <c r="F882" s="31"/>
      <c r="G882" s="6" t="s">
        <v>850</v>
      </c>
      <c r="H882" s="7">
        <f>VLOOKUP(D882,A!B$1:L$1126,8,FALSE)</f>
        <v>0</v>
      </c>
      <c r="I882" s="31">
        <f>VLOOKUP(D882,A!B$1:L$1126,8,FALSE)</f>
        <v>0</v>
      </c>
      <c r="J882" s="92"/>
      <c r="K882" s="63" t="str">
        <f>VLOOKUP(D882,A!B$1:P$1126,11,FALSE)</f>
        <v/>
      </c>
      <c r="L882" s="162"/>
      <c r="M882" s="43" t="s">
        <v>851</v>
      </c>
      <c r="N882" s="94">
        <f>VLOOKUP(D882,A!B$1:L$1125,7,FALSE)</f>
        <v>0</v>
      </c>
      <c r="O882" s="94">
        <f>VLOOKUP(D882,A!B$1:P$1126,9,FALSE)</f>
        <v>0</v>
      </c>
      <c r="P882" s="10">
        <v>6</v>
      </c>
      <c r="Q882" s="10">
        <v>5.95</v>
      </c>
      <c r="R882" s="10">
        <f t="shared" si="131"/>
        <v>0</v>
      </c>
      <c r="S882" s="10">
        <f t="shared" si="132"/>
        <v>0</v>
      </c>
      <c r="T882" s="29" t="s">
        <v>97</v>
      </c>
      <c r="U882" s="115">
        <v>0.35</v>
      </c>
      <c r="V882" s="10">
        <f>VLOOKUP(D882,A!B$1:T$1125,17,FALSE)</f>
        <v>0</v>
      </c>
      <c r="W882" s="10">
        <f t="shared" si="133"/>
        <v>0</v>
      </c>
      <c r="X882" s="29"/>
      <c r="Y882" s="29"/>
      <c r="Z882" s="29"/>
      <c r="AA882" s="29"/>
    </row>
    <row r="883" spans="1:27" s="3" customFormat="1" ht="13.5" hidden="1" customHeight="1" x14ac:dyDescent="0.25">
      <c r="A883" t="str">
        <f>IF(R883=0,"",COUNTIF(A$13:A882,"&gt;0")+1)</f>
        <v/>
      </c>
      <c r="B883" s="4"/>
      <c r="C883" s="5" t="s">
        <v>44</v>
      </c>
      <c r="D883" s="7" t="s">
        <v>852</v>
      </c>
      <c r="E883" s="31"/>
      <c r="F883" s="31"/>
      <c r="G883" s="6" t="s">
        <v>853</v>
      </c>
      <c r="H883" s="7">
        <f>VLOOKUP(D883,A!B$1:L$1126,8,FALSE)</f>
        <v>0</v>
      </c>
      <c r="I883" s="31">
        <f>VLOOKUP(D883,A!B$1:L$1126,8,FALSE)</f>
        <v>0</v>
      </c>
      <c r="J883" s="92"/>
      <c r="K883" s="63" t="str">
        <f>VLOOKUP(D883,A!B$1:P$1126,11,FALSE)</f>
        <v/>
      </c>
      <c r="L883" s="162"/>
      <c r="M883" s="43" t="s">
        <v>854</v>
      </c>
      <c r="N883" s="94">
        <f>VLOOKUP(D883,A!B$1:L$1125,7,FALSE)</f>
        <v>0</v>
      </c>
      <c r="O883" s="94">
        <f>VLOOKUP(D883,A!B$1:P$1126,9,FALSE)</f>
        <v>0</v>
      </c>
      <c r="P883" s="10">
        <v>6</v>
      </c>
      <c r="Q883" s="10">
        <v>5.95</v>
      </c>
      <c r="R883" s="10">
        <f t="shared" si="131"/>
        <v>0</v>
      </c>
      <c r="S883" s="10">
        <f t="shared" si="132"/>
        <v>0</v>
      </c>
      <c r="T883" s="29" t="s">
        <v>97</v>
      </c>
      <c r="U883" s="115">
        <v>0.35</v>
      </c>
      <c r="V883" s="10">
        <f>VLOOKUP(D883,A!B$1:T$1125,17,FALSE)</f>
        <v>0</v>
      </c>
      <c r="W883" s="10">
        <f t="shared" si="133"/>
        <v>0</v>
      </c>
      <c r="X883" s="29"/>
      <c r="Y883" s="29"/>
      <c r="Z883" s="29"/>
      <c r="AA883" s="29"/>
    </row>
    <row r="884" spans="1:27" s="3" customFormat="1" ht="13.5" hidden="1" customHeight="1" x14ac:dyDescent="0.25">
      <c r="A884" t="str">
        <f>IF(R884=0,"",COUNTIF(A$13:A883,"&gt;0")+1)</f>
        <v/>
      </c>
      <c r="B884" s="4"/>
      <c r="C884" s="5" t="s">
        <v>44</v>
      </c>
      <c r="D884" s="7" t="s">
        <v>855</v>
      </c>
      <c r="E884" s="31"/>
      <c r="F884" s="31"/>
      <c r="G884" s="6" t="s">
        <v>856</v>
      </c>
      <c r="H884" s="7">
        <f>VLOOKUP(D884,A!B$1:L$1126,8,FALSE)</f>
        <v>0</v>
      </c>
      <c r="I884" s="31">
        <f>VLOOKUP(D884,A!B$1:L$1126,8,FALSE)</f>
        <v>0</v>
      </c>
      <c r="J884" s="92"/>
      <c r="K884" s="63" t="str">
        <f>VLOOKUP(D884,A!B$1:P$1126,11,FALSE)</f>
        <v/>
      </c>
      <c r="L884" s="162"/>
      <c r="M884" s="41" t="s">
        <v>857</v>
      </c>
      <c r="N884" s="94">
        <f>VLOOKUP(D884,A!B$1:L$1125,7,FALSE)</f>
        <v>0</v>
      </c>
      <c r="O884" s="94">
        <f>VLOOKUP(D884,A!B$1:P$1126,9,FALSE)</f>
        <v>0</v>
      </c>
      <c r="P884" s="10">
        <v>6</v>
      </c>
      <c r="Q884" s="10">
        <v>5.95</v>
      </c>
      <c r="R884" s="10">
        <f t="shared" si="131"/>
        <v>0</v>
      </c>
      <c r="S884" s="10">
        <f t="shared" si="132"/>
        <v>0</v>
      </c>
      <c r="T884" s="29" t="s">
        <v>97</v>
      </c>
      <c r="U884" s="115">
        <v>0.35</v>
      </c>
      <c r="V884" s="10">
        <f>VLOOKUP(D884,A!B$1:T$1125,17,FALSE)</f>
        <v>0</v>
      </c>
      <c r="W884" s="10">
        <f t="shared" si="133"/>
        <v>0</v>
      </c>
      <c r="X884" s="29"/>
      <c r="Y884" s="29"/>
      <c r="Z884" s="29"/>
      <c r="AA884" s="29"/>
    </row>
    <row r="885" spans="1:27" s="3" customFormat="1" ht="13.5" hidden="1" customHeight="1" x14ac:dyDescent="0.25">
      <c r="A885" t="str">
        <f>IF(R885=0,"",COUNTIF(A$13:A884,"&gt;0")+1)</f>
        <v/>
      </c>
      <c r="B885" s="4"/>
      <c r="C885" s="5" t="s">
        <v>44</v>
      </c>
      <c r="D885" s="7" t="s">
        <v>858</v>
      </c>
      <c r="E885" s="31"/>
      <c r="F885" s="31"/>
      <c r="G885" s="6" t="s">
        <v>859</v>
      </c>
      <c r="H885" s="7">
        <f>VLOOKUP(D885,A!B$1:L$1126,8,FALSE)</f>
        <v>0</v>
      </c>
      <c r="I885" s="31">
        <f>VLOOKUP(D885,A!B$1:L$1126,8,FALSE)</f>
        <v>0</v>
      </c>
      <c r="J885" s="92"/>
      <c r="K885" s="63" t="str">
        <f>VLOOKUP(D885,A!B$1:P$1126,11,FALSE)</f>
        <v/>
      </c>
      <c r="L885" s="162"/>
      <c r="M885" s="43" t="s">
        <v>860</v>
      </c>
      <c r="N885" s="94">
        <f>VLOOKUP(D885,A!B$1:L$1125,7,FALSE)</f>
        <v>0</v>
      </c>
      <c r="O885" s="94">
        <f>VLOOKUP(D885,A!B$1:P$1126,9,FALSE)</f>
        <v>0</v>
      </c>
      <c r="P885" s="10">
        <v>6</v>
      </c>
      <c r="Q885" s="10">
        <v>5.95</v>
      </c>
      <c r="R885" s="10">
        <f t="shared" si="131"/>
        <v>0</v>
      </c>
      <c r="S885" s="10">
        <f t="shared" si="132"/>
        <v>0</v>
      </c>
      <c r="T885" s="29" t="s">
        <v>97</v>
      </c>
      <c r="U885" s="115">
        <v>0.35</v>
      </c>
      <c r="V885" s="10">
        <f>VLOOKUP(D885,A!B$1:T$1125,17,FALSE)</f>
        <v>0</v>
      </c>
      <c r="W885" s="10">
        <f t="shared" si="133"/>
        <v>0</v>
      </c>
      <c r="X885" s="29"/>
      <c r="Y885" s="29"/>
      <c r="Z885" s="29"/>
      <c r="AA885" s="29"/>
    </row>
    <row r="886" spans="1:27" s="3" customFormat="1" ht="13.5" hidden="1" customHeight="1" x14ac:dyDescent="0.25">
      <c r="A886" t="str">
        <f>IF(R886=0,"",COUNTIF(A$13:A885,"&gt;0")+1)</f>
        <v/>
      </c>
      <c r="B886" s="4"/>
      <c r="C886" s="5" t="s">
        <v>44</v>
      </c>
      <c r="D886" s="7" t="s">
        <v>861</v>
      </c>
      <c r="E886" s="31"/>
      <c r="F886" s="31"/>
      <c r="G886" s="6" t="s">
        <v>856</v>
      </c>
      <c r="H886" s="7">
        <f>VLOOKUP(D886,A!B$1:L$1126,8,FALSE)</f>
        <v>0</v>
      </c>
      <c r="I886" s="31">
        <f>VLOOKUP(D886,A!B$1:L$1126,8,FALSE)</f>
        <v>0</v>
      </c>
      <c r="J886" s="92"/>
      <c r="K886" s="63" t="str">
        <f>VLOOKUP(D886,A!B$1:P$1126,11,FALSE)</f>
        <v/>
      </c>
      <c r="L886" s="162"/>
      <c r="M886" s="43" t="s">
        <v>862</v>
      </c>
      <c r="N886" s="94">
        <f>VLOOKUP(D886,A!B$1:L$1125,7,FALSE)</f>
        <v>0</v>
      </c>
      <c r="O886" s="94">
        <f>VLOOKUP(D886,A!B$1:P$1126,9,FALSE)</f>
        <v>0</v>
      </c>
      <c r="P886" s="10">
        <v>6</v>
      </c>
      <c r="Q886" s="10">
        <v>5.95</v>
      </c>
      <c r="R886" s="10">
        <f t="shared" si="131"/>
        <v>0</v>
      </c>
      <c r="S886" s="10">
        <f t="shared" si="132"/>
        <v>0</v>
      </c>
      <c r="T886" s="29" t="s">
        <v>97</v>
      </c>
      <c r="U886" s="115">
        <v>0.35</v>
      </c>
      <c r="V886" s="10">
        <f>VLOOKUP(D886,A!B$1:T$1125,17,FALSE)</f>
        <v>0</v>
      </c>
      <c r="W886" s="10">
        <f t="shared" si="133"/>
        <v>0</v>
      </c>
      <c r="X886" s="29"/>
      <c r="Y886" s="29"/>
      <c r="Z886" s="29"/>
      <c r="AA886" s="29"/>
    </row>
    <row r="887" spans="1:27" s="3" customFormat="1" ht="13.5" hidden="1" customHeight="1" x14ac:dyDescent="0.25">
      <c r="A887" t="str">
        <f>IF(R887=0,"",COUNTIF(A$13:A886,"&gt;0")+1)</f>
        <v/>
      </c>
      <c r="B887" s="4"/>
      <c r="C887" s="5" t="s">
        <v>44</v>
      </c>
      <c r="D887" s="7" t="s">
        <v>863</v>
      </c>
      <c r="E887" s="31"/>
      <c r="F887" s="31"/>
      <c r="G887" s="6" t="s">
        <v>856</v>
      </c>
      <c r="H887" s="7">
        <f>VLOOKUP(D887,A!B$1:L$1126,8,FALSE)</f>
        <v>0</v>
      </c>
      <c r="I887" s="31">
        <f>VLOOKUP(D887,A!B$1:L$1126,8,FALSE)</f>
        <v>0</v>
      </c>
      <c r="J887" s="92"/>
      <c r="K887" s="63" t="str">
        <f>VLOOKUP(D887,A!B$1:P$1126,11,FALSE)</f>
        <v/>
      </c>
      <c r="L887" s="162"/>
      <c r="M887" s="41" t="s">
        <v>864</v>
      </c>
      <c r="N887" s="94">
        <f>VLOOKUP(D887,A!B$1:L$1125,7,FALSE)</f>
        <v>0</v>
      </c>
      <c r="O887" s="94">
        <f>VLOOKUP(D887,A!B$1:P$1126,9,FALSE)</f>
        <v>0</v>
      </c>
      <c r="P887" s="10">
        <v>6</v>
      </c>
      <c r="Q887" s="10">
        <v>5.95</v>
      </c>
      <c r="R887" s="10">
        <f t="shared" si="131"/>
        <v>0</v>
      </c>
      <c r="S887" s="10">
        <f t="shared" si="132"/>
        <v>0</v>
      </c>
      <c r="T887" s="29" t="s">
        <v>97</v>
      </c>
      <c r="U887" s="115">
        <v>0.35</v>
      </c>
      <c r="V887" s="10">
        <f>VLOOKUP(D887,A!B$1:T$1125,17,FALSE)</f>
        <v>0</v>
      </c>
      <c r="W887" s="10">
        <f t="shared" si="133"/>
        <v>0</v>
      </c>
      <c r="X887" s="29"/>
      <c r="Y887" s="29"/>
      <c r="Z887" s="29"/>
      <c r="AA887" s="29"/>
    </row>
    <row r="888" spans="1:27" s="3" customFormat="1" ht="13.5" hidden="1" customHeight="1" x14ac:dyDescent="0.25">
      <c r="A888" t="str">
        <f>IF(R888=0,"",COUNTIF(A$13:A887,"&gt;0")+1)</f>
        <v/>
      </c>
      <c r="B888" s="4"/>
      <c r="C888" s="5" t="s">
        <v>44</v>
      </c>
      <c r="D888" s="7" t="s">
        <v>865</v>
      </c>
      <c r="E888" s="31"/>
      <c r="F888" s="31"/>
      <c r="G888" s="6" t="s">
        <v>856</v>
      </c>
      <c r="H888" s="7">
        <f>VLOOKUP(D888,A!B$1:L$1126,8,FALSE)</f>
        <v>0</v>
      </c>
      <c r="I888" s="31">
        <f>VLOOKUP(D888,A!B$1:L$1126,8,FALSE)</f>
        <v>0</v>
      </c>
      <c r="J888" s="92"/>
      <c r="K888" s="63" t="str">
        <f>VLOOKUP(D888,A!B$1:P$1126,11,FALSE)</f>
        <v/>
      </c>
      <c r="L888" s="162"/>
      <c r="M888" s="41" t="s">
        <v>866</v>
      </c>
      <c r="N888" s="94">
        <f>VLOOKUP(D888,A!B$1:L$1125,7,FALSE)</f>
        <v>0</v>
      </c>
      <c r="O888" s="94">
        <f>VLOOKUP(D888,A!B$1:P$1126,9,FALSE)</f>
        <v>0</v>
      </c>
      <c r="P888" s="10">
        <v>6</v>
      </c>
      <c r="Q888" s="10">
        <v>5.95</v>
      </c>
      <c r="R888" s="10">
        <f t="shared" si="131"/>
        <v>0</v>
      </c>
      <c r="S888" s="10">
        <f t="shared" si="132"/>
        <v>0</v>
      </c>
      <c r="T888" s="29" t="s">
        <v>97</v>
      </c>
      <c r="U888" s="115">
        <v>0.35</v>
      </c>
      <c r="V888" s="10">
        <f>VLOOKUP(D888,A!B$1:T$1125,17,FALSE)</f>
        <v>0</v>
      </c>
      <c r="W888" s="10">
        <f t="shared" si="133"/>
        <v>0</v>
      </c>
      <c r="X888" s="29"/>
      <c r="Y888" s="29"/>
      <c r="Z888" s="29"/>
      <c r="AA888" s="29"/>
    </row>
    <row r="889" spans="1:27" s="3" customFormat="1" ht="13.5" hidden="1" customHeight="1" x14ac:dyDescent="0.25">
      <c r="A889" t="str">
        <f>IF(R889=0,"",COUNTIF(A$13:A888,"&gt;0")+1)</f>
        <v/>
      </c>
      <c r="B889" s="4"/>
      <c r="C889" s="5" t="s">
        <v>44</v>
      </c>
      <c r="D889" s="7" t="s">
        <v>867</v>
      </c>
      <c r="E889" s="31"/>
      <c r="F889" s="31"/>
      <c r="G889" s="6" t="s">
        <v>868</v>
      </c>
      <c r="H889" s="7">
        <f>VLOOKUP(D889,A!B$1:L$1126,8,FALSE)</f>
        <v>0</v>
      </c>
      <c r="I889" s="31">
        <f>VLOOKUP(D889,A!B$1:L$1126,8,FALSE)</f>
        <v>0</v>
      </c>
      <c r="J889" s="92"/>
      <c r="K889" s="63" t="str">
        <f>VLOOKUP(D889,A!B$1:P$1126,11,FALSE)</f>
        <v/>
      </c>
      <c r="L889" s="162"/>
      <c r="M889" s="41" t="s">
        <v>869</v>
      </c>
      <c r="N889" s="94">
        <f>VLOOKUP(D889,A!B$1:L$1125,7,FALSE)</f>
        <v>0</v>
      </c>
      <c r="O889" s="94">
        <f>VLOOKUP(D889,A!B$1:P$1126,9,FALSE)</f>
        <v>0</v>
      </c>
      <c r="P889" s="10">
        <v>6</v>
      </c>
      <c r="Q889" s="10">
        <v>5.95</v>
      </c>
      <c r="R889" s="10">
        <f t="shared" si="131"/>
        <v>0</v>
      </c>
      <c r="S889" s="10">
        <f t="shared" si="132"/>
        <v>0</v>
      </c>
      <c r="T889" s="29" t="s">
        <v>97</v>
      </c>
      <c r="U889" s="115">
        <v>0.35</v>
      </c>
      <c r="V889" s="10">
        <f>VLOOKUP(D889,A!B$1:T$1125,17,FALSE)</f>
        <v>0</v>
      </c>
      <c r="W889" s="10">
        <f t="shared" si="133"/>
        <v>0</v>
      </c>
      <c r="X889" s="29"/>
      <c r="Y889" s="29"/>
      <c r="Z889" s="29"/>
      <c r="AA889" s="29"/>
    </row>
    <row r="890" spans="1:27" s="3" customFormat="1" ht="13.5" hidden="1" customHeight="1" x14ac:dyDescent="0.25">
      <c r="A890" t="str">
        <f>IF(R890=0,"",COUNTIF(A$13:A889,"&gt;0")+1)</f>
        <v/>
      </c>
      <c r="B890" s="4"/>
      <c r="C890" s="5" t="s">
        <v>44</v>
      </c>
      <c r="D890" s="7" t="s">
        <v>870</v>
      </c>
      <c r="E890" s="31"/>
      <c r="F890" s="31"/>
      <c r="G890" s="6" t="s">
        <v>856</v>
      </c>
      <c r="H890" s="7">
        <f>VLOOKUP(D890,A!B$1:L$1126,8,FALSE)</f>
        <v>0</v>
      </c>
      <c r="I890" s="31">
        <f>VLOOKUP(D890,A!B$1:L$1126,8,FALSE)</f>
        <v>0</v>
      </c>
      <c r="J890" s="92"/>
      <c r="K890" s="63" t="str">
        <f>VLOOKUP(D890,A!B$1:P$1126,11,FALSE)</f>
        <v/>
      </c>
      <c r="L890" s="162"/>
      <c r="M890" s="43" t="s">
        <v>871</v>
      </c>
      <c r="N890" s="94">
        <f>VLOOKUP(D890,A!B$1:L$1125,7,FALSE)</f>
        <v>0</v>
      </c>
      <c r="O890" s="94">
        <f>VLOOKUP(D890,A!B$1:P$1126,9,FALSE)</f>
        <v>0</v>
      </c>
      <c r="P890" s="10">
        <v>6</v>
      </c>
      <c r="Q890" s="10">
        <v>5.95</v>
      </c>
      <c r="R890" s="10">
        <f t="shared" si="131"/>
        <v>0</v>
      </c>
      <c r="S890" s="10">
        <f t="shared" si="132"/>
        <v>0</v>
      </c>
      <c r="T890" s="29" t="s">
        <v>97</v>
      </c>
      <c r="U890" s="115">
        <v>0.35</v>
      </c>
      <c r="V890" s="10">
        <f>VLOOKUP(D890,A!B$1:T$1125,17,FALSE)</f>
        <v>0</v>
      </c>
      <c r="W890" s="10">
        <f t="shared" si="133"/>
        <v>0</v>
      </c>
      <c r="X890" s="29"/>
      <c r="Y890" s="29"/>
      <c r="Z890" s="29"/>
      <c r="AA890" s="29"/>
    </row>
    <row r="891" spans="1:27" s="3" customFormat="1" ht="13.5" hidden="1" customHeight="1" x14ac:dyDescent="0.25">
      <c r="A891" t="str">
        <f>IF(R891=0,"",COUNTIF(A$13:A890,"&gt;0")+1)</f>
        <v/>
      </c>
      <c r="B891" s="4"/>
      <c r="C891" s="5" t="s">
        <v>44</v>
      </c>
      <c r="D891" s="7" t="s">
        <v>872</v>
      </c>
      <c r="E891" s="31"/>
      <c r="F891" s="31"/>
      <c r="G891" s="6" t="s">
        <v>873</v>
      </c>
      <c r="H891" s="7">
        <f>VLOOKUP(D891,A!B$1:L$1126,8,FALSE)</f>
        <v>0</v>
      </c>
      <c r="I891" s="31">
        <f>VLOOKUP(D891,A!B$1:L$1126,8,FALSE)</f>
        <v>0</v>
      </c>
      <c r="J891" s="92"/>
      <c r="K891" s="63" t="str">
        <f>VLOOKUP(D891,A!B$1:P$1126,11,FALSE)</f>
        <v/>
      </c>
      <c r="L891" s="162"/>
      <c r="M891" s="41" t="s">
        <v>874</v>
      </c>
      <c r="N891" s="94">
        <f>VLOOKUP(D891,A!B$1:L$1125,7,FALSE)</f>
        <v>0</v>
      </c>
      <c r="O891" s="94">
        <f>VLOOKUP(D891,A!B$1:P$1126,9,FALSE)</f>
        <v>0</v>
      </c>
      <c r="P891" s="10">
        <v>6</v>
      </c>
      <c r="Q891" s="10">
        <v>5.95</v>
      </c>
      <c r="R891" s="10">
        <f t="shared" si="131"/>
        <v>0</v>
      </c>
      <c r="S891" s="10">
        <f t="shared" si="132"/>
        <v>0</v>
      </c>
      <c r="T891" s="29" t="s">
        <v>97</v>
      </c>
      <c r="U891" s="115">
        <v>0.35</v>
      </c>
      <c r="V891" s="10">
        <f>VLOOKUP(D891,A!B$1:T$1125,17,FALSE)</f>
        <v>0</v>
      </c>
      <c r="W891" s="10">
        <f t="shared" si="133"/>
        <v>0</v>
      </c>
      <c r="X891" s="29"/>
      <c r="Y891" s="29"/>
      <c r="Z891" s="29"/>
      <c r="AA891" s="29"/>
    </row>
    <row r="892" spans="1:27" s="3" customFormat="1" ht="13.5" hidden="1" customHeight="1" x14ac:dyDescent="0.25">
      <c r="A892" t="str">
        <f>IF(R892=0,"",COUNTIF(A$13:A891,"&gt;0")+1)</f>
        <v/>
      </c>
      <c r="B892" s="4"/>
      <c r="C892" s="5" t="s">
        <v>44</v>
      </c>
      <c r="D892" s="7" t="s">
        <v>875</v>
      </c>
      <c r="E892" s="31"/>
      <c r="F892" s="31"/>
      <c r="G892" s="6" t="s">
        <v>876</v>
      </c>
      <c r="H892" s="7">
        <f>VLOOKUP(D892,A!B$1:L$1126,8,FALSE)</f>
        <v>0</v>
      </c>
      <c r="I892" s="31">
        <f>VLOOKUP(D892,A!B$1:L$1126,8,FALSE)</f>
        <v>0</v>
      </c>
      <c r="J892" s="92"/>
      <c r="K892" s="63" t="str">
        <f>VLOOKUP(D892,A!B$1:P$1126,11,FALSE)</f>
        <v/>
      </c>
      <c r="L892" s="162"/>
      <c r="M892" s="41" t="s">
        <v>877</v>
      </c>
      <c r="N892" s="94">
        <f>VLOOKUP(D892,A!B$1:L$1125,7,FALSE)</f>
        <v>0</v>
      </c>
      <c r="O892" s="94">
        <f>VLOOKUP(D892,A!B$1:P$1126,9,FALSE)</f>
        <v>0</v>
      </c>
      <c r="P892" s="10">
        <v>6</v>
      </c>
      <c r="Q892" s="10">
        <v>5.95</v>
      </c>
      <c r="R892" s="10">
        <f t="shared" si="131"/>
        <v>0</v>
      </c>
      <c r="S892" s="10">
        <f t="shared" si="132"/>
        <v>0</v>
      </c>
      <c r="T892" s="29" t="s">
        <v>97</v>
      </c>
      <c r="U892" s="115">
        <v>0.35</v>
      </c>
      <c r="V892" s="10">
        <f>VLOOKUP(D892,A!B$1:T$1125,17,FALSE)</f>
        <v>0</v>
      </c>
      <c r="W892" s="10">
        <f t="shared" si="133"/>
        <v>0</v>
      </c>
      <c r="X892" s="29"/>
      <c r="Y892" s="29"/>
      <c r="Z892" s="29"/>
      <c r="AA892" s="29"/>
    </row>
    <row r="893" spans="1:27" s="3" customFormat="1" ht="13.5" hidden="1" customHeight="1" x14ac:dyDescent="0.25">
      <c r="A893" t="str">
        <f>IF(R893=0,"",COUNTIF(A$13:A892,"&gt;0")+1)</f>
        <v/>
      </c>
      <c r="B893" s="4"/>
      <c r="C893" s="5" t="s">
        <v>44</v>
      </c>
      <c r="D893" s="7" t="s">
        <v>878</v>
      </c>
      <c r="E893" s="31"/>
      <c r="F893" s="31"/>
      <c r="G893" s="6" t="s">
        <v>879</v>
      </c>
      <c r="H893" s="7">
        <f>VLOOKUP(D893,A!B$1:L$1126,8,FALSE)</f>
        <v>0</v>
      </c>
      <c r="I893" s="31">
        <f>VLOOKUP(D893,A!B$1:L$1126,8,FALSE)</f>
        <v>0</v>
      </c>
      <c r="J893" s="92"/>
      <c r="K893" s="63" t="str">
        <f>VLOOKUP(D893,A!B$1:P$1126,11,FALSE)</f>
        <v/>
      </c>
      <c r="L893" s="162"/>
      <c r="M893" s="41" t="s">
        <v>880</v>
      </c>
      <c r="N893" s="94">
        <f>VLOOKUP(D893,A!B$1:L$1125,7,FALSE)</f>
        <v>0</v>
      </c>
      <c r="O893" s="94">
        <f>VLOOKUP(D893,A!B$1:P$1126,9,FALSE)</f>
        <v>0</v>
      </c>
      <c r="P893" s="10">
        <v>6</v>
      </c>
      <c r="Q893" s="10">
        <v>5.95</v>
      </c>
      <c r="R893" s="10">
        <f t="shared" si="131"/>
        <v>0</v>
      </c>
      <c r="S893" s="10">
        <f t="shared" si="132"/>
        <v>0</v>
      </c>
      <c r="T893" s="29" t="s">
        <v>97</v>
      </c>
      <c r="U893" s="115">
        <v>0.35</v>
      </c>
      <c r="V893" s="10">
        <f>VLOOKUP(D893,A!B$1:T$1125,17,FALSE)</f>
        <v>0</v>
      </c>
      <c r="W893" s="10">
        <f t="shared" si="133"/>
        <v>0</v>
      </c>
      <c r="X893" s="29"/>
      <c r="Y893" s="29"/>
      <c r="Z893" s="29"/>
      <c r="AA893" s="29"/>
    </row>
    <row r="894" spans="1:27" s="3" customFormat="1" ht="13.5" hidden="1" customHeight="1" x14ac:dyDescent="0.25">
      <c r="A894" t="str">
        <f>IF(R894=0,"",COUNTIF(A$13:A893,"&gt;0")+1)</f>
        <v/>
      </c>
      <c r="B894" s="4"/>
      <c r="C894" s="5" t="s">
        <v>44</v>
      </c>
      <c r="D894" s="7" t="s">
        <v>881</v>
      </c>
      <c r="E894" s="31"/>
      <c r="F894" s="31"/>
      <c r="G894" s="6" t="s">
        <v>882</v>
      </c>
      <c r="H894" s="7">
        <f>VLOOKUP(D894,A!B$1:L$1126,8,FALSE)</f>
        <v>0</v>
      </c>
      <c r="I894" s="31">
        <f>VLOOKUP(D894,A!B$1:L$1126,8,FALSE)</f>
        <v>0</v>
      </c>
      <c r="J894" s="92"/>
      <c r="K894" s="63" t="str">
        <f>VLOOKUP(D894,A!B$1:P$1126,11,FALSE)</f>
        <v/>
      </c>
      <c r="L894" s="162"/>
      <c r="M894" s="41" t="s">
        <v>883</v>
      </c>
      <c r="N894" s="94">
        <f>VLOOKUP(D894,A!B$1:L$1125,7,FALSE)</f>
        <v>0</v>
      </c>
      <c r="O894" s="94">
        <f>VLOOKUP(D894,A!B$1:P$1126,9,FALSE)</f>
        <v>0</v>
      </c>
      <c r="P894" s="10">
        <v>6</v>
      </c>
      <c r="Q894" s="10">
        <v>5.95</v>
      </c>
      <c r="R894" s="10">
        <f t="shared" si="131"/>
        <v>0</v>
      </c>
      <c r="S894" s="10">
        <f t="shared" si="132"/>
        <v>0</v>
      </c>
      <c r="T894" s="29" t="s">
        <v>97</v>
      </c>
      <c r="U894" s="115">
        <v>0.35</v>
      </c>
      <c r="V894" s="10">
        <f>VLOOKUP(D894,A!B$1:T$1125,17,FALSE)</f>
        <v>0</v>
      </c>
      <c r="W894" s="10">
        <f t="shared" si="133"/>
        <v>0</v>
      </c>
      <c r="X894" s="29"/>
      <c r="Y894" s="29"/>
      <c r="Z894" s="29"/>
      <c r="AA894" s="29"/>
    </row>
    <row r="895" spans="1:27" s="3" customFormat="1" ht="13.5" hidden="1" customHeight="1" x14ac:dyDescent="0.25">
      <c r="A895" t="str">
        <f>IF(R895=0,"",COUNTIF(A$13:A894,"&gt;0")+1)</f>
        <v/>
      </c>
      <c r="B895" s="4"/>
      <c r="C895" s="5" t="s">
        <v>44</v>
      </c>
      <c r="D895" s="7" t="s">
        <v>884</v>
      </c>
      <c r="E895" s="31"/>
      <c r="F895" s="31"/>
      <c r="G895" s="6" t="s">
        <v>83</v>
      </c>
      <c r="H895" s="7">
        <f>VLOOKUP(D895,A!B$1:L$1126,8,FALSE)</f>
        <v>0</v>
      </c>
      <c r="I895" s="31">
        <f>VLOOKUP(D895,A!B$1:L$1126,8,FALSE)</f>
        <v>0</v>
      </c>
      <c r="J895" s="92"/>
      <c r="K895" s="63" t="str">
        <f>VLOOKUP(D895,A!B$1:P$1126,11,FALSE)</f>
        <v/>
      </c>
      <c r="L895" s="162"/>
      <c r="M895" s="43" t="s">
        <v>885</v>
      </c>
      <c r="N895" s="94">
        <f>VLOOKUP(D895,A!B$1:L$1125,7,FALSE)</f>
        <v>0</v>
      </c>
      <c r="O895" s="94">
        <f>VLOOKUP(D895,A!B$1:P$1126,9,FALSE)</f>
        <v>0</v>
      </c>
      <c r="P895" s="10">
        <v>6</v>
      </c>
      <c r="Q895" s="10">
        <v>5.95</v>
      </c>
      <c r="R895" s="10">
        <f t="shared" si="131"/>
        <v>0</v>
      </c>
      <c r="S895" s="10">
        <f t="shared" si="132"/>
        <v>0</v>
      </c>
      <c r="T895" s="29" t="s">
        <v>97</v>
      </c>
      <c r="U895" s="115">
        <v>0.35</v>
      </c>
      <c r="V895" s="10">
        <f>VLOOKUP(D895,A!B$1:T$1125,17,FALSE)</f>
        <v>0</v>
      </c>
      <c r="W895" s="10">
        <f t="shared" si="133"/>
        <v>0</v>
      </c>
      <c r="X895" s="29"/>
      <c r="Y895" s="29"/>
      <c r="Z895" s="29"/>
      <c r="AA895" s="29"/>
    </row>
    <row r="896" spans="1:27" s="3" customFormat="1" ht="13.5" customHeight="1" x14ac:dyDescent="0.25">
      <c r="A896" t="str">
        <f>IF(R896=0,"",COUNTIF(A$13:A895,"&gt;0")+1)</f>
        <v/>
      </c>
      <c r="B896" s="4"/>
      <c r="C896" s="5" t="s">
        <v>44</v>
      </c>
      <c r="D896" s="7" t="s">
        <v>185</v>
      </c>
      <c r="E896" s="31"/>
      <c r="F896" s="31"/>
      <c r="G896" s="6" t="s">
        <v>83</v>
      </c>
      <c r="H896" s="7">
        <f>VLOOKUP(D896,A!B$1:L$1126,8,FALSE)</f>
        <v>1</v>
      </c>
      <c r="I896" s="31">
        <f>VLOOKUP(D896,A!B$1:L$1126,8,FALSE)</f>
        <v>1</v>
      </c>
      <c r="J896" s="92"/>
      <c r="K896" s="63" t="str">
        <f>VLOOKUP(D896,A!B$1:P$1126,11,FALSE)</f>
        <v/>
      </c>
      <c r="L896" s="2"/>
      <c r="M896" s="41" t="s">
        <v>184</v>
      </c>
      <c r="N896" s="94" t="str">
        <f>VLOOKUP(D896,A!B$1:L$1125,7,FALSE)</f>
        <v>y</v>
      </c>
      <c r="O896" s="94">
        <f>VLOOKUP(D896,A!B$1:P$1126,9,FALSE)</f>
        <v>1</v>
      </c>
      <c r="P896" s="10">
        <v>6</v>
      </c>
      <c r="Q896" s="10">
        <v>5.95</v>
      </c>
      <c r="R896" s="10">
        <f t="shared" si="131"/>
        <v>0</v>
      </c>
      <c r="S896" s="10">
        <f t="shared" si="132"/>
        <v>0</v>
      </c>
      <c r="T896" s="29" t="s">
        <v>97</v>
      </c>
      <c r="U896" s="115">
        <v>0.35</v>
      </c>
      <c r="V896" s="10">
        <f>VLOOKUP(D896,A!B$1:T$1125,17,FALSE)</f>
        <v>0</v>
      </c>
      <c r="W896" s="10">
        <f t="shared" si="133"/>
        <v>0</v>
      </c>
      <c r="X896" s="30"/>
      <c r="Y896" s="29"/>
      <c r="Z896" s="29"/>
      <c r="AA896" s="29"/>
    </row>
    <row r="897" spans="1:27" s="3" customFormat="1" ht="13.5" hidden="1" customHeight="1" x14ac:dyDescent="0.25">
      <c r="A897" t="str">
        <f>IF(R897=0,"",COUNTIF(A$13:A896,"&gt;0")+1)</f>
        <v/>
      </c>
      <c r="B897" s="4"/>
      <c r="C897" s="5" t="s">
        <v>44</v>
      </c>
      <c r="D897" s="7" t="s">
        <v>886</v>
      </c>
      <c r="E897" s="31"/>
      <c r="F897" s="31"/>
      <c r="G897" s="6" t="s">
        <v>83</v>
      </c>
      <c r="H897" s="7">
        <f>VLOOKUP(D897,A!B$1:L$1126,8,FALSE)</f>
        <v>0</v>
      </c>
      <c r="I897" s="31">
        <f>VLOOKUP(D897,A!B$1:L$1126,8,FALSE)</f>
        <v>0</v>
      </c>
      <c r="J897" s="92"/>
      <c r="K897" s="63" t="str">
        <f>VLOOKUP(D897,A!B$1:P$1126,11,FALSE)</f>
        <v/>
      </c>
      <c r="L897" s="162"/>
      <c r="M897" s="43" t="s">
        <v>887</v>
      </c>
      <c r="N897" s="94">
        <f>VLOOKUP(D897,A!B$1:L$1125,7,FALSE)</f>
        <v>0</v>
      </c>
      <c r="O897" s="94">
        <f>VLOOKUP(D897,A!B$1:P$1126,9,FALSE)</f>
        <v>0</v>
      </c>
      <c r="P897" s="10">
        <v>6</v>
      </c>
      <c r="Q897" s="10">
        <v>5.95</v>
      </c>
      <c r="R897" s="10">
        <f t="shared" si="131"/>
        <v>0</v>
      </c>
      <c r="S897" s="10">
        <f t="shared" si="132"/>
        <v>0</v>
      </c>
      <c r="T897" s="29" t="s">
        <v>97</v>
      </c>
      <c r="U897" s="115">
        <v>0.35</v>
      </c>
      <c r="V897" s="10">
        <f>VLOOKUP(D897,A!B$1:T$1125,17,FALSE)</f>
        <v>0</v>
      </c>
      <c r="W897" s="10">
        <f t="shared" si="133"/>
        <v>0</v>
      </c>
      <c r="X897" s="29"/>
      <c r="Y897" s="29"/>
      <c r="Z897" s="29"/>
      <c r="AA897" s="29"/>
    </row>
    <row r="898" spans="1:27" s="3" customFormat="1" ht="13.5" hidden="1" customHeight="1" x14ac:dyDescent="0.25">
      <c r="A898" t="str">
        <f>IF(R898=0,"",COUNTIF(A$13:A897,"&gt;0")+1)</f>
        <v/>
      </c>
      <c r="B898" s="4"/>
      <c r="C898" s="5" t="s">
        <v>44</v>
      </c>
      <c r="D898" s="7" t="s">
        <v>888</v>
      </c>
      <c r="E898" s="31"/>
      <c r="F898" s="31"/>
      <c r="G898" s="6" t="s">
        <v>83</v>
      </c>
      <c r="H898" s="7">
        <f>VLOOKUP(D898,A!B$1:L$1126,8,FALSE)</f>
        <v>0</v>
      </c>
      <c r="I898" s="31">
        <f>VLOOKUP(D898,A!B$1:L$1126,8,FALSE)</f>
        <v>0</v>
      </c>
      <c r="J898" s="92"/>
      <c r="K898" s="63" t="str">
        <f>VLOOKUP(D898,A!B$1:P$1126,11,FALSE)</f>
        <v/>
      </c>
      <c r="L898" s="162"/>
      <c r="M898" s="43" t="s">
        <v>889</v>
      </c>
      <c r="N898" s="94">
        <f>VLOOKUP(D898,A!B$1:L$1125,7,FALSE)</f>
        <v>0</v>
      </c>
      <c r="O898" s="94">
        <f>VLOOKUP(D898,A!B$1:P$1126,9,FALSE)</f>
        <v>0</v>
      </c>
      <c r="P898" s="10">
        <v>6</v>
      </c>
      <c r="Q898" s="10">
        <v>5.95</v>
      </c>
      <c r="R898" s="10">
        <f t="shared" si="131"/>
        <v>0</v>
      </c>
      <c r="S898" s="10">
        <f t="shared" si="132"/>
        <v>0</v>
      </c>
      <c r="T898" s="29" t="s">
        <v>97</v>
      </c>
      <c r="U898" s="115">
        <v>0.35</v>
      </c>
      <c r="V898" s="10">
        <f>VLOOKUP(D898,A!B$1:T$1125,17,FALSE)</f>
        <v>0</v>
      </c>
      <c r="W898" s="10">
        <f t="shared" si="133"/>
        <v>0</v>
      </c>
      <c r="X898" s="29"/>
      <c r="Y898" s="29"/>
      <c r="Z898" s="29"/>
      <c r="AA898" s="29"/>
    </row>
    <row r="899" spans="1:27" s="3" customFormat="1" ht="13.5" hidden="1" customHeight="1" x14ac:dyDescent="0.25">
      <c r="A899" t="str">
        <f>IF(R899=0,"",COUNTIF(A$13:A898,"&gt;0")+1)</f>
        <v/>
      </c>
      <c r="B899" s="4"/>
      <c r="C899" s="5" t="s">
        <v>44</v>
      </c>
      <c r="D899" s="7" t="s">
        <v>890</v>
      </c>
      <c r="E899" s="31"/>
      <c r="F899" s="31"/>
      <c r="G899" s="6" t="s">
        <v>83</v>
      </c>
      <c r="H899" s="7">
        <f>VLOOKUP(D899,A!B$1:L$1126,8,FALSE)</f>
        <v>0</v>
      </c>
      <c r="I899" s="31">
        <f>VLOOKUP(D899,A!B$1:L$1126,8,FALSE)</f>
        <v>0</v>
      </c>
      <c r="J899" s="92"/>
      <c r="K899" s="63" t="str">
        <f>VLOOKUP(D899,A!B$1:P$1126,11,FALSE)</f>
        <v/>
      </c>
      <c r="L899" s="162"/>
      <c r="M899" s="43" t="s">
        <v>891</v>
      </c>
      <c r="N899" s="94">
        <f>VLOOKUP(D899,A!B$1:L$1125,7,FALSE)</f>
        <v>0</v>
      </c>
      <c r="O899" s="94">
        <f>VLOOKUP(D899,A!B$1:P$1126,9,FALSE)</f>
        <v>0</v>
      </c>
      <c r="P899" s="10">
        <v>6</v>
      </c>
      <c r="Q899" s="10">
        <v>5.95</v>
      </c>
      <c r="R899" s="10">
        <f t="shared" si="131"/>
        <v>0</v>
      </c>
      <c r="S899" s="10">
        <f t="shared" si="132"/>
        <v>0</v>
      </c>
      <c r="T899" s="29" t="s">
        <v>97</v>
      </c>
      <c r="U899" s="115">
        <v>0.35</v>
      </c>
      <c r="V899" s="10">
        <f>VLOOKUP(D899,A!B$1:T$1125,17,FALSE)</f>
        <v>0</v>
      </c>
      <c r="W899" s="10">
        <f t="shared" si="133"/>
        <v>0</v>
      </c>
      <c r="X899" s="29"/>
      <c r="Y899" s="29"/>
      <c r="Z899" s="29"/>
      <c r="AA899" s="29"/>
    </row>
    <row r="900" spans="1:27" s="3" customFormat="1" ht="13.5" hidden="1" customHeight="1" x14ac:dyDescent="0.25">
      <c r="A900" t="str">
        <f>IF(R900=0,"",COUNTIF(A$13:A899,"&gt;0")+1)</f>
        <v/>
      </c>
      <c r="B900" s="4"/>
      <c r="C900" s="5" t="s">
        <v>44</v>
      </c>
      <c r="D900" s="7" t="s">
        <v>892</v>
      </c>
      <c r="E900" s="31"/>
      <c r="F900" s="31"/>
      <c r="G900" s="6" t="s">
        <v>83</v>
      </c>
      <c r="H900" s="7">
        <f>VLOOKUP(D900,A!B$1:L$1126,8,FALSE)</f>
        <v>0</v>
      </c>
      <c r="I900" s="31">
        <f>VLOOKUP(D900,A!B$1:L$1126,8,FALSE)</f>
        <v>0</v>
      </c>
      <c r="J900" s="92"/>
      <c r="K900" s="63" t="str">
        <f>VLOOKUP(D900,A!B$1:P$1126,11,FALSE)</f>
        <v/>
      </c>
      <c r="L900" s="162"/>
      <c r="M900" s="41" t="s">
        <v>893</v>
      </c>
      <c r="N900" s="94">
        <f>VLOOKUP(D900,A!B$1:L$1125,7,FALSE)</f>
        <v>0</v>
      </c>
      <c r="O900" s="94">
        <f>VLOOKUP(D900,A!B$1:P$1126,9,FALSE)</f>
        <v>0</v>
      </c>
      <c r="P900" s="10">
        <v>6</v>
      </c>
      <c r="Q900" s="10">
        <v>5.95</v>
      </c>
      <c r="R900" s="10">
        <f t="shared" si="131"/>
        <v>0</v>
      </c>
      <c r="S900" s="10">
        <f t="shared" si="132"/>
        <v>0</v>
      </c>
      <c r="T900" s="29" t="s">
        <v>97</v>
      </c>
      <c r="U900" s="115">
        <v>0.35</v>
      </c>
      <c r="V900" s="10">
        <f>VLOOKUP(D900,A!B$1:T$1125,17,FALSE)</f>
        <v>0</v>
      </c>
      <c r="W900" s="10">
        <f t="shared" si="133"/>
        <v>0</v>
      </c>
      <c r="X900" s="29"/>
      <c r="Y900" s="29"/>
      <c r="Z900" s="29"/>
      <c r="AA900" s="29"/>
    </row>
    <row r="901" spans="1:27" s="3" customFormat="1" ht="13.5" hidden="1" customHeight="1" x14ac:dyDescent="0.25">
      <c r="A901" t="str">
        <f>IF(R901=0,"",COUNTIF(A$13:A900,"&gt;0")+1)</f>
        <v/>
      </c>
      <c r="B901" s="4"/>
      <c r="C901" s="5" t="s">
        <v>44</v>
      </c>
      <c r="D901" s="7" t="s">
        <v>894</v>
      </c>
      <c r="E901" s="31"/>
      <c r="F901" s="31"/>
      <c r="G901" s="6" t="s">
        <v>83</v>
      </c>
      <c r="H901" s="7">
        <f>VLOOKUP(D901,A!B$1:L$1126,8,FALSE)</f>
        <v>0</v>
      </c>
      <c r="I901" s="31">
        <f>VLOOKUP(D901,A!B$1:L$1126,8,FALSE)</f>
        <v>0</v>
      </c>
      <c r="J901" s="92"/>
      <c r="K901" s="63" t="str">
        <f>VLOOKUP(D901,A!B$1:P$1126,11,FALSE)</f>
        <v/>
      </c>
      <c r="L901" s="162"/>
      <c r="M901" s="41" t="s">
        <v>895</v>
      </c>
      <c r="N901" s="94">
        <f>VLOOKUP(D901,A!B$1:L$1125,7,FALSE)</f>
        <v>0</v>
      </c>
      <c r="O901" s="94">
        <f>VLOOKUP(D901,A!B$1:P$1126,9,FALSE)</f>
        <v>0</v>
      </c>
      <c r="P901" s="10">
        <v>6</v>
      </c>
      <c r="Q901" s="10">
        <v>5.95</v>
      </c>
      <c r="R901" s="10">
        <f t="shared" si="131"/>
        <v>0</v>
      </c>
      <c r="S901" s="10">
        <f t="shared" si="132"/>
        <v>0</v>
      </c>
      <c r="T901" s="29" t="s">
        <v>97</v>
      </c>
      <c r="U901" s="115">
        <v>0.35</v>
      </c>
      <c r="V901" s="10">
        <f>VLOOKUP(D901,A!B$1:T$1125,17,FALSE)</f>
        <v>0</v>
      </c>
      <c r="W901" s="10">
        <f t="shared" si="133"/>
        <v>0</v>
      </c>
      <c r="X901" s="29"/>
      <c r="Y901" s="29"/>
      <c r="Z901" s="29"/>
      <c r="AA901" s="29"/>
    </row>
    <row r="902" spans="1:27" s="3" customFormat="1" ht="13.5" customHeight="1" x14ac:dyDescent="0.25">
      <c r="A902" t="str">
        <f>IF(R902=0,"",COUNTIF(A$13:A901,"&gt;0")+1)</f>
        <v/>
      </c>
      <c r="B902" s="4"/>
      <c r="C902" s="5" t="s">
        <v>44</v>
      </c>
      <c r="D902" s="7" t="s">
        <v>209</v>
      </c>
      <c r="E902" s="31"/>
      <c r="F902" s="31"/>
      <c r="G902" s="6" t="s">
        <v>83</v>
      </c>
      <c r="H902" s="7">
        <f>VLOOKUP(D902,A!B$1:L$1126,8,FALSE)</f>
        <v>1</v>
      </c>
      <c r="I902" s="31">
        <f>VLOOKUP(D902,A!B$1:L$1126,8,FALSE)</f>
        <v>1</v>
      </c>
      <c r="J902" s="92"/>
      <c r="K902" s="63" t="str">
        <f>VLOOKUP(D902,A!B$1:P$1126,11,FALSE)</f>
        <v/>
      </c>
      <c r="L902" s="2"/>
      <c r="M902" s="49" t="s">
        <v>163</v>
      </c>
      <c r="N902" s="94" t="str">
        <f>VLOOKUP(D902,A!B$1:L$1125,7,FALSE)</f>
        <v>y</v>
      </c>
      <c r="O902" s="94">
        <f>VLOOKUP(D902,A!B$1:P$1126,9,FALSE)</f>
        <v>1</v>
      </c>
      <c r="P902" s="10">
        <v>6</v>
      </c>
      <c r="Q902" s="10">
        <v>5.95</v>
      </c>
      <c r="R902" s="10">
        <f t="shared" si="131"/>
        <v>0</v>
      </c>
      <c r="S902" s="10">
        <f t="shared" si="132"/>
        <v>0</v>
      </c>
      <c r="T902" s="29" t="s">
        <v>97</v>
      </c>
      <c r="U902" s="115">
        <v>0.35</v>
      </c>
      <c r="V902" s="10">
        <f>VLOOKUP(D902,A!B$1:T$1125,17,FALSE)</f>
        <v>0</v>
      </c>
      <c r="W902" s="10">
        <f t="shared" si="133"/>
        <v>0</v>
      </c>
      <c r="X902" s="30"/>
      <c r="Y902" s="29"/>
      <c r="Z902" s="29"/>
      <c r="AA902" s="29"/>
    </row>
    <row r="903" spans="1:27" s="3" customFormat="1" ht="13.5" hidden="1" customHeight="1" x14ac:dyDescent="0.25">
      <c r="A903" t="str">
        <f>IF(R903=0,"",COUNTIF(A$13:A902,"&gt;0")+1)</f>
        <v/>
      </c>
      <c r="B903" s="4"/>
      <c r="C903" s="5" t="s">
        <v>44</v>
      </c>
      <c r="D903" s="22" t="s">
        <v>210</v>
      </c>
      <c r="E903" s="89"/>
      <c r="F903" s="89"/>
      <c r="G903" s="6" t="s">
        <v>83</v>
      </c>
      <c r="H903" s="7">
        <f>VLOOKUP(D903,A!B$1:L$1126,8,FALSE)</f>
        <v>0</v>
      </c>
      <c r="I903" s="31">
        <f>VLOOKUP(D903,A!B$1:L$1126,8,FALSE)</f>
        <v>0</v>
      </c>
      <c r="J903" s="92"/>
      <c r="K903" s="63" t="str">
        <f>VLOOKUP(D903,A!B$1:P$1126,11,FALSE)</f>
        <v/>
      </c>
      <c r="L903" s="47"/>
      <c r="M903" s="39" t="s">
        <v>145</v>
      </c>
      <c r="N903" s="94">
        <f>VLOOKUP(D903,A!B$1:L$1125,7,FALSE)</f>
        <v>0</v>
      </c>
      <c r="O903" s="94">
        <f>VLOOKUP(D903,A!B$1:P$1126,9,FALSE)</f>
        <v>0</v>
      </c>
      <c r="P903" s="10">
        <v>6</v>
      </c>
      <c r="Q903" s="10">
        <v>5.95</v>
      </c>
      <c r="R903" s="10">
        <f t="shared" si="131"/>
        <v>0</v>
      </c>
      <c r="S903" s="10">
        <f t="shared" si="132"/>
        <v>0</v>
      </c>
      <c r="T903" s="29" t="s">
        <v>97</v>
      </c>
      <c r="U903" s="115">
        <v>0.35</v>
      </c>
      <c r="V903" s="10">
        <f>VLOOKUP(D903,A!B$1:T$1125,17,FALSE)</f>
        <v>0</v>
      </c>
      <c r="W903" s="10">
        <f t="shared" si="133"/>
        <v>0</v>
      </c>
      <c r="X903" s="30"/>
      <c r="Y903" s="29"/>
      <c r="Z903" s="29"/>
      <c r="AA903" s="29"/>
    </row>
    <row r="904" spans="1:27" s="3" customFormat="1" ht="13.5" hidden="1" customHeight="1" x14ac:dyDescent="0.25">
      <c r="A904" t="str">
        <f>IF(R904=0,"",COUNTIF(A$13:A903,"&gt;0")+1)</f>
        <v/>
      </c>
      <c r="B904" s="4"/>
      <c r="C904" s="5" t="s">
        <v>44</v>
      </c>
      <c r="D904" s="7" t="s">
        <v>211</v>
      </c>
      <c r="E904" s="31"/>
      <c r="F904" s="31"/>
      <c r="G904" s="6" t="s">
        <v>83</v>
      </c>
      <c r="H904" s="7">
        <f>VLOOKUP(D904,A!B$1:L$1126,8,FALSE)</f>
        <v>0</v>
      </c>
      <c r="I904" s="31">
        <f>VLOOKUP(D904,A!B$1:L$1126,8,FALSE)</f>
        <v>0</v>
      </c>
      <c r="J904" s="92"/>
      <c r="K904" s="63" t="str">
        <f>VLOOKUP(D904,A!B$1:P$1126,11,FALSE)</f>
        <v/>
      </c>
      <c r="L904" s="47"/>
      <c r="M904" s="49" t="s">
        <v>164</v>
      </c>
      <c r="N904" s="94">
        <f>VLOOKUP(D904,A!B$1:L$1125,7,FALSE)</f>
        <v>0</v>
      </c>
      <c r="O904" s="94">
        <f>VLOOKUP(D904,A!B$1:P$1126,9,FALSE)</f>
        <v>0</v>
      </c>
      <c r="P904" s="10">
        <v>6</v>
      </c>
      <c r="Q904" s="10">
        <v>5.95</v>
      </c>
      <c r="R904" s="10">
        <f t="shared" si="131"/>
        <v>0</v>
      </c>
      <c r="S904" s="10">
        <f t="shared" si="132"/>
        <v>0</v>
      </c>
      <c r="T904" s="29" t="s">
        <v>97</v>
      </c>
      <c r="U904" s="115">
        <v>0.35</v>
      </c>
      <c r="V904" s="10">
        <f>VLOOKUP(D904,A!B$1:T$1125,17,FALSE)</f>
        <v>0</v>
      </c>
      <c r="W904" s="10">
        <f t="shared" si="133"/>
        <v>0</v>
      </c>
      <c r="X904" s="30"/>
      <c r="Y904" s="29"/>
      <c r="Z904" s="29"/>
      <c r="AA904" s="29"/>
    </row>
    <row r="905" spans="1:27" s="3" customFormat="1" ht="13.5" hidden="1" customHeight="1" x14ac:dyDescent="0.25">
      <c r="A905" t="str">
        <f>IF(R905=0,"",COUNTIF(A$13:A904,"&gt;0")+1)</f>
        <v/>
      </c>
      <c r="B905" s="4"/>
      <c r="C905" s="5" t="s">
        <v>44</v>
      </c>
      <c r="D905" s="22" t="s">
        <v>212</v>
      </c>
      <c r="E905" s="89"/>
      <c r="F905" s="89"/>
      <c r="G905" s="6" t="s">
        <v>83</v>
      </c>
      <c r="H905" s="7">
        <f>VLOOKUP(D905,A!B$1:L$1126,8,FALSE)</f>
        <v>0</v>
      </c>
      <c r="I905" s="31">
        <f>VLOOKUP(D905,A!B$1:L$1126,8,FALSE)</f>
        <v>0</v>
      </c>
      <c r="J905" s="92"/>
      <c r="K905" s="63" t="str">
        <f>VLOOKUP(D905,A!B$1:P$1126,11,FALSE)</f>
        <v/>
      </c>
      <c r="L905" s="47"/>
      <c r="M905" s="39" t="s">
        <v>165</v>
      </c>
      <c r="N905" s="94">
        <f>VLOOKUP(D905,A!B$1:L$1125,7,FALSE)</f>
        <v>0</v>
      </c>
      <c r="O905" s="94">
        <f>VLOOKUP(D905,A!B$1:P$1126,9,FALSE)</f>
        <v>0</v>
      </c>
      <c r="P905" s="10">
        <v>6</v>
      </c>
      <c r="Q905" s="10">
        <v>5.95</v>
      </c>
      <c r="R905" s="10">
        <f t="shared" si="131"/>
        <v>0</v>
      </c>
      <c r="S905" s="10">
        <f t="shared" si="132"/>
        <v>0</v>
      </c>
      <c r="T905" s="29" t="s">
        <v>97</v>
      </c>
      <c r="U905" s="115">
        <v>0.35</v>
      </c>
      <c r="V905" s="10">
        <f>VLOOKUP(D905,A!B$1:T$1125,17,FALSE)</f>
        <v>0</v>
      </c>
      <c r="W905" s="10">
        <f t="shared" si="133"/>
        <v>0</v>
      </c>
      <c r="X905" s="30"/>
      <c r="Y905" s="29"/>
      <c r="Z905" s="29"/>
      <c r="AA905" s="29"/>
    </row>
    <row r="906" spans="1:27" s="3" customFormat="1" ht="13.5" customHeight="1" x14ac:dyDescent="0.25">
      <c r="A906" t="str">
        <f>IF(R906=0,"",COUNTIF(A$13:A905,"&gt;0")+1)</f>
        <v/>
      </c>
      <c r="B906" s="4"/>
      <c r="C906" s="5" t="s">
        <v>44</v>
      </c>
      <c r="D906" s="22" t="s">
        <v>213</v>
      </c>
      <c r="E906" s="89"/>
      <c r="F906" s="89"/>
      <c r="G906" s="6" t="s">
        <v>83</v>
      </c>
      <c r="H906" s="7">
        <f>VLOOKUP(D906,A!B$1:L$1126,8,FALSE)</f>
        <v>1</v>
      </c>
      <c r="I906" s="31">
        <f>VLOOKUP(D906,A!B$1:L$1126,8,FALSE)</f>
        <v>1</v>
      </c>
      <c r="J906" s="92"/>
      <c r="K906" s="63" t="str">
        <f>VLOOKUP(D906,A!B$1:P$1126,11,FALSE)</f>
        <v/>
      </c>
      <c r="L906" s="47"/>
      <c r="M906" s="39" t="s">
        <v>146</v>
      </c>
      <c r="N906" s="94" t="str">
        <f>VLOOKUP(D906,A!B$1:L$1125,7,FALSE)</f>
        <v>y</v>
      </c>
      <c r="O906" s="94">
        <f>VLOOKUP(D906,A!B$1:P$1126,9,FALSE)</f>
        <v>1</v>
      </c>
      <c r="P906" s="10">
        <v>6</v>
      </c>
      <c r="Q906" s="10">
        <v>5.95</v>
      </c>
      <c r="R906" s="10">
        <f t="shared" si="131"/>
        <v>0</v>
      </c>
      <c r="S906" s="10">
        <f t="shared" si="132"/>
        <v>0</v>
      </c>
      <c r="T906" s="29" t="s">
        <v>97</v>
      </c>
      <c r="U906" s="115">
        <v>0.35</v>
      </c>
      <c r="V906" s="10">
        <f>VLOOKUP(D906,A!B$1:T$1125,17,FALSE)</f>
        <v>0</v>
      </c>
      <c r="W906" s="10">
        <f t="shared" si="133"/>
        <v>0</v>
      </c>
      <c r="X906" s="30"/>
      <c r="Y906" s="29"/>
      <c r="Z906" s="29"/>
      <c r="AA906" s="29"/>
    </row>
    <row r="907" spans="1:27" s="3" customFormat="1" ht="13.5" customHeight="1" x14ac:dyDescent="0.25">
      <c r="A907" t="str">
        <f>IF(R907=0,"",COUNTIF(A$13:A906,"&gt;0")+1)</f>
        <v/>
      </c>
      <c r="B907" s="4"/>
      <c r="C907" s="5" t="s">
        <v>44</v>
      </c>
      <c r="D907" s="22" t="s">
        <v>214</v>
      </c>
      <c r="E907" s="89"/>
      <c r="F907" s="89"/>
      <c r="G907" s="6" t="s">
        <v>83</v>
      </c>
      <c r="H907" s="7">
        <f>VLOOKUP(D907,A!B$1:L$1126,8,FALSE)</f>
        <v>1</v>
      </c>
      <c r="I907" s="31">
        <f>VLOOKUP(D907,A!B$1:L$1126,8,FALSE)</f>
        <v>1</v>
      </c>
      <c r="J907" s="92"/>
      <c r="K907" s="63" t="str">
        <f>VLOOKUP(D907,A!B$1:P$1126,11,FALSE)</f>
        <v/>
      </c>
      <c r="L907" s="47"/>
      <c r="M907" s="39" t="s">
        <v>147</v>
      </c>
      <c r="N907" s="94" t="str">
        <f>VLOOKUP(D907,A!B$1:L$1125,7,FALSE)</f>
        <v>y</v>
      </c>
      <c r="O907" s="94">
        <f>VLOOKUP(D907,A!B$1:P$1126,9,FALSE)</f>
        <v>1</v>
      </c>
      <c r="P907" s="10">
        <v>6</v>
      </c>
      <c r="Q907" s="10">
        <v>5.95</v>
      </c>
      <c r="R907" s="10">
        <f t="shared" si="131"/>
        <v>0</v>
      </c>
      <c r="S907" s="10">
        <f t="shared" si="132"/>
        <v>0</v>
      </c>
      <c r="T907" s="29" t="s">
        <v>97</v>
      </c>
      <c r="U907" s="115">
        <v>0.35</v>
      </c>
      <c r="V907" s="10">
        <f>VLOOKUP(D907,A!B$1:T$1125,17,FALSE)</f>
        <v>0</v>
      </c>
      <c r="W907" s="10">
        <f t="shared" si="133"/>
        <v>0</v>
      </c>
      <c r="X907" s="30"/>
      <c r="Y907" s="29"/>
      <c r="Z907" s="29"/>
      <c r="AA907" s="29"/>
    </row>
    <row r="908" spans="1:27" s="3" customFormat="1" ht="13.5" hidden="1" customHeight="1" x14ac:dyDescent="0.25">
      <c r="A908" t="str">
        <f>IF(R908=0,"",COUNTIF(A$13:A907,"&gt;0")+1)</f>
        <v/>
      </c>
      <c r="B908" s="4"/>
      <c r="C908" s="5" t="s">
        <v>44</v>
      </c>
      <c r="D908" s="7" t="s">
        <v>896</v>
      </c>
      <c r="E908" s="31"/>
      <c r="F908" s="31"/>
      <c r="G908" s="6" t="s">
        <v>83</v>
      </c>
      <c r="H908" s="7">
        <f>VLOOKUP(D908,A!B$1:L$1126,8,FALSE)</f>
        <v>0</v>
      </c>
      <c r="I908" s="31">
        <f>VLOOKUP(D908,A!B$1:L$1126,8,FALSE)</f>
        <v>0</v>
      </c>
      <c r="J908" s="92"/>
      <c r="K908" s="63" t="str">
        <f>VLOOKUP(D908,A!B$1:P$1126,11,FALSE)</f>
        <v/>
      </c>
      <c r="L908" s="162"/>
      <c r="M908" s="41" t="s">
        <v>184</v>
      </c>
      <c r="N908" s="94">
        <f>VLOOKUP(D908,A!B$1:L$1125,7,FALSE)</f>
        <v>0</v>
      </c>
      <c r="O908" s="94">
        <f>VLOOKUP(D908,A!B$1:P$1126,9,FALSE)</f>
        <v>0</v>
      </c>
      <c r="P908" s="10">
        <v>6</v>
      </c>
      <c r="Q908" s="10">
        <v>5.95</v>
      </c>
      <c r="R908" s="10">
        <f t="shared" si="131"/>
        <v>0</v>
      </c>
      <c r="S908" s="10">
        <f t="shared" si="132"/>
        <v>0</v>
      </c>
      <c r="T908" s="29" t="s">
        <v>97</v>
      </c>
      <c r="U908" s="115">
        <v>0.35</v>
      </c>
      <c r="V908" s="10">
        <f>VLOOKUP(D908,A!B$1:T$1125,17,FALSE)</f>
        <v>0</v>
      </c>
      <c r="W908" s="10">
        <f t="shared" si="133"/>
        <v>0</v>
      </c>
      <c r="X908" s="29"/>
      <c r="Y908" s="29"/>
      <c r="Z908" s="29"/>
      <c r="AA908" s="29"/>
    </row>
    <row r="909" spans="1:27" s="3" customFormat="1" ht="13.5" hidden="1" customHeight="1" x14ac:dyDescent="0.25">
      <c r="A909" t="str">
        <f>IF(R909=0,"",COUNTIF(A$13:A908,"&gt;0")+1)</f>
        <v/>
      </c>
      <c r="B909" s="4"/>
      <c r="C909" s="5" t="s">
        <v>44</v>
      </c>
      <c r="D909" s="7" t="s">
        <v>897</v>
      </c>
      <c r="E909" s="31"/>
      <c r="F909" s="31"/>
      <c r="G909" s="6" t="s">
        <v>83</v>
      </c>
      <c r="H909" s="7">
        <f>VLOOKUP(D909,A!B$1:L$1126,8,FALSE)</f>
        <v>0</v>
      </c>
      <c r="I909" s="31">
        <f>VLOOKUP(D909,A!B$1:L$1126,8,FALSE)</f>
        <v>0</v>
      </c>
      <c r="J909" s="92"/>
      <c r="K909" s="63" t="str">
        <f>VLOOKUP(D909,A!B$1:P$1126,11,FALSE)</f>
        <v/>
      </c>
      <c r="L909" s="162"/>
      <c r="M909" s="41" t="s">
        <v>898</v>
      </c>
      <c r="N909" s="94">
        <f>VLOOKUP(D909,A!B$1:L$1125,7,FALSE)</f>
        <v>0</v>
      </c>
      <c r="O909" s="94">
        <f>VLOOKUP(D909,A!B$1:P$1126,9,FALSE)</f>
        <v>0</v>
      </c>
      <c r="P909" s="10">
        <v>6</v>
      </c>
      <c r="Q909" s="10">
        <v>5.95</v>
      </c>
      <c r="R909" s="10">
        <f t="shared" si="131"/>
        <v>0</v>
      </c>
      <c r="S909" s="10">
        <f t="shared" si="132"/>
        <v>0</v>
      </c>
      <c r="T909" s="29" t="s">
        <v>97</v>
      </c>
      <c r="U909" s="115">
        <v>0.35</v>
      </c>
      <c r="V909" s="10">
        <f>VLOOKUP(D909,A!B$1:T$1125,17,FALSE)</f>
        <v>0</v>
      </c>
      <c r="W909" s="10">
        <f t="shared" si="133"/>
        <v>0</v>
      </c>
      <c r="X909" s="29"/>
      <c r="Y909" s="29"/>
      <c r="Z909" s="29"/>
      <c r="AA909" s="29"/>
    </row>
    <row r="910" spans="1:27" s="3" customFormat="1" ht="13.5" hidden="1" customHeight="1" x14ac:dyDescent="0.25">
      <c r="A910" t="str">
        <f>IF(R910=0,"",COUNTIF(A$13:A909,"&gt;0")+1)</f>
        <v/>
      </c>
      <c r="B910" s="4"/>
      <c r="C910" s="5" t="s">
        <v>44</v>
      </c>
      <c r="D910" s="7" t="s">
        <v>899</v>
      </c>
      <c r="E910" s="31"/>
      <c r="F910" s="31"/>
      <c r="G910" s="6" t="s">
        <v>83</v>
      </c>
      <c r="H910" s="7">
        <f>VLOOKUP(D910,A!B$1:L$1126,8,FALSE)</f>
        <v>0</v>
      </c>
      <c r="I910" s="31">
        <f>VLOOKUP(D910,A!B$1:L$1126,8,FALSE)</f>
        <v>0</v>
      </c>
      <c r="J910" s="92"/>
      <c r="K910" s="63" t="str">
        <f>VLOOKUP(D910,A!B$1:P$1126,11,FALSE)</f>
        <v/>
      </c>
      <c r="L910" s="162"/>
      <c r="M910" s="41" t="s">
        <v>900</v>
      </c>
      <c r="N910" s="94">
        <f>VLOOKUP(D910,A!B$1:L$1125,7,FALSE)</f>
        <v>0</v>
      </c>
      <c r="O910" s="94">
        <f>VLOOKUP(D910,A!B$1:P$1126,9,FALSE)</f>
        <v>0</v>
      </c>
      <c r="P910" s="10">
        <v>6</v>
      </c>
      <c r="Q910" s="10">
        <v>5.95</v>
      </c>
      <c r="R910" s="10">
        <f t="shared" ref="R910:R940" si="134">B910*P910</f>
        <v>0</v>
      </c>
      <c r="S910" s="10">
        <f t="shared" ref="S910:S940" si="135">R910*Q910</f>
        <v>0</v>
      </c>
      <c r="T910" s="29" t="s">
        <v>97</v>
      </c>
      <c r="U910" s="115">
        <v>0.35</v>
      </c>
      <c r="V910" s="10">
        <f>VLOOKUP(D910,A!B$1:T$1125,17,FALSE)</f>
        <v>0</v>
      </c>
      <c r="W910" s="10">
        <f t="shared" ref="W910:W940" si="136">U910*B910</f>
        <v>0</v>
      </c>
      <c r="X910" s="29"/>
      <c r="Y910" s="29"/>
      <c r="Z910" s="29"/>
      <c r="AA910" s="29"/>
    </row>
    <row r="911" spans="1:27" s="3" customFormat="1" ht="13.5" hidden="1" customHeight="1" x14ac:dyDescent="0.25">
      <c r="A911" t="str">
        <f>IF(R911=0,"",COUNTIF(A$13:A910,"&gt;0")+1)</f>
        <v/>
      </c>
      <c r="B911" s="4"/>
      <c r="C911" s="5" t="s">
        <v>44</v>
      </c>
      <c r="D911" s="7" t="s">
        <v>901</v>
      </c>
      <c r="E911" s="31"/>
      <c r="F911" s="31"/>
      <c r="G911" s="6" t="s">
        <v>83</v>
      </c>
      <c r="H911" s="7">
        <f>VLOOKUP(D911,A!B$1:L$1126,8,FALSE)</f>
        <v>0</v>
      </c>
      <c r="I911" s="31">
        <f>VLOOKUP(D911,A!B$1:L$1126,8,FALSE)</f>
        <v>0</v>
      </c>
      <c r="J911" s="92"/>
      <c r="K911" s="63" t="str">
        <f>VLOOKUP(D911,A!B$1:P$1126,11,FALSE)</f>
        <v/>
      </c>
      <c r="L911" s="162"/>
      <c r="M911" s="41" t="s">
        <v>902</v>
      </c>
      <c r="N911" s="94">
        <f>VLOOKUP(D911,A!B$1:L$1125,7,FALSE)</f>
        <v>0</v>
      </c>
      <c r="O911" s="94">
        <f>VLOOKUP(D911,A!B$1:P$1126,9,FALSE)</f>
        <v>0</v>
      </c>
      <c r="P911" s="10">
        <v>6</v>
      </c>
      <c r="Q911" s="10">
        <v>5.95</v>
      </c>
      <c r="R911" s="10">
        <f t="shared" si="134"/>
        <v>0</v>
      </c>
      <c r="S911" s="10">
        <f t="shared" si="135"/>
        <v>0</v>
      </c>
      <c r="T911" s="29" t="s">
        <v>97</v>
      </c>
      <c r="U911" s="115">
        <v>0.35</v>
      </c>
      <c r="V911" s="10">
        <f>VLOOKUP(D911,A!B$1:T$1125,17,FALSE)</f>
        <v>0</v>
      </c>
      <c r="W911" s="10">
        <f t="shared" si="136"/>
        <v>0</v>
      </c>
      <c r="X911" s="29"/>
      <c r="Y911" s="29"/>
      <c r="Z911" s="29"/>
      <c r="AA911" s="29"/>
    </row>
    <row r="912" spans="1:27" s="3" customFormat="1" ht="13.5" hidden="1" customHeight="1" x14ac:dyDescent="0.25">
      <c r="A912" t="str">
        <f>IF(R912=0,"",COUNTIF(A$13:A911,"&gt;0")+1)</f>
        <v/>
      </c>
      <c r="B912" s="4"/>
      <c r="C912" s="5" t="s">
        <v>44</v>
      </c>
      <c r="D912" s="7" t="s">
        <v>903</v>
      </c>
      <c r="E912" s="31"/>
      <c r="F912" s="31"/>
      <c r="G912" s="6" t="s">
        <v>83</v>
      </c>
      <c r="H912" s="7">
        <f>VLOOKUP(D912,A!B$1:L$1126,8,FALSE)</f>
        <v>0</v>
      </c>
      <c r="I912" s="31">
        <f>VLOOKUP(D912,A!B$1:L$1126,8,FALSE)</f>
        <v>0</v>
      </c>
      <c r="J912" s="92"/>
      <c r="K912" s="63" t="str">
        <f>VLOOKUP(D912,A!B$1:P$1126,11,FALSE)</f>
        <v/>
      </c>
      <c r="L912" s="162"/>
      <c r="M912" s="41" t="s">
        <v>904</v>
      </c>
      <c r="N912" s="94">
        <f>VLOOKUP(D912,A!B$1:L$1125,7,FALSE)</f>
        <v>0</v>
      </c>
      <c r="O912" s="94">
        <f>VLOOKUP(D912,A!B$1:P$1126,9,FALSE)</f>
        <v>0</v>
      </c>
      <c r="P912" s="10">
        <v>6</v>
      </c>
      <c r="Q912" s="10">
        <v>5.95</v>
      </c>
      <c r="R912" s="10">
        <f t="shared" si="134"/>
        <v>0</v>
      </c>
      <c r="S912" s="10">
        <f t="shared" si="135"/>
        <v>0</v>
      </c>
      <c r="T912" s="29" t="s">
        <v>97</v>
      </c>
      <c r="U912" s="115">
        <v>0.35</v>
      </c>
      <c r="V912" s="10">
        <f>VLOOKUP(D912,A!B$1:T$1125,17,FALSE)</f>
        <v>0</v>
      </c>
      <c r="W912" s="10">
        <f t="shared" si="136"/>
        <v>0</v>
      </c>
      <c r="X912" s="29"/>
      <c r="Y912" s="29"/>
      <c r="Z912" s="29"/>
      <c r="AA912" s="29"/>
    </row>
    <row r="913" spans="1:27" s="3" customFormat="1" ht="13.5" hidden="1" customHeight="1" x14ac:dyDescent="0.25">
      <c r="A913" t="str">
        <f>IF(R913=0,"",COUNTIF(A$13:A912,"&gt;0")+1)</f>
        <v/>
      </c>
      <c r="B913" s="4"/>
      <c r="C913" s="5" t="s">
        <v>44</v>
      </c>
      <c r="D913" s="7" t="s">
        <v>905</v>
      </c>
      <c r="E913" s="31"/>
      <c r="F913" s="31"/>
      <c r="G913" s="6" t="s">
        <v>83</v>
      </c>
      <c r="H913" s="7">
        <f>VLOOKUP(D913,A!B$1:L$1126,8,FALSE)</f>
        <v>0</v>
      </c>
      <c r="I913" s="31">
        <f>VLOOKUP(D913,A!B$1:L$1126,8,FALSE)</f>
        <v>0</v>
      </c>
      <c r="J913" s="92"/>
      <c r="K913" s="63" t="str">
        <f>VLOOKUP(D913,A!B$1:P$1126,11,FALSE)</f>
        <v/>
      </c>
      <c r="L913" s="162"/>
      <c r="M913" s="42" t="s">
        <v>906</v>
      </c>
      <c r="N913" s="94">
        <f>VLOOKUP(D913,A!B$1:L$1125,7,FALSE)</f>
        <v>0</v>
      </c>
      <c r="O913" s="94">
        <f>VLOOKUP(D913,A!B$1:P$1126,9,FALSE)</f>
        <v>0</v>
      </c>
      <c r="P913" s="10">
        <v>6</v>
      </c>
      <c r="Q913" s="10">
        <v>5.95</v>
      </c>
      <c r="R913" s="10">
        <f t="shared" si="134"/>
        <v>0</v>
      </c>
      <c r="S913" s="10">
        <f t="shared" si="135"/>
        <v>0</v>
      </c>
      <c r="T913" s="29" t="s">
        <v>97</v>
      </c>
      <c r="U913" s="115">
        <v>0.35</v>
      </c>
      <c r="V913" s="10">
        <f>VLOOKUP(D913,A!B$1:T$1125,17,FALSE)</f>
        <v>0</v>
      </c>
      <c r="W913" s="10">
        <f t="shared" si="136"/>
        <v>0</v>
      </c>
      <c r="X913" s="29"/>
      <c r="Y913" s="29"/>
      <c r="Z913" s="29"/>
      <c r="AA913" s="29"/>
    </row>
    <row r="914" spans="1:27" s="3" customFormat="1" ht="13.5" hidden="1" customHeight="1" x14ac:dyDescent="0.25">
      <c r="A914" t="str">
        <f>IF(R914=0,"",COUNTIF(A$13:A913,"&gt;0")+1)</f>
        <v/>
      </c>
      <c r="B914" s="4"/>
      <c r="C914" s="5" t="s">
        <v>44</v>
      </c>
      <c r="D914" s="7" t="s">
        <v>907</v>
      </c>
      <c r="E914" s="31"/>
      <c r="F914" s="31"/>
      <c r="G914" s="6" t="s">
        <v>83</v>
      </c>
      <c r="H914" s="7">
        <f>VLOOKUP(D914,A!B$1:L$1126,8,FALSE)</f>
        <v>0</v>
      </c>
      <c r="I914" s="31">
        <f>VLOOKUP(D914,A!B$1:L$1126,8,FALSE)</f>
        <v>0</v>
      </c>
      <c r="J914" s="92"/>
      <c r="K914" s="63" t="str">
        <f>VLOOKUP(D914,A!B$1:P$1126,11,FALSE)</f>
        <v/>
      </c>
      <c r="L914" s="162"/>
      <c r="M914" s="42" t="s">
        <v>908</v>
      </c>
      <c r="N914" s="94">
        <f>VLOOKUP(D914,A!B$1:L$1125,7,FALSE)</f>
        <v>0</v>
      </c>
      <c r="O914" s="94">
        <f>VLOOKUP(D914,A!B$1:P$1126,9,FALSE)</f>
        <v>0</v>
      </c>
      <c r="P914" s="10">
        <v>6</v>
      </c>
      <c r="Q914" s="10">
        <v>5.95</v>
      </c>
      <c r="R914" s="10">
        <f t="shared" si="134"/>
        <v>0</v>
      </c>
      <c r="S914" s="10">
        <f t="shared" si="135"/>
        <v>0</v>
      </c>
      <c r="T914" s="29" t="s">
        <v>97</v>
      </c>
      <c r="U914" s="115">
        <v>0.35</v>
      </c>
      <c r="V914" s="10">
        <f>VLOOKUP(D914,A!B$1:T$1125,17,FALSE)</f>
        <v>0</v>
      </c>
      <c r="W914" s="10">
        <f t="shared" si="136"/>
        <v>0</v>
      </c>
      <c r="X914" s="29"/>
      <c r="Y914" s="29"/>
      <c r="Z914" s="29"/>
      <c r="AA914" s="29"/>
    </row>
    <row r="915" spans="1:27" s="3" customFormat="1" ht="13.5" hidden="1" customHeight="1" x14ac:dyDescent="0.25">
      <c r="A915" t="str">
        <f>IF(R915=0,"",COUNTIF(A$13:A914,"&gt;0")+1)</f>
        <v/>
      </c>
      <c r="B915" s="4"/>
      <c r="C915" s="5" t="s">
        <v>44</v>
      </c>
      <c r="D915" s="7" t="s">
        <v>909</v>
      </c>
      <c r="E915" s="31"/>
      <c r="F915" s="31"/>
      <c r="G915" s="6" t="s">
        <v>83</v>
      </c>
      <c r="H915" s="7">
        <f>VLOOKUP(D915,A!B$1:L$1126,8,FALSE)</f>
        <v>0</v>
      </c>
      <c r="I915" s="31">
        <f>VLOOKUP(D915,A!B$1:L$1126,8,FALSE)</f>
        <v>0</v>
      </c>
      <c r="J915" s="92"/>
      <c r="K915" s="63" t="str">
        <f>VLOOKUP(D915,A!B$1:P$1126,11,FALSE)</f>
        <v/>
      </c>
      <c r="L915" s="162"/>
      <c r="M915" s="41" t="s">
        <v>910</v>
      </c>
      <c r="N915" s="94">
        <f>VLOOKUP(D915,A!B$1:L$1125,7,FALSE)</f>
        <v>0</v>
      </c>
      <c r="O915" s="94">
        <f>VLOOKUP(D915,A!B$1:P$1126,9,FALSE)</f>
        <v>0</v>
      </c>
      <c r="P915" s="10">
        <v>6</v>
      </c>
      <c r="Q915" s="10">
        <v>5.95</v>
      </c>
      <c r="R915" s="10">
        <f t="shared" si="134"/>
        <v>0</v>
      </c>
      <c r="S915" s="10">
        <f t="shared" si="135"/>
        <v>0</v>
      </c>
      <c r="T915" s="29" t="s">
        <v>97</v>
      </c>
      <c r="U915" s="115">
        <v>0.35</v>
      </c>
      <c r="V915" s="10">
        <f>VLOOKUP(D915,A!B$1:T$1125,17,FALSE)</f>
        <v>0</v>
      </c>
      <c r="W915" s="10">
        <f t="shared" si="136"/>
        <v>0</v>
      </c>
      <c r="X915" s="29"/>
      <c r="Y915" s="29"/>
      <c r="Z915" s="29"/>
      <c r="AA915" s="29"/>
    </row>
    <row r="916" spans="1:27" s="3" customFormat="1" ht="13.5" hidden="1" customHeight="1" x14ac:dyDescent="0.25">
      <c r="A916" t="str">
        <f>IF(R916=0,"",COUNTIF(A$13:A915,"&gt;0")+1)</f>
        <v/>
      </c>
      <c r="B916" s="4"/>
      <c r="C916" s="5" t="s">
        <v>44</v>
      </c>
      <c r="D916" s="7" t="s">
        <v>911</v>
      </c>
      <c r="E916" s="31"/>
      <c r="F916" s="31"/>
      <c r="G916" s="6" t="s">
        <v>83</v>
      </c>
      <c r="H916" s="7">
        <f>VLOOKUP(D916,A!B$1:L$1126,8,FALSE)</f>
        <v>0</v>
      </c>
      <c r="I916" s="31">
        <f>VLOOKUP(D916,A!B$1:L$1126,8,FALSE)</f>
        <v>0</v>
      </c>
      <c r="J916" s="92"/>
      <c r="K916" s="63" t="str">
        <f>VLOOKUP(D916,A!B$1:P$1126,11,FALSE)</f>
        <v/>
      </c>
      <c r="L916" s="162"/>
      <c r="M916" s="41" t="s">
        <v>912</v>
      </c>
      <c r="N916" s="94">
        <f>VLOOKUP(D916,A!B$1:L$1125,7,FALSE)</f>
        <v>0</v>
      </c>
      <c r="O916" s="94">
        <f>VLOOKUP(D916,A!B$1:P$1126,9,FALSE)</f>
        <v>0</v>
      </c>
      <c r="P916" s="10">
        <v>6</v>
      </c>
      <c r="Q916" s="10">
        <v>5.95</v>
      </c>
      <c r="R916" s="10">
        <f t="shared" si="134"/>
        <v>0</v>
      </c>
      <c r="S916" s="10">
        <f t="shared" si="135"/>
        <v>0</v>
      </c>
      <c r="T916" s="29" t="s">
        <v>97</v>
      </c>
      <c r="U916" s="115">
        <v>0.35</v>
      </c>
      <c r="V916" s="10">
        <f>VLOOKUP(D916,A!B$1:T$1125,17,FALSE)</f>
        <v>0</v>
      </c>
      <c r="W916" s="10">
        <f t="shared" si="136"/>
        <v>0</v>
      </c>
      <c r="X916" s="29"/>
      <c r="Y916" s="29"/>
      <c r="Z916" s="29"/>
      <c r="AA916" s="29"/>
    </row>
    <row r="917" spans="1:27" s="3" customFormat="1" ht="13.5" hidden="1" customHeight="1" x14ac:dyDescent="0.25">
      <c r="A917" t="str">
        <f>IF(R917=0,"",COUNTIF(A$13:A916,"&gt;0")+1)</f>
        <v/>
      </c>
      <c r="B917" s="4"/>
      <c r="C917" s="5" t="s">
        <v>44</v>
      </c>
      <c r="D917" s="7" t="s">
        <v>913</v>
      </c>
      <c r="E917" s="31"/>
      <c r="F917" s="31"/>
      <c r="G917" s="6" t="s">
        <v>83</v>
      </c>
      <c r="H917" s="7">
        <f>VLOOKUP(D917,A!B$1:L$1126,8,FALSE)</f>
        <v>0</v>
      </c>
      <c r="I917" s="31">
        <f>VLOOKUP(D917,A!B$1:L$1126,8,FALSE)</f>
        <v>0</v>
      </c>
      <c r="J917" s="92"/>
      <c r="K917" s="63" t="str">
        <f>VLOOKUP(D917,A!B$1:P$1126,11,FALSE)</f>
        <v/>
      </c>
      <c r="L917" s="162"/>
      <c r="M917" s="41" t="s">
        <v>914</v>
      </c>
      <c r="N917" s="94">
        <f>VLOOKUP(D917,A!B$1:L$1125,7,FALSE)</f>
        <v>0</v>
      </c>
      <c r="O917" s="94">
        <f>VLOOKUP(D917,A!B$1:P$1126,9,FALSE)</f>
        <v>0</v>
      </c>
      <c r="P917" s="10">
        <v>6</v>
      </c>
      <c r="Q917" s="10">
        <v>5.95</v>
      </c>
      <c r="R917" s="10">
        <f t="shared" si="134"/>
        <v>0</v>
      </c>
      <c r="S917" s="10">
        <f t="shared" si="135"/>
        <v>0</v>
      </c>
      <c r="T917" s="29" t="s">
        <v>97</v>
      </c>
      <c r="U917" s="115">
        <v>0.35</v>
      </c>
      <c r="V917" s="10">
        <f>VLOOKUP(D917,A!B$1:T$1125,17,FALSE)</f>
        <v>0</v>
      </c>
      <c r="W917" s="10">
        <f t="shared" si="136"/>
        <v>0</v>
      </c>
      <c r="X917" s="29"/>
      <c r="Y917" s="29"/>
      <c r="Z917" s="29"/>
      <c r="AA917" s="29"/>
    </row>
    <row r="918" spans="1:27" s="3" customFormat="1" ht="13.5" hidden="1" customHeight="1" x14ac:dyDescent="0.25">
      <c r="A918" t="str">
        <f>IF(R918=0,"",COUNTIF(A$13:A917,"&gt;0")+1)</f>
        <v/>
      </c>
      <c r="B918" s="4"/>
      <c r="C918" s="5" t="s">
        <v>44</v>
      </c>
      <c r="D918" s="7" t="s">
        <v>915</v>
      </c>
      <c r="E918" s="31"/>
      <c r="F918" s="31"/>
      <c r="G918" s="6" t="s">
        <v>83</v>
      </c>
      <c r="H918" s="7">
        <f>VLOOKUP(D918,A!B$1:L$1126,8,FALSE)</f>
        <v>0</v>
      </c>
      <c r="I918" s="31">
        <f>VLOOKUP(D918,A!B$1:L$1126,8,FALSE)</f>
        <v>0</v>
      </c>
      <c r="J918" s="92"/>
      <c r="K918" s="63" t="str">
        <f>VLOOKUP(D918,A!B$1:P$1126,11,FALSE)</f>
        <v/>
      </c>
      <c r="L918" s="162"/>
      <c r="M918" s="41" t="s">
        <v>916</v>
      </c>
      <c r="N918" s="94">
        <f>VLOOKUP(D918,A!B$1:L$1125,7,FALSE)</f>
        <v>0</v>
      </c>
      <c r="O918" s="94">
        <f>VLOOKUP(D918,A!B$1:P$1126,9,FALSE)</f>
        <v>0</v>
      </c>
      <c r="P918" s="10">
        <v>6</v>
      </c>
      <c r="Q918" s="10">
        <v>5.95</v>
      </c>
      <c r="R918" s="10">
        <f t="shared" si="134"/>
        <v>0</v>
      </c>
      <c r="S918" s="10">
        <f t="shared" si="135"/>
        <v>0</v>
      </c>
      <c r="T918" s="29" t="s">
        <v>97</v>
      </c>
      <c r="U918" s="115">
        <v>0.35</v>
      </c>
      <c r="V918" s="10">
        <f>VLOOKUP(D918,A!B$1:T$1125,17,FALSE)</f>
        <v>0</v>
      </c>
      <c r="W918" s="10">
        <f t="shared" si="136"/>
        <v>0</v>
      </c>
      <c r="X918" s="29"/>
      <c r="Y918" s="29"/>
      <c r="Z918" s="29"/>
      <c r="AA918" s="29"/>
    </row>
    <row r="919" spans="1:27" s="3" customFormat="1" ht="13.5" hidden="1" customHeight="1" x14ac:dyDescent="0.25">
      <c r="A919" t="str">
        <f>IF(R919=0,"",COUNTIF(A$13:A918,"&gt;0")+1)</f>
        <v/>
      </c>
      <c r="B919" s="4"/>
      <c r="C919" s="5" t="s">
        <v>44</v>
      </c>
      <c r="D919" s="7" t="s">
        <v>917</v>
      </c>
      <c r="E919" s="31"/>
      <c r="F919" s="31"/>
      <c r="G919" s="6" t="s">
        <v>83</v>
      </c>
      <c r="H919" s="7">
        <f>VLOOKUP(D919,A!B$1:L$1126,8,FALSE)</f>
        <v>0</v>
      </c>
      <c r="I919" s="31">
        <f>VLOOKUP(D919,A!B$1:L$1126,8,FALSE)</f>
        <v>0</v>
      </c>
      <c r="J919" s="92"/>
      <c r="K919" s="63" t="str">
        <f>VLOOKUP(D919,A!B$1:P$1126,11,FALSE)</f>
        <v/>
      </c>
      <c r="L919" s="162"/>
      <c r="M919" s="41" t="s">
        <v>918</v>
      </c>
      <c r="N919" s="94">
        <f>VLOOKUP(D919,A!B$1:L$1125,7,FALSE)</f>
        <v>0</v>
      </c>
      <c r="O919" s="94">
        <f>VLOOKUP(D919,A!B$1:P$1126,9,FALSE)</f>
        <v>0</v>
      </c>
      <c r="P919" s="10">
        <v>6</v>
      </c>
      <c r="Q919" s="10">
        <v>5.95</v>
      </c>
      <c r="R919" s="10">
        <f t="shared" si="134"/>
        <v>0</v>
      </c>
      <c r="S919" s="10">
        <f t="shared" si="135"/>
        <v>0</v>
      </c>
      <c r="T919" s="29" t="s">
        <v>97</v>
      </c>
      <c r="U919" s="115">
        <v>0.35</v>
      </c>
      <c r="V919" s="10">
        <f>VLOOKUP(D919,A!B$1:T$1125,17,FALSE)</f>
        <v>0</v>
      </c>
      <c r="W919" s="10">
        <f t="shared" si="136"/>
        <v>0</v>
      </c>
      <c r="X919" s="29"/>
      <c r="Y919" s="29"/>
      <c r="Z919" s="29"/>
      <c r="AA919" s="29"/>
    </row>
    <row r="920" spans="1:27" s="3" customFormat="1" ht="13.5" hidden="1" customHeight="1" x14ac:dyDescent="0.25">
      <c r="A920" t="str">
        <f>IF(R920=0,"",COUNTIF(A$13:A919,"&gt;0")+1)</f>
        <v/>
      </c>
      <c r="B920" s="4"/>
      <c r="C920" s="5" t="s">
        <v>44</v>
      </c>
      <c r="D920" s="7" t="s">
        <v>919</v>
      </c>
      <c r="E920" s="31"/>
      <c r="F920" s="31"/>
      <c r="G920" s="6" t="s">
        <v>83</v>
      </c>
      <c r="H920" s="7">
        <f>VLOOKUP(D920,A!B$1:L$1126,8,FALSE)</f>
        <v>0</v>
      </c>
      <c r="I920" s="31">
        <f>VLOOKUP(D920,A!B$1:L$1126,8,FALSE)</f>
        <v>0</v>
      </c>
      <c r="J920" s="92"/>
      <c r="K920" s="63" t="str">
        <f>VLOOKUP(D920,A!B$1:P$1126,11,FALSE)</f>
        <v/>
      </c>
      <c r="L920" s="162"/>
      <c r="M920" s="41" t="s">
        <v>920</v>
      </c>
      <c r="N920" s="94">
        <f>VLOOKUP(D920,A!B$1:L$1125,7,FALSE)</f>
        <v>0</v>
      </c>
      <c r="O920" s="94">
        <f>VLOOKUP(D920,A!B$1:P$1126,9,FALSE)</f>
        <v>0</v>
      </c>
      <c r="P920" s="10">
        <v>6</v>
      </c>
      <c r="Q920" s="10">
        <v>5.95</v>
      </c>
      <c r="R920" s="10">
        <f t="shared" si="134"/>
        <v>0</v>
      </c>
      <c r="S920" s="10">
        <f t="shared" si="135"/>
        <v>0</v>
      </c>
      <c r="T920" s="29" t="s">
        <v>97</v>
      </c>
      <c r="U920" s="115">
        <v>0.35</v>
      </c>
      <c r="V920" s="10">
        <f>VLOOKUP(D920,A!B$1:T$1125,17,FALSE)</f>
        <v>0</v>
      </c>
      <c r="W920" s="10">
        <f t="shared" si="136"/>
        <v>0</v>
      </c>
      <c r="X920" s="29"/>
      <c r="Y920" s="29"/>
      <c r="Z920" s="29"/>
      <c r="AA920" s="29"/>
    </row>
    <row r="921" spans="1:27" s="3" customFormat="1" ht="13.5" hidden="1" customHeight="1" x14ac:dyDescent="0.25">
      <c r="A921" t="str">
        <f>IF(R921=0,"",COUNTIF(A$13:A920,"&gt;0")+1)</f>
        <v/>
      </c>
      <c r="B921" s="4"/>
      <c r="C921" s="5" t="s">
        <v>44</v>
      </c>
      <c r="D921" s="7" t="s">
        <v>921</v>
      </c>
      <c r="E921" s="31"/>
      <c r="F921" s="31"/>
      <c r="G921" s="6" t="s">
        <v>83</v>
      </c>
      <c r="H921" s="7">
        <f>VLOOKUP(D921,A!B$1:L$1126,8,FALSE)</f>
        <v>0</v>
      </c>
      <c r="I921" s="31">
        <f>VLOOKUP(D921,A!B$1:L$1126,8,FALSE)</f>
        <v>0</v>
      </c>
      <c r="J921" s="92"/>
      <c r="K921" s="63" t="str">
        <f>VLOOKUP(D921,A!B$1:P$1126,11,FALSE)</f>
        <v/>
      </c>
      <c r="L921" s="162"/>
      <c r="M921" s="41" t="s">
        <v>922</v>
      </c>
      <c r="N921" s="94">
        <f>VLOOKUP(D921,A!B$1:L$1125,7,FALSE)</f>
        <v>0</v>
      </c>
      <c r="O921" s="94">
        <f>VLOOKUP(D921,A!B$1:P$1126,9,FALSE)</f>
        <v>0</v>
      </c>
      <c r="P921" s="10">
        <v>6</v>
      </c>
      <c r="Q921" s="10">
        <v>5.95</v>
      </c>
      <c r="R921" s="10">
        <f t="shared" si="134"/>
        <v>0</v>
      </c>
      <c r="S921" s="10">
        <f t="shared" si="135"/>
        <v>0</v>
      </c>
      <c r="T921" s="29" t="s">
        <v>97</v>
      </c>
      <c r="U921" s="115">
        <v>0.35</v>
      </c>
      <c r="V921" s="10">
        <f>VLOOKUP(D921,A!B$1:T$1125,17,FALSE)</f>
        <v>0</v>
      </c>
      <c r="W921" s="10">
        <f t="shared" si="136"/>
        <v>0</v>
      </c>
      <c r="X921" s="29"/>
      <c r="Y921" s="29"/>
      <c r="Z921" s="29"/>
      <c r="AA921" s="29"/>
    </row>
    <row r="922" spans="1:27" s="3" customFormat="1" ht="13.5" hidden="1" customHeight="1" x14ac:dyDescent="0.25">
      <c r="A922" t="str">
        <f>IF(R922=0,"",COUNTIF(A$13:A921,"&gt;0")+1)</f>
        <v/>
      </c>
      <c r="B922" s="4"/>
      <c r="C922" s="5" t="s">
        <v>44</v>
      </c>
      <c r="D922" s="7" t="s">
        <v>230</v>
      </c>
      <c r="E922" s="31"/>
      <c r="F922" s="31"/>
      <c r="G922" s="6" t="s">
        <v>83</v>
      </c>
      <c r="H922" s="7">
        <f>VLOOKUP(D922,A!B$1:L$1126,8,FALSE)</f>
        <v>0</v>
      </c>
      <c r="I922" s="31">
        <f>VLOOKUP(D922,A!B$1:L$1126,8,FALSE)</f>
        <v>0</v>
      </c>
      <c r="J922" s="92"/>
      <c r="K922" s="63" t="str">
        <f>VLOOKUP(D922,A!B$1:P$1126,11,FALSE)</f>
        <v/>
      </c>
      <c r="L922" s="2"/>
      <c r="M922" s="41" t="s">
        <v>231</v>
      </c>
      <c r="N922" s="94">
        <f>VLOOKUP(D922,A!B$1:L$1125,7,FALSE)</f>
        <v>0</v>
      </c>
      <c r="O922" s="94">
        <f>VLOOKUP(D922,A!B$1:P$1126,9,FALSE)</f>
        <v>0</v>
      </c>
      <c r="P922" s="10">
        <v>6</v>
      </c>
      <c r="Q922" s="10">
        <v>5.95</v>
      </c>
      <c r="R922" s="10">
        <f t="shared" si="134"/>
        <v>0</v>
      </c>
      <c r="S922" s="10">
        <f t="shared" si="135"/>
        <v>0</v>
      </c>
      <c r="T922" s="29" t="s">
        <v>97</v>
      </c>
      <c r="U922" s="115">
        <v>0.35</v>
      </c>
      <c r="V922" s="10">
        <f>VLOOKUP(D922,A!B$1:T$1125,17,FALSE)</f>
        <v>0</v>
      </c>
      <c r="W922" s="10">
        <f t="shared" si="136"/>
        <v>0</v>
      </c>
      <c r="X922" s="30"/>
      <c r="Y922" s="29"/>
      <c r="Z922" s="29"/>
      <c r="AA922" s="29"/>
    </row>
    <row r="923" spans="1:27" s="3" customFormat="1" ht="13.5" hidden="1" customHeight="1" x14ac:dyDescent="0.25">
      <c r="A923" t="str">
        <f>IF(R923=0,"",COUNTIF(A$13:A922,"&gt;0")+1)</f>
        <v/>
      </c>
      <c r="B923" s="4"/>
      <c r="C923" s="5" t="s">
        <v>44</v>
      </c>
      <c r="D923" s="7" t="s">
        <v>923</v>
      </c>
      <c r="E923" s="31"/>
      <c r="F923" s="31"/>
      <c r="G923" s="6" t="s">
        <v>83</v>
      </c>
      <c r="H923" s="7">
        <f>VLOOKUP(D923,A!B$1:L$1126,8,FALSE)</f>
        <v>0</v>
      </c>
      <c r="I923" s="31">
        <f>VLOOKUP(D923,A!B$1:L$1126,8,FALSE)</f>
        <v>0</v>
      </c>
      <c r="J923" s="92"/>
      <c r="K923" s="63" t="str">
        <f>VLOOKUP(D923,A!B$1:P$1126,11,FALSE)</f>
        <v/>
      </c>
      <c r="L923" s="162"/>
      <c r="M923" s="41" t="s">
        <v>924</v>
      </c>
      <c r="N923" s="94">
        <f>VLOOKUP(D923,A!B$1:L$1125,7,FALSE)</f>
        <v>0</v>
      </c>
      <c r="O923" s="94">
        <f>VLOOKUP(D923,A!B$1:P$1126,9,FALSE)</f>
        <v>0</v>
      </c>
      <c r="P923" s="10">
        <v>6</v>
      </c>
      <c r="Q923" s="10">
        <v>5.95</v>
      </c>
      <c r="R923" s="10">
        <f t="shared" si="134"/>
        <v>0</v>
      </c>
      <c r="S923" s="10">
        <f t="shared" si="135"/>
        <v>0</v>
      </c>
      <c r="T923" s="29" t="s">
        <v>97</v>
      </c>
      <c r="U923" s="115">
        <v>0.35</v>
      </c>
      <c r="V923" s="10">
        <f>VLOOKUP(D923,A!B$1:T$1125,17,FALSE)</f>
        <v>0</v>
      </c>
      <c r="W923" s="10">
        <f t="shared" si="136"/>
        <v>0</v>
      </c>
      <c r="X923" s="29"/>
      <c r="Y923" s="29"/>
      <c r="Z923" s="29"/>
      <c r="AA923" s="29"/>
    </row>
    <row r="924" spans="1:27" s="3" customFormat="1" ht="13.5" hidden="1" customHeight="1" x14ac:dyDescent="0.25">
      <c r="A924" t="str">
        <f>IF(R924=0,"",COUNTIF(A$13:A923,"&gt;0")+1)</f>
        <v/>
      </c>
      <c r="B924" s="4"/>
      <c r="C924" s="5" t="s">
        <v>44</v>
      </c>
      <c r="D924" s="7" t="s">
        <v>925</v>
      </c>
      <c r="E924" s="31"/>
      <c r="F924" s="31"/>
      <c r="G924" s="6" t="s">
        <v>83</v>
      </c>
      <c r="H924" s="7">
        <f>VLOOKUP(D924,A!B$1:L$1126,8,FALSE)</f>
        <v>0</v>
      </c>
      <c r="I924" s="31">
        <f>VLOOKUP(D924,A!B$1:L$1126,8,FALSE)</f>
        <v>0</v>
      </c>
      <c r="J924" s="92"/>
      <c r="K924" s="63" t="str">
        <f>VLOOKUP(D924,A!B$1:P$1126,11,FALSE)</f>
        <v/>
      </c>
      <c r="L924" s="162"/>
      <c r="M924" s="41" t="s">
        <v>926</v>
      </c>
      <c r="N924" s="94">
        <f>VLOOKUP(D924,A!B$1:L$1125,7,FALSE)</f>
        <v>0</v>
      </c>
      <c r="O924" s="94">
        <f>VLOOKUP(D924,A!B$1:P$1126,9,FALSE)</f>
        <v>0</v>
      </c>
      <c r="P924" s="10">
        <v>6</v>
      </c>
      <c r="Q924" s="10">
        <v>5.95</v>
      </c>
      <c r="R924" s="10">
        <f t="shared" si="134"/>
        <v>0</v>
      </c>
      <c r="S924" s="10">
        <f t="shared" si="135"/>
        <v>0</v>
      </c>
      <c r="T924" s="29" t="s">
        <v>97</v>
      </c>
      <c r="U924" s="115">
        <v>0.35</v>
      </c>
      <c r="V924" s="10">
        <f>VLOOKUP(D924,A!B$1:T$1125,17,FALSE)</f>
        <v>0</v>
      </c>
      <c r="W924" s="10">
        <f t="shared" si="136"/>
        <v>0</v>
      </c>
      <c r="X924" s="29"/>
      <c r="Y924" s="29"/>
      <c r="Z924" s="29"/>
      <c r="AA924" s="29"/>
    </row>
    <row r="925" spans="1:27" s="3" customFormat="1" ht="13.5" hidden="1" customHeight="1" x14ac:dyDescent="0.25">
      <c r="A925" t="str">
        <f>IF(R925=0,"",COUNTIF(A$13:A924,"&gt;0")+1)</f>
        <v/>
      </c>
      <c r="B925" s="4"/>
      <c r="C925" s="5" t="s">
        <v>44</v>
      </c>
      <c r="D925" s="7" t="s">
        <v>927</v>
      </c>
      <c r="E925" s="31"/>
      <c r="F925" s="31"/>
      <c r="G925" s="6" t="s">
        <v>83</v>
      </c>
      <c r="H925" s="7">
        <f>VLOOKUP(D925,A!B$1:L$1126,8,FALSE)</f>
        <v>0</v>
      </c>
      <c r="I925" s="31">
        <f>VLOOKUP(D925,A!B$1:L$1126,8,FALSE)</f>
        <v>0</v>
      </c>
      <c r="J925" s="92"/>
      <c r="K925" s="63" t="str">
        <f>VLOOKUP(D925,A!B$1:P$1126,11,FALSE)</f>
        <v/>
      </c>
      <c r="L925" s="162"/>
      <c r="M925" s="41" t="s">
        <v>928</v>
      </c>
      <c r="N925" s="94">
        <f>VLOOKUP(D925,A!B$1:L$1125,7,FALSE)</f>
        <v>0</v>
      </c>
      <c r="O925" s="94">
        <f>VLOOKUP(D925,A!B$1:P$1126,9,FALSE)</f>
        <v>0</v>
      </c>
      <c r="P925" s="10">
        <v>6</v>
      </c>
      <c r="Q925" s="10">
        <v>5.95</v>
      </c>
      <c r="R925" s="10">
        <f t="shared" si="134"/>
        <v>0</v>
      </c>
      <c r="S925" s="10">
        <f t="shared" si="135"/>
        <v>0</v>
      </c>
      <c r="T925" s="29" t="s">
        <v>97</v>
      </c>
      <c r="U925" s="115">
        <v>0.35</v>
      </c>
      <c r="V925" s="10">
        <f>VLOOKUP(D925,A!B$1:T$1125,17,FALSE)</f>
        <v>0</v>
      </c>
      <c r="W925" s="10">
        <f t="shared" si="136"/>
        <v>0</v>
      </c>
      <c r="X925" s="29"/>
      <c r="Y925" s="29"/>
      <c r="Z925" s="29"/>
      <c r="AA925" s="29"/>
    </row>
    <row r="926" spans="1:27" s="3" customFormat="1" ht="13.5" hidden="1" customHeight="1" x14ac:dyDescent="0.25">
      <c r="A926" t="str">
        <f>IF(R926=0,"",COUNTIF(A$13:A925,"&gt;0")+1)</f>
        <v/>
      </c>
      <c r="B926" s="4"/>
      <c r="C926" s="5" t="s">
        <v>44</v>
      </c>
      <c r="D926" s="7" t="s">
        <v>929</v>
      </c>
      <c r="E926" s="31"/>
      <c r="F926" s="31"/>
      <c r="G926" s="6" t="s">
        <v>83</v>
      </c>
      <c r="H926" s="7">
        <f>VLOOKUP(D926,A!B$1:L$1126,8,FALSE)</f>
        <v>0</v>
      </c>
      <c r="I926" s="31">
        <f>VLOOKUP(D926,A!B$1:L$1126,8,FALSE)</f>
        <v>0</v>
      </c>
      <c r="J926" s="92"/>
      <c r="K926" s="63" t="str">
        <f>VLOOKUP(D926,A!B$1:P$1126,11,FALSE)</f>
        <v/>
      </c>
      <c r="L926" s="162"/>
      <c r="M926" s="41" t="s">
        <v>930</v>
      </c>
      <c r="N926" s="94">
        <f>VLOOKUP(D926,A!B$1:L$1125,7,FALSE)</f>
        <v>0</v>
      </c>
      <c r="O926" s="94">
        <f>VLOOKUP(D926,A!B$1:P$1126,9,FALSE)</f>
        <v>0</v>
      </c>
      <c r="P926" s="10">
        <v>6</v>
      </c>
      <c r="Q926" s="10">
        <v>5.95</v>
      </c>
      <c r="R926" s="10">
        <f t="shared" si="134"/>
        <v>0</v>
      </c>
      <c r="S926" s="10">
        <f t="shared" si="135"/>
        <v>0</v>
      </c>
      <c r="T926" s="29" t="s">
        <v>97</v>
      </c>
      <c r="U926" s="115">
        <v>0.35</v>
      </c>
      <c r="V926" s="10">
        <f>VLOOKUP(D926,A!B$1:T$1125,17,FALSE)</f>
        <v>0</v>
      </c>
      <c r="W926" s="10">
        <f t="shared" si="136"/>
        <v>0</v>
      </c>
      <c r="X926" s="29"/>
      <c r="Y926" s="29"/>
      <c r="Z926" s="29"/>
      <c r="AA926" s="29"/>
    </row>
    <row r="927" spans="1:27" s="3" customFormat="1" ht="13.5" hidden="1" customHeight="1" x14ac:dyDescent="0.25">
      <c r="A927" t="str">
        <f>IF(R927=0,"",COUNTIF(A$13:A926,"&gt;0")+1)</f>
        <v/>
      </c>
      <c r="B927" s="4"/>
      <c r="C927" s="5" t="s">
        <v>44</v>
      </c>
      <c r="D927" s="7" t="s">
        <v>931</v>
      </c>
      <c r="E927" s="31"/>
      <c r="F927" s="31"/>
      <c r="G927" s="6" t="s">
        <v>83</v>
      </c>
      <c r="H927" s="7">
        <f>VLOOKUP(D927,A!B$1:L$1126,8,FALSE)</f>
        <v>0</v>
      </c>
      <c r="I927" s="31">
        <f>VLOOKUP(D927,A!B$1:L$1126,8,FALSE)</f>
        <v>0</v>
      </c>
      <c r="J927" s="92"/>
      <c r="K927" s="63" t="str">
        <f>VLOOKUP(D927,A!B$1:P$1126,11,FALSE)</f>
        <v/>
      </c>
      <c r="L927" s="162"/>
      <c r="M927" s="41" t="s">
        <v>932</v>
      </c>
      <c r="N927" s="94">
        <f>VLOOKUP(D927,A!B$1:L$1125,7,FALSE)</f>
        <v>0</v>
      </c>
      <c r="O927" s="94">
        <f>VLOOKUP(D927,A!B$1:P$1126,9,FALSE)</f>
        <v>0</v>
      </c>
      <c r="P927" s="10">
        <v>6</v>
      </c>
      <c r="Q927" s="10">
        <v>5.95</v>
      </c>
      <c r="R927" s="10">
        <f t="shared" si="134"/>
        <v>0</v>
      </c>
      <c r="S927" s="10">
        <f t="shared" si="135"/>
        <v>0</v>
      </c>
      <c r="T927" s="29" t="s">
        <v>97</v>
      </c>
      <c r="U927" s="115">
        <v>0.35</v>
      </c>
      <c r="V927" s="10">
        <f>VLOOKUP(D927,A!B$1:T$1125,17,FALSE)</f>
        <v>0</v>
      </c>
      <c r="W927" s="10">
        <f t="shared" si="136"/>
        <v>0</v>
      </c>
      <c r="X927" s="29"/>
      <c r="Y927" s="29"/>
      <c r="Z927" s="29"/>
      <c r="AA927" s="29"/>
    </row>
    <row r="928" spans="1:27" s="3" customFormat="1" ht="13.5" hidden="1" customHeight="1" x14ac:dyDescent="0.25">
      <c r="A928" t="str">
        <f>IF(R928=0,"",COUNTIF(A$13:A927,"&gt;0")+1)</f>
        <v/>
      </c>
      <c r="B928" s="4"/>
      <c r="C928" s="5" t="s">
        <v>44</v>
      </c>
      <c r="D928" s="7" t="s">
        <v>933</v>
      </c>
      <c r="E928" s="31"/>
      <c r="F928" s="31"/>
      <c r="G928" s="6" t="s">
        <v>83</v>
      </c>
      <c r="H928" s="7">
        <f>VLOOKUP(D928,A!B$1:L$1126,8,FALSE)</f>
        <v>0</v>
      </c>
      <c r="I928" s="31">
        <f>VLOOKUP(D928,A!B$1:L$1126,8,FALSE)</f>
        <v>0</v>
      </c>
      <c r="J928" s="92"/>
      <c r="K928" s="63" t="str">
        <f>VLOOKUP(D928,A!B$1:P$1126,11,FALSE)</f>
        <v/>
      </c>
      <c r="L928" s="162"/>
      <c r="M928" s="43" t="s">
        <v>934</v>
      </c>
      <c r="N928" s="94">
        <f>VLOOKUP(D928,A!B$1:L$1125,7,FALSE)</f>
        <v>0</v>
      </c>
      <c r="O928" s="94">
        <f>VLOOKUP(D928,A!B$1:P$1126,9,FALSE)</f>
        <v>0</v>
      </c>
      <c r="P928" s="10">
        <v>6</v>
      </c>
      <c r="Q928" s="10">
        <v>5.95</v>
      </c>
      <c r="R928" s="10">
        <f t="shared" si="134"/>
        <v>0</v>
      </c>
      <c r="S928" s="10">
        <f t="shared" si="135"/>
        <v>0</v>
      </c>
      <c r="T928" s="29" t="s">
        <v>97</v>
      </c>
      <c r="U928" s="115">
        <v>0.35</v>
      </c>
      <c r="V928" s="10">
        <f>VLOOKUP(D928,A!B$1:T$1125,17,FALSE)</f>
        <v>0</v>
      </c>
      <c r="W928" s="10">
        <f t="shared" si="136"/>
        <v>0</v>
      </c>
      <c r="X928" s="29"/>
      <c r="Y928" s="29"/>
      <c r="Z928" s="29"/>
      <c r="AA928" s="29"/>
    </row>
    <row r="929" spans="1:27" s="3" customFormat="1" ht="13.5" hidden="1" customHeight="1" x14ac:dyDescent="0.25">
      <c r="A929" t="str">
        <f>IF(R929=0,"",COUNTIF(A$13:A928,"&gt;0")+1)</f>
        <v/>
      </c>
      <c r="B929" s="4"/>
      <c r="C929" s="5" t="s">
        <v>44</v>
      </c>
      <c r="D929" s="7" t="s">
        <v>935</v>
      </c>
      <c r="E929" s="31"/>
      <c r="F929" s="31"/>
      <c r="G929" s="20" t="s">
        <v>936</v>
      </c>
      <c r="H929" s="7">
        <f>VLOOKUP(D929,A!B$1:L$1126,8,FALSE)</f>
        <v>0</v>
      </c>
      <c r="I929" s="31">
        <f>VLOOKUP(D929,A!B$1:L$1126,8,FALSE)</f>
        <v>0</v>
      </c>
      <c r="J929" s="92"/>
      <c r="K929" s="63" t="str">
        <f>VLOOKUP(D929,A!B$1:P$1126,11,FALSE)</f>
        <v/>
      </c>
      <c r="L929" s="162"/>
      <c r="M929" s="43" t="s">
        <v>937</v>
      </c>
      <c r="N929" s="94">
        <f>VLOOKUP(D929,A!B$1:L$1125,7,FALSE)</f>
        <v>0</v>
      </c>
      <c r="O929" s="94">
        <f>VLOOKUP(D929,A!B$1:P$1126,9,FALSE)</f>
        <v>0</v>
      </c>
      <c r="P929" s="10">
        <v>6</v>
      </c>
      <c r="Q929" s="10">
        <v>5.95</v>
      </c>
      <c r="R929" s="10">
        <f t="shared" si="134"/>
        <v>0</v>
      </c>
      <c r="S929" s="10">
        <f t="shared" si="135"/>
        <v>0</v>
      </c>
      <c r="T929" s="29" t="s">
        <v>97</v>
      </c>
      <c r="U929" s="115">
        <v>0.35</v>
      </c>
      <c r="V929" s="10">
        <f>VLOOKUP(D929,A!B$1:T$1125,17,FALSE)</f>
        <v>0</v>
      </c>
      <c r="W929" s="10">
        <f t="shared" si="136"/>
        <v>0</v>
      </c>
      <c r="X929" s="29"/>
      <c r="Y929" s="29"/>
      <c r="Z929" s="29"/>
      <c r="AA929" s="29"/>
    </row>
    <row r="930" spans="1:27" s="3" customFormat="1" ht="13.5" hidden="1" customHeight="1" x14ac:dyDescent="0.25">
      <c r="A930" t="str">
        <f>IF(R930=0,"",COUNTIF(A$13:A929,"&gt;0")+1)</f>
        <v/>
      </c>
      <c r="B930" s="4"/>
      <c r="C930" s="5" t="s">
        <v>44</v>
      </c>
      <c r="D930" s="7" t="s">
        <v>938</v>
      </c>
      <c r="E930" s="31"/>
      <c r="F930" s="31"/>
      <c r="G930" s="6" t="s">
        <v>939</v>
      </c>
      <c r="H930" s="7">
        <f>VLOOKUP(D930,A!B$1:L$1126,8,FALSE)</f>
        <v>0</v>
      </c>
      <c r="I930" s="31">
        <f>VLOOKUP(D930,A!B$1:L$1126,8,FALSE)</f>
        <v>0</v>
      </c>
      <c r="J930" s="92"/>
      <c r="K930" s="63" t="str">
        <f>VLOOKUP(D930,A!B$1:P$1126,11,FALSE)</f>
        <v/>
      </c>
      <c r="L930" s="162"/>
      <c r="M930" s="41" t="s">
        <v>940</v>
      </c>
      <c r="N930" s="94">
        <f>VLOOKUP(D930,A!B$1:L$1125,7,FALSE)</f>
        <v>0</v>
      </c>
      <c r="O930" s="94">
        <f>VLOOKUP(D930,A!B$1:P$1126,9,FALSE)</f>
        <v>0</v>
      </c>
      <c r="P930" s="10">
        <v>6</v>
      </c>
      <c r="Q930" s="10">
        <v>5.95</v>
      </c>
      <c r="R930" s="10">
        <f t="shared" si="134"/>
        <v>0</v>
      </c>
      <c r="S930" s="10">
        <f t="shared" si="135"/>
        <v>0</v>
      </c>
      <c r="T930" s="29" t="s">
        <v>97</v>
      </c>
      <c r="U930" s="115">
        <v>0.35</v>
      </c>
      <c r="V930" s="10">
        <f>VLOOKUP(D930,A!B$1:T$1125,17,FALSE)</f>
        <v>0</v>
      </c>
      <c r="W930" s="10">
        <f t="shared" si="136"/>
        <v>0</v>
      </c>
      <c r="X930" s="29"/>
      <c r="Y930" s="29"/>
      <c r="Z930" s="29"/>
      <c r="AA930" s="29"/>
    </row>
    <row r="931" spans="1:27" s="3" customFormat="1" ht="13.5" hidden="1" customHeight="1" x14ac:dyDescent="0.25">
      <c r="A931" t="str">
        <f>IF(R931=0,"",COUNTIF(A$13:A930,"&gt;0")+1)</f>
        <v/>
      </c>
      <c r="B931" s="4"/>
      <c r="C931" s="5" t="s">
        <v>44</v>
      </c>
      <c r="D931" s="7" t="s">
        <v>941</v>
      </c>
      <c r="E931" s="31"/>
      <c r="F931" s="31"/>
      <c r="G931" s="6" t="s">
        <v>942</v>
      </c>
      <c r="H931" s="7">
        <f>VLOOKUP(D931,A!B$1:L$1126,8,FALSE)</f>
        <v>0</v>
      </c>
      <c r="I931" s="31">
        <f>VLOOKUP(D931,A!B$1:L$1126,8,FALSE)</f>
        <v>0</v>
      </c>
      <c r="J931" s="92"/>
      <c r="K931" s="63" t="str">
        <f>VLOOKUP(D931,A!B$1:P$1126,11,FALSE)</f>
        <v/>
      </c>
      <c r="L931" s="162"/>
      <c r="M931" s="41" t="s">
        <v>943</v>
      </c>
      <c r="N931" s="94">
        <f>VLOOKUP(D931,A!B$1:L$1125,7,FALSE)</f>
        <v>0</v>
      </c>
      <c r="O931" s="94">
        <f>VLOOKUP(D931,A!B$1:P$1126,9,FALSE)</f>
        <v>0</v>
      </c>
      <c r="P931" s="10">
        <v>6</v>
      </c>
      <c r="Q931" s="10">
        <v>5.95</v>
      </c>
      <c r="R931" s="10">
        <f t="shared" si="134"/>
        <v>0</v>
      </c>
      <c r="S931" s="10">
        <f t="shared" si="135"/>
        <v>0</v>
      </c>
      <c r="T931" s="29" t="s">
        <v>97</v>
      </c>
      <c r="U931" s="115">
        <v>0.35</v>
      </c>
      <c r="V931" s="10">
        <f>VLOOKUP(D931,A!B$1:T$1125,17,FALSE)</f>
        <v>0</v>
      </c>
      <c r="W931" s="10">
        <f t="shared" si="136"/>
        <v>0</v>
      </c>
      <c r="X931" s="29"/>
      <c r="Y931" s="29"/>
      <c r="Z931" s="29"/>
      <c r="AA931" s="29"/>
    </row>
    <row r="932" spans="1:27" s="3" customFormat="1" ht="13.5" hidden="1" customHeight="1" x14ac:dyDescent="0.25">
      <c r="A932" t="str">
        <f>IF(R932=0,"",COUNTIF(A$13:A931,"&gt;0")+1)</f>
        <v/>
      </c>
      <c r="B932" s="4"/>
      <c r="C932" s="5" t="s">
        <v>44</v>
      </c>
      <c r="D932" s="7" t="s">
        <v>944</v>
      </c>
      <c r="E932" s="31"/>
      <c r="F932" s="31"/>
      <c r="G932" s="6" t="s">
        <v>942</v>
      </c>
      <c r="H932" s="7">
        <f>VLOOKUP(D932,A!B$1:L$1126,8,FALSE)</f>
        <v>0</v>
      </c>
      <c r="I932" s="31">
        <f>VLOOKUP(D932,A!B$1:L$1126,8,FALSE)</f>
        <v>0</v>
      </c>
      <c r="J932" s="92"/>
      <c r="K932" s="63" t="str">
        <f>VLOOKUP(D932,A!B$1:P$1126,11,FALSE)</f>
        <v/>
      </c>
      <c r="L932" s="162"/>
      <c r="M932" s="41" t="s">
        <v>945</v>
      </c>
      <c r="N932" s="94">
        <f>VLOOKUP(D932,A!B$1:L$1125,7,FALSE)</f>
        <v>0</v>
      </c>
      <c r="O932" s="94">
        <f>VLOOKUP(D932,A!B$1:P$1126,9,FALSE)</f>
        <v>0</v>
      </c>
      <c r="P932" s="10">
        <v>6</v>
      </c>
      <c r="Q932" s="10">
        <v>5.95</v>
      </c>
      <c r="R932" s="10">
        <f t="shared" si="134"/>
        <v>0</v>
      </c>
      <c r="S932" s="10">
        <f t="shared" si="135"/>
        <v>0</v>
      </c>
      <c r="T932" s="29" t="s">
        <v>97</v>
      </c>
      <c r="U932" s="115">
        <v>0.35</v>
      </c>
      <c r="V932" s="10">
        <f>VLOOKUP(D932,A!B$1:T$1125,17,FALSE)</f>
        <v>0</v>
      </c>
      <c r="W932" s="10">
        <f t="shared" si="136"/>
        <v>0</v>
      </c>
      <c r="X932" s="29"/>
      <c r="Y932" s="29"/>
      <c r="Z932" s="29"/>
      <c r="AA932" s="29"/>
    </row>
    <row r="933" spans="1:27" s="3" customFormat="1" ht="13.5" hidden="1" customHeight="1" x14ac:dyDescent="0.25">
      <c r="A933" t="str">
        <f>IF(R933=0,"",COUNTIF(A$13:A932,"&gt;0")+1)</f>
        <v/>
      </c>
      <c r="B933" s="4"/>
      <c r="C933" s="5" t="s">
        <v>44</v>
      </c>
      <c r="D933" s="7" t="s">
        <v>946</v>
      </c>
      <c r="E933" s="31"/>
      <c r="F933" s="31"/>
      <c r="G933" s="6" t="s">
        <v>942</v>
      </c>
      <c r="H933" s="7">
        <f>VLOOKUP(D933,A!B$1:L$1126,8,FALSE)</f>
        <v>0</v>
      </c>
      <c r="I933" s="31">
        <f>VLOOKUP(D933,A!B$1:L$1126,8,FALSE)</f>
        <v>0</v>
      </c>
      <c r="J933" s="92"/>
      <c r="K933" s="63" t="str">
        <f>VLOOKUP(D933,A!B$1:P$1126,11,FALSE)</f>
        <v/>
      </c>
      <c r="L933" s="162"/>
      <c r="M933" s="41" t="s">
        <v>947</v>
      </c>
      <c r="N933" s="94">
        <f>VLOOKUP(D933,A!B$1:L$1125,7,FALSE)</f>
        <v>0</v>
      </c>
      <c r="O933" s="94">
        <f>VLOOKUP(D933,A!B$1:P$1126,9,FALSE)</f>
        <v>0</v>
      </c>
      <c r="P933" s="10">
        <v>6</v>
      </c>
      <c r="Q933" s="10">
        <v>5.95</v>
      </c>
      <c r="R933" s="10">
        <f t="shared" si="134"/>
        <v>0</v>
      </c>
      <c r="S933" s="10">
        <f t="shared" si="135"/>
        <v>0</v>
      </c>
      <c r="T933" s="29" t="s">
        <v>97</v>
      </c>
      <c r="U933" s="115">
        <v>0.35</v>
      </c>
      <c r="V933" s="10">
        <f>VLOOKUP(D933,A!B$1:T$1125,17,FALSE)</f>
        <v>0</v>
      </c>
      <c r="W933" s="10">
        <f t="shared" si="136"/>
        <v>0</v>
      </c>
      <c r="X933" s="29"/>
      <c r="Y933" s="29"/>
      <c r="Z933" s="29"/>
      <c r="AA933" s="29"/>
    </row>
    <row r="934" spans="1:27" s="3" customFormat="1" ht="13.5" hidden="1" customHeight="1" x14ac:dyDescent="0.25">
      <c r="A934" t="str">
        <f>IF(R934=0,"",COUNTIF(A$13:A933,"&gt;0")+1)</f>
        <v/>
      </c>
      <c r="B934" s="4"/>
      <c r="C934" s="5" t="s">
        <v>44</v>
      </c>
      <c r="D934" s="7" t="s">
        <v>948</v>
      </c>
      <c r="E934" s="31"/>
      <c r="F934" s="31"/>
      <c r="G934" s="6" t="s">
        <v>949</v>
      </c>
      <c r="H934" s="7">
        <f>VLOOKUP(D934,A!B$1:L$1126,8,FALSE)</f>
        <v>0</v>
      </c>
      <c r="I934" s="31">
        <f>VLOOKUP(D934,A!B$1:L$1126,8,FALSE)</f>
        <v>0</v>
      </c>
      <c r="J934" s="92"/>
      <c r="K934" s="63" t="str">
        <f>VLOOKUP(D934,A!B$1:P$1126,11,FALSE)</f>
        <v/>
      </c>
      <c r="L934" s="162"/>
      <c r="M934" s="43" t="s">
        <v>950</v>
      </c>
      <c r="N934" s="94">
        <f>VLOOKUP(D934,A!B$1:L$1125,7,FALSE)</f>
        <v>0</v>
      </c>
      <c r="O934" s="94">
        <f>VLOOKUP(D934,A!B$1:P$1126,9,FALSE)</f>
        <v>0</v>
      </c>
      <c r="P934" s="10">
        <v>6</v>
      </c>
      <c r="Q934" s="10">
        <v>5.95</v>
      </c>
      <c r="R934" s="10">
        <f t="shared" si="134"/>
        <v>0</v>
      </c>
      <c r="S934" s="10">
        <f t="shared" si="135"/>
        <v>0</v>
      </c>
      <c r="T934" s="29" t="s">
        <v>97</v>
      </c>
      <c r="U934" s="115">
        <v>0.35</v>
      </c>
      <c r="V934" s="10">
        <f>VLOOKUP(D934,A!B$1:T$1125,17,FALSE)</f>
        <v>0</v>
      </c>
      <c r="W934" s="10">
        <f t="shared" si="136"/>
        <v>0</v>
      </c>
      <c r="X934" s="29"/>
      <c r="Y934" s="29"/>
      <c r="Z934" s="29"/>
      <c r="AA934" s="29"/>
    </row>
    <row r="935" spans="1:27" s="3" customFormat="1" ht="13.5" hidden="1" customHeight="1" x14ac:dyDescent="0.25">
      <c r="A935" t="str">
        <f>IF(R935=0,"",COUNTIF(A$13:A934,"&gt;0")+1)</f>
        <v/>
      </c>
      <c r="B935" s="4"/>
      <c r="C935" s="5" t="s">
        <v>44</v>
      </c>
      <c r="D935" s="7" t="s">
        <v>951</v>
      </c>
      <c r="E935" s="31"/>
      <c r="F935" s="31"/>
      <c r="G935" s="6" t="s">
        <v>952</v>
      </c>
      <c r="H935" s="7">
        <f>VLOOKUP(D935,A!B$1:L$1126,8,FALSE)</f>
        <v>0</v>
      </c>
      <c r="I935" s="31">
        <f>VLOOKUP(D935,A!B$1:L$1126,8,FALSE)</f>
        <v>0</v>
      </c>
      <c r="J935" s="92"/>
      <c r="K935" s="63" t="str">
        <f>VLOOKUP(D935,A!B$1:P$1126,11,FALSE)</f>
        <v/>
      </c>
      <c r="L935" s="162"/>
      <c r="M935" s="41" t="s">
        <v>953</v>
      </c>
      <c r="N935" s="94">
        <f>VLOOKUP(D935,A!B$1:L$1125,7,FALSE)</f>
        <v>0</v>
      </c>
      <c r="O935" s="94">
        <f>VLOOKUP(D935,A!B$1:P$1126,9,FALSE)</f>
        <v>0</v>
      </c>
      <c r="P935" s="10">
        <v>6</v>
      </c>
      <c r="Q935" s="10">
        <v>5.95</v>
      </c>
      <c r="R935" s="10">
        <f t="shared" si="134"/>
        <v>0</v>
      </c>
      <c r="S935" s="10">
        <f t="shared" si="135"/>
        <v>0</v>
      </c>
      <c r="T935" s="29" t="s">
        <v>97</v>
      </c>
      <c r="U935" s="115">
        <v>0.35</v>
      </c>
      <c r="V935" s="10">
        <f>VLOOKUP(D935,A!B$1:T$1125,17,FALSE)</f>
        <v>0</v>
      </c>
      <c r="W935" s="10">
        <f t="shared" si="136"/>
        <v>0</v>
      </c>
      <c r="X935" s="29"/>
      <c r="Y935" s="29"/>
      <c r="Z935" s="29"/>
      <c r="AA935" s="29"/>
    </row>
    <row r="936" spans="1:27" s="3" customFormat="1" ht="13.5" hidden="1" customHeight="1" x14ac:dyDescent="0.25">
      <c r="A936" t="str">
        <f>IF(R936=0,"",COUNTIF(A$13:A935,"&gt;0")+1)</f>
        <v/>
      </c>
      <c r="B936" s="4"/>
      <c r="C936" s="5" t="s">
        <v>44</v>
      </c>
      <c r="D936" s="7" t="s">
        <v>954</v>
      </c>
      <c r="E936" s="31"/>
      <c r="F936" s="31"/>
      <c r="G936" s="6" t="s">
        <v>955</v>
      </c>
      <c r="H936" s="7">
        <f>VLOOKUP(D936,A!B$1:L$1126,8,FALSE)</f>
        <v>0</v>
      </c>
      <c r="I936" s="31">
        <f>VLOOKUP(D936,A!B$1:L$1126,8,FALSE)</f>
        <v>0</v>
      </c>
      <c r="J936" s="92"/>
      <c r="K936" s="63" t="str">
        <f>VLOOKUP(D936,A!B$1:P$1126,11,FALSE)</f>
        <v/>
      </c>
      <c r="L936" s="162"/>
      <c r="M936" s="43" t="s">
        <v>956</v>
      </c>
      <c r="N936" s="94">
        <f>VLOOKUP(D936,A!B$1:L$1125,7,FALSE)</f>
        <v>0</v>
      </c>
      <c r="O936" s="94">
        <f>VLOOKUP(D936,A!B$1:P$1126,9,FALSE)</f>
        <v>0</v>
      </c>
      <c r="P936" s="10">
        <v>6</v>
      </c>
      <c r="Q936" s="10">
        <v>5.95</v>
      </c>
      <c r="R936" s="10">
        <f t="shared" si="134"/>
        <v>0</v>
      </c>
      <c r="S936" s="10">
        <f t="shared" si="135"/>
        <v>0</v>
      </c>
      <c r="T936" s="29" t="s">
        <v>97</v>
      </c>
      <c r="U936" s="115">
        <v>0.35</v>
      </c>
      <c r="V936" s="10">
        <f>VLOOKUP(D936,A!B$1:T$1125,17,FALSE)</f>
        <v>0</v>
      </c>
      <c r="W936" s="10">
        <f t="shared" si="136"/>
        <v>0</v>
      </c>
      <c r="X936" s="29"/>
      <c r="Y936" s="29"/>
      <c r="Z936" s="29"/>
      <c r="AA936" s="29"/>
    </row>
    <row r="937" spans="1:27" s="3" customFormat="1" ht="13.5" hidden="1" customHeight="1" x14ac:dyDescent="0.25">
      <c r="A937" t="str">
        <f>IF(R937=0,"",COUNTIF(A$13:A936,"&gt;0")+1)</f>
        <v/>
      </c>
      <c r="B937" s="4"/>
      <c r="C937" s="5" t="s">
        <v>44</v>
      </c>
      <c r="D937" s="7" t="s">
        <v>957</v>
      </c>
      <c r="E937" s="31"/>
      <c r="F937" s="31"/>
      <c r="G937" s="6" t="s">
        <v>958</v>
      </c>
      <c r="H937" s="7">
        <f>VLOOKUP(D937,A!B$1:L$1126,8,FALSE)</f>
        <v>0</v>
      </c>
      <c r="I937" s="31">
        <f>VLOOKUP(D937,A!B$1:L$1126,8,FALSE)</f>
        <v>0</v>
      </c>
      <c r="J937" s="92"/>
      <c r="K937" s="63" t="str">
        <f>VLOOKUP(D937,A!B$1:P$1126,11,FALSE)</f>
        <v/>
      </c>
      <c r="L937" s="162"/>
      <c r="M937" s="43" t="s">
        <v>959</v>
      </c>
      <c r="N937" s="94">
        <f>VLOOKUP(D937,A!B$1:L$1125,7,FALSE)</f>
        <v>0</v>
      </c>
      <c r="O937" s="94">
        <f>VLOOKUP(D937,A!B$1:P$1126,9,FALSE)</f>
        <v>0</v>
      </c>
      <c r="P937" s="10">
        <v>6</v>
      </c>
      <c r="Q937" s="10">
        <v>5.95</v>
      </c>
      <c r="R937" s="10">
        <f t="shared" si="134"/>
        <v>0</v>
      </c>
      <c r="S937" s="10">
        <f t="shared" si="135"/>
        <v>0</v>
      </c>
      <c r="T937" s="29" t="s">
        <v>97</v>
      </c>
      <c r="U937" s="115">
        <v>0.35</v>
      </c>
      <c r="V937" s="10">
        <f>VLOOKUP(D937,A!B$1:T$1125,17,FALSE)</f>
        <v>0</v>
      </c>
      <c r="W937" s="10">
        <f t="shared" si="136"/>
        <v>0</v>
      </c>
      <c r="X937" s="29"/>
      <c r="Y937" s="29"/>
      <c r="Z937" s="29"/>
      <c r="AA937" s="29"/>
    </row>
    <row r="938" spans="1:27" s="3" customFormat="1" ht="13.5" hidden="1" customHeight="1" x14ac:dyDescent="0.25">
      <c r="A938" t="str">
        <f>IF(R938=0,"",COUNTIF(A$13:A937,"&gt;0")+1)</f>
        <v/>
      </c>
      <c r="B938" s="4"/>
      <c r="C938" s="5" t="s">
        <v>44</v>
      </c>
      <c r="D938" s="7" t="s">
        <v>960</v>
      </c>
      <c r="E938" s="31"/>
      <c r="F938" s="31"/>
      <c r="G938" s="6" t="s">
        <v>961</v>
      </c>
      <c r="H938" s="7">
        <f>VLOOKUP(D938,A!B$1:L$1126,8,FALSE)</f>
        <v>0</v>
      </c>
      <c r="I938" s="31">
        <f>VLOOKUP(D938,A!B$1:L$1126,8,FALSE)</f>
        <v>0</v>
      </c>
      <c r="J938" s="92"/>
      <c r="K938" s="63" t="str">
        <f>VLOOKUP(D938,A!B$1:P$1126,11,FALSE)</f>
        <v/>
      </c>
      <c r="L938" s="162"/>
      <c r="M938" s="43" t="s">
        <v>962</v>
      </c>
      <c r="N938" s="94">
        <f>VLOOKUP(D938,A!B$1:L$1125,7,FALSE)</f>
        <v>0</v>
      </c>
      <c r="O938" s="94">
        <f>VLOOKUP(D938,A!B$1:P$1126,9,FALSE)</f>
        <v>0</v>
      </c>
      <c r="P938" s="10">
        <v>6</v>
      </c>
      <c r="Q938" s="10">
        <v>5.95</v>
      </c>
      <c r="R938" s="10">
        <f t="shared" si="134"/>
        <v>0</v>
      </c>
      <c r="S938" s="10">
        <f t="shared" si="135"/>
        <v>0</v>
      </c>
      <c r="T938" s="29" t="s">
        <v>97</v>
      </c>
      <c r="U938" s="115">
        <v>0.35</v>
      </c>
      <c r="V938" s="10">
        <f>VLOOKUP(D938,A!B$1:T$1125,17,FALSE)</f>
        <v>0</v>
      </c>
      <c r="W938" s="10">
        <f t="shared" si="136"/>
        <v>0</v>
      </c>
      <c r="X938" s="29"/>
      <c r="Y938" s="29"/>
      <c r="Z938" s="29"/>
      <c r="AA938" s="29"/>
    </row>
    <row r="939" spans="1:27" s="3" customFormat="1" ht="13.5" hidden="1" customHeight="1" x14ac:dyDescent="0.25">
      <c r="A939" t="str">
        <f>IF(R939=0,"",COUNTIF(A$13:A938,"&gt;0")+1)</f>
        <v/>
      </c>
      <c r="B939" s="4"/>
      <c r="C939" s="5" t="s">
        <v>44</v>
      </c>
      <c r="D939" s="7" t="s">
        <v>222</v>
      </c>
      <c r="E939" s="31"/>
      <c r="F939" s="31"/>
      <c r="G939" s="6" t="s">
        <v>223</v>
      </c>
      <c r="H939" s="7">
        <f>VLOOKUP(D939,A!B$1:L$1126,8,FALSE)</f>
        <v>0</v>
      </c>
      <c r="I939" s="31">
        <f>VLOOKUP(D939,A!B$1:L$1126,8,FALSE)</f>
        <v>0</v>
      </c>
      <c r="J939" s="92"/>
      <c r="K939" s="63" t="str">
        <f>VLOOKUP(D939,A!B$1:P$1126,11,FALSE)</f>
        <v/>
      </c>
      <c r="L939" s="162"/>
      <c r="M939" s="41" t="s">
        <v>224</v>
      </c>
      <c r="N939" s="94">
        <f>VLOOKUP(D939,A!B$1:L$1125,7,FALSE)</f>
        <v>0</v>
      </c>
      <c r="O939" s="94">
        <f>VLOOKUP(D939,A!B$1:P$1126,9,FALSE)</f>
        <v>0</v>
      </c>
      <c r="P939" s="10">
        <v>6</v>
      </c>
      <c r="Q939" s="10">
        <v>5.95</v>
      </c>
      <c r="R939" s="10">
        <f t="shared" si="134"/>
        <v>0</v>
      </c>
      <c r="S939" s="10">
        <f t="shared" si="135"/>
        <v>0</v>
      </c>
      <c r="T939" s="29" t="s">
        <v>97</v>
      </c>
      <c r="U939" s="115">
        <v>0.35</v>
      </c>
      <c r="V939" s="10">
        <f>VLOOKUP(D939,A!B$1:T$1125,17,FALSE)</f>
        <v>0</v>
      </c>
      <c r="W939" s="10">
        <f t="shared" si="136"/>
        <v>0</v>
      </c>
      <c r="X939" s="29"/>
      <c r="Y939" s="29"/>
      <c r="Z939" s="29"/>
      <c r="AA939" s="29"/>
    </row>
    <row r="940" spans="1:27" s="3" customFormat="1" ht="13.5" hidden="1" customHeight="1" x14ac:dyDescent="0.25">
      <c r="A940" t="str">
        <f>IF(R940=0,"",COUNTIF(A$13:A939,"&gt;0")+1)</f>
        <v/>
      </c>
      <c r="B940" s="4"/>
      <c r="C940" s="5" t="s">
        <v>44</v>
      </c>
      <c r="D940" s="7" t="s">
        <v>963</v>
      </c>
      <c r="E940" s="31"/>
      <c r="F940" s="31"/>
      <c r="G940" s="6" t="s">
        <v>964</v>
      </c>
      <c r="H940" s="7">
        <f>VLOOKUP(D940,A!B$1:L$1126,8,FALSE)</f>
        <v>0</v>
      </c>
      <c r="I940" s="31">
        <f>VLOOKUP(D940,A!B$1:L$1126,8,FALSE)</f>
        <v>0</v>
      </c>
      <c r="J940" s="92"/>
      <c r="K940" s="63" t="str">
        <f>VLOOKUP(D940,A!B$1:P$1126,11,FALSE)</f>
        <v/>
      </c>
      <c r="L940" s="162"/>
      <c r="M940" s="40" t="s">
        <v>965</v>
      </c>
      <c r="N940" s="94">
        <f>VLOOKUP(D940,A!B$1:L$1125,7,FALSE)</f>
        <v>0</v>
      </c>
      <c r="O940" s="94">
        <f>VLOOKUP(D940,A!B$1:P$1126,9,FALSE)</f>
        <v>0</v>
      </c>
      <c r="P940" s="10">
        <v>6</v>
      </c>
      <c r="Q940" s="10">
        <v>5.95</v>
      </c>
      <c r="R940" s="10">
        <f t="shared" si="134"/>
        <v>0</v>
      </c>
      <c r="S940" s="10">
        <f t="shared" si="135"/>
        <v>0</v>
      </c>
      <c r="T940" s="29" t="s">
        <v>97</v>
      </c>
      <c r="U940" s="115">
        <v>0.35</v>
      </c>
      <c r="V940" s="10">
        <f>VLOOKUP(D940,A!B$1:T$1125,17,FALSE)</f>
        <v>0</v>
      </c>
      <c r="W940" s="10">
        <f t="shared" si="136"/>
        <v>0</v>
      </c>
      <c r="X940" s="29"/>
      <c r="Y940" s="29"/>
      <c r="Z940" s="29"/>
      <c r="AA940" s="29"/>
    </row>
    <row r="941" spans="1:27" s="3" customFormat="1" ht="13.5" hidden="1" customHeight="1" x14ac:dyDescent="0.25">
      <c r="A941" t="str">
        <f>IF(R941=0,"",COUNTIF(A$13:A940,"&gt;0")+1)</f>
        <v/>
      </c>
      <c r="B941" s="4"/>
      <c r="C941" s="5" t="s">
        <v>44</v>
      </c>
      <c r="D941" s="81" t="s">
        <v>194</v>
      </c>
      <c r="E941" s="91"/>
      <c r="F941" s="91"/>
      <c r="G941" s="95" t="s">
        <v>316</v>
      </c>
      <c r="H941" s="7">
        <f>VLOOKUP(D941,A!B$1:L$1126,8,FALSE)</f>
        <v>0</v>
      </c>
      <c r="I941" s="31">
        <f>VLOOKUP(D941,A!B$1:L$1126,8,FALSE)</f>
        <v>0</v>
      </c>
      <c r="J941" s="92"/>
      <c r="K941" s="63" t="str">
        <f>VLOOKUP(D941,A!B$1:P$1126,11,FALSE)</f>
        <v/>
      </c>
      <c r="L941" s="2"/>
      <c r="M941" s="41" t="s">
        <v>196</v>
      </c>
      <c r="N941" s="94">
        <f>VLOOKUP(D941,A!B$1:L$1125,7,FALSE)</f>
        <v>0</v>
      </c>
      <c r="O941" s="94">
        <f>VLOOKUP(D941,A!B$1:P$1126,9,FALSE)</f>
        <v>0</v>
      </c>
      <c r="P941" s="10">
        <v>6</v>
      </c>
      <c r="Q941" s="151">
        <v>4.95</v>
      </c>
      <c r="R941" s="10">
        <f t="shared" ref="R941:R977" si="137">B941*P941</f>
        <v>0</v>
      </c>
      <c r="S941" s="10">
        <f t="shared" ref="S941:S977" si="138">R941*Q941</f>
        <v>0</v>
      </c>
      <c r="T941" s="29" t="s">
        <v>97</v>
      </c>
      <c r="U941" s="115">
        <v>0.35</v>
      </c>
      <c r="V941" s="10">
        <f>VLOOKUP(D941,A!B$1:T$1125,17,FALSE)</f>
        <v>0</v>
      </c>
      <c r="W941" s="10">
        <f t="shared" ref="W941:W977" si="139">U941*B941</f>
        <v>0</v>
      </c>
      <c r="X941" s="30"/>
      <c r="Y941" s="29"/>
      <c r="Z941" s="29"/>
      <c r="AA941" s="29"/>
    </row>
    <row r="942" spans="1:27" s="3" customFormat="1" ht="13.5" hidden="1" customHeight="1" x14ac:dyDescent="0.25">
      <c r="A942" t="str">
        <f>IF(R942=0,"",COUNTIF(A$13:A941,"&gt;0")+1)</f>
        <v/>
      </c>
      <c r="B942" s="4"/>
      <c r="C942" s="5" t="s">
        <v>44</v>
      </c>
      <c r="D942" s="7" t="s">
        <v>966</v>
      </c>
      <c r="E942" s="31"/>
      <c r="F942" s="31"/>
      <c r="G942" s="6" t="s">
        <v>967</v>
      </c>
      <c r="H942" s="7">
        <f>VLOOKUP(D942,A!B$1:L$1126,8,FALSE)</f>
        <v>0</v>
      </c>
      <c r="I942" s="31">
        <f>VLOOKUP(D942,A!B$1:L$1126,8,FALSE)</f>
        <v>0</v>
      </c>
      <c r="J942" s="92"/>
      <c r="K942" s="63" t="str">
        <f>VLOOKUP(D942,A!B$1:P$1126,11,FALSE)</f>
        <v/>
      </c>
      <c r="L942" s="162"/>
      <c r="M942" s="43" t="s">
        <v>968</v>
      </c>
      <c r="N942" s="94">
        <f>VLOOKUP(D942,A!B$1:L$1125,7,FALSE)</f>
        <v>0</v>
      </c>
      <c r="O942" s="94">
        <f>VLOOKUP(D942,A!B$1:P$1126,9,FALSE)</f>
        <v>0</v>
      </c>
      <c r="P942" s="10">
        <v>6</v>
      </c>
      <c r="Q942" s="10">
        <v>5.95</v>
      </c>
      <c r="R942" s="10">
        <f t="shared" si="137"/>
        <v>0</v>
      </c>
      <c r="S942" s="10">
        <f t="shared" si="138"/>
        <v>0</v>
      </c>
      <c r="T942" s="29" t="s">
        <v>97</v>
      </c>
      <c r="U942" s="115">
        <v>0.35</v>
      </c>
      <c r="V942" s="10">
        <f>VLOOKUP(D942,A!B$1:T$1125,17,FALSE)</f>
        <v>0</v>
      </c>
      <c r="W942" s="10">
        <f t="shared" si="139"/>
        <v>0</v>
      </c>
      <c r="X942" s="29"/>
      <c r="Y942" s="29"/>
      <c r="Z942" s="29"/>
      <c r="AA942" s="29"/>
    </row>
    <row r="943" spans="1:27" s="3" customFormat="1" ht="13.5" hidden="1" customHeight="1" x14ac:dyDescent="0.25">
      <c r="A943" t="str">
        <f>IF(R943=0,"",COUNTIF(A$13:A942,"&gt;0")+1)</f>
        <v/>
      </c>
      <c r="B943" s="4"/>
      <c r="C943" s="5" t="s">
        <v>44</v>
      </c>
      <c r="D943" s="7" t="s">
        <v>969</v>
      </c>
      <c r="E943" s="31"/>
      <c r="F943" s="31"/>
      <c r="G943" s="6" t="s">
        <v>970</v>
      </c>
      <c r="H943" s="7">
        <f>VLOOKUP(D943,A!B$1:L$1126,8,FALSE)</f>
        <v>0</v>
      </c>
      <c r="I943" s="31">
        <f>VLOOKUP(D943,A!B$1:L$1126,8,FALSE)</f>
        <v>0</v>
      </c>
      <c r="J943" s="92"/>
      <c r="K943" s="63" t="str">
        <f>VLOOKUP(D943,A!B$1:P$1126,11,FALSE)</f>
        <v/>
      </c>
      <c r="L943" s="162"/>
      <c r="M943" s="43" t="s">
        <v>754</v>
      </c>
      <c r="N943" s="94">
        <f>VLOOKUP(D943,A!B$1:L$1125,7,FALSE)</f>
        <v>0</v>
      </c>
      <c r="O943" s="94">
        <f>VLOOKUP(D943,A!B$1:P$1126,9,FALSE)</f>
        <v>0</v>
      </c>
      <c r="P943" s="10">
        <v>6</v>
      </c>
      <c r="Q943" s="10">
        <v>5.95</v>
      </c>
      <c r="R943" s="10">
        <f t="shared" si="137"/>
        <v>0</v>
      </c>
      <c r="S943" s="10">
        <f t="shared" si="138"/>
        <v>0</v>
      </c>
      <c r="T943" s="29" t="s">
        <v>97</v>
      </c>
      <c r="U943" s="115">
        <v>0.35</v>
      </c>
      <c r="V943" s="10">
        <f>VLOOKUP(D943,A!B$1:T$1125,17,FALSE)</f>
        <v>0</v>
      </c>
      <c r="W943" s="10">
        <f t="shared" si="139"/>
        <v>0</v>
      </c>
      <c r="X943" s="29"/>
      <c r="Y943" s="29"/>
      <c r="Z943" s="29"/>
      <c r="AA943" s="29"/>
    </row>
    <row r="944" spans="1:27" s="3" customFormat="1" ht="13.5" hidden="1" customHeight="1" x14ac:dyDescent="0.25">
      <c r="A944" t="str">
        <f>IF(R944=0,"",COUNTIF(A$13:A943,"&gt;0")+1)</f>
        <v/>
      </c>
      <c r="B944" s="4"/>
      <c r="C944" s="5" t="s">
        <v>44</v>
      </c>
      <c r="D944" s="7" t="s">
        <v>971</v>
      </c>
      <c r="E944" s="31"/>
      <c r="F944" s="31"/>
      <c r="G944" s="6" t="s">
        <v>972</v>
      </c>
      <c r="H944" s="7">
        <f>VLOOKUP(D944,A!B$1:L$1126,8,FALSE)</f>
        <v>0</v>
      </c>
      <c r="I944" s="31">
        <f>VLOOKUP(D944,A!B$1:L$1126,8,FALSE)</f>
        <v>0</v>
      </c>
      <c r="J944" s="92"/>
      <c r="K944" s="63" t="str">
        <f>VLOOKUP(D944,A!B$1:P$1126,11,FALSE)</f>
        <v/>
      </c>
      <c r="L944" s="162"/>
      <c r="M944" s="43" t="s">
        <v>973</v>
      </c>
      <c r="N944" s="94">
        <f>VLOOKUP(D944,A!B$1:L$1125,7,FALSE)</f>
        <v>0</v>
      </c>
      <c r="O944" s="94">
        <f>VLOOKUP(D944,A!B$1:P$1126,9,FALSE)</f>
        <v>0</v>
      </c>
      <c r="P944" s="10">
        <v>6</v>
      </c>
      <c r="Q944" s="10">
        <v>5.95</v>
      </c>
      <c r="R944" s="10">
        <f t="shared" si="137"/>
        <v>0</v>
      </c>
      <c r="S944" s="10">
        <f t="shared" si="138"/>
        <v>0</v>
      </c>
      <c r="T944" s="29" t="s">
        <v>97</v>
      </c>
      <c r="U944" s="115">
        <v>0.35</v>
      </c>
      <c r="V944" s="10">
        <f>VLOOKUP(D944,A!B$1:T$1125,17,FALSE)</f>
        <v>0</v>
      </c>
      <c r="W944" s="10">
        <f t="shared" si="139"/>
        <v>0</v>
      </c>
      <c r="X944" s="29"/>
      <c r="Y944" s="29"/>
      <c r="Z944" s="29"/>
      <c r="AA944" s="29"/>
    </row>
    <row r="945" spans="1:27" s="3" customFormat="1" ht="13.5" hidden="1" customHeight="1" x14ac:dyDescent="0.25">
      <c r="A945" t="str">
        <f>IF(R945=0,"",COUNTIF(A$13:A944,"&gt;0")+1)</f>
        <v/>
      </c>
      <c r="B945" s="4"/>
      <c r="C945" s="5" t="s">
        <v>44</v>
      </c>
      <c r="D945" s="7" t="s">
        <v>974</v>
      </c>
      <c r="E945" s="31"/>
      <c r="F945" s="31"/>
      <c r="G945" s="6" t="s">
        <v>975</v>
      </c>
      <c r="H945" s="7">
        <f>VLOOKUP(D945,A!B$1:L$1126,8,FALSE)</f>
        <v>0</v>
      </c>
      <c r="I945" s="31">
        <f>VLOOKUP(D945,A!B$1:L$1126,8,FALSE)</f>
        <v>0</v>
      </c>
      <c r="J945" s="92"/>
      <c r="K945" s="63" t="str">
        <f>VLOOKUP(D945,A!B$1:P$1126,11,FALSE)</f>
        <v/>
      </c>
      <c r="L945" s="162"/>
      <c r="M945" s="43" t="s">
        <v>976</v>
      </c>
      <c r="N945" s="94">
        <f>VLOOKUP(D945,A!B$1:L$1125,7,FALSE)</f>
        <v>0</v>
      </c>
      <c r="O945" s="94">
        <f>VLOOKUP(D945,A!B$1:P$1126,9,FALSE)</f>
        <v>0</v>
      </c>
      <c r="P945" s="10">
        <v>6</v>
      </c>
      <c r="Q945" s="10">
        <v>5.95</v>
      </c>
      <c r="R945" s="10">
        <f t="shared" si="137"/>
        <v>0</v>
      </c>
      <c r="S945" s="10">
        <f t="shared" si="138"/>
        <v>0</v>
      </c>
      <c r="T945" s="29" t="s">
        <v>97</v>
      </c>
      <c r="U945" s="115">
        <v>0.35</v>
      </c>
      <c r="V945" s="10">
        <f>VLOOKUP(D945,A!B$1:T$1125,17,FALSE)</f>
        <v>0</v>
      </c>
      <c r="W945" s="10">
        <f t="shared" si="139"/>
        <v>0</v>
      </c>
      <c r="X945" s="29"/>
      <c r="Y945" s="29"/>
      <c r="Z945" s="29"/>
      <c r="AA945" s="29"/>
    </row>
    <row r="946" spans="1:27" s="3" customFormat="1" ht="13.5" hidden="1" customHeight="1" x14ac:dyDescent="0.25">
      <c r="A946" t="str">
        <f>IF(R946=0,"",COUNTIF(A$13:A945,"&gt;0")+1)</f>
        <v/>
      </c>
      <c r="B946" s="4"/>
      <c r="C946" s="5" t="s">
        <v>44</v>
      </c>
      <c r="D946" s="7" t="s">
        <v>977</v>
      </c>
      <c r="E946" s="31"/>
      <c r="F946" s="31"/>
      <c r="G946" s="6" t="s">
        <v>978</v>
      </c>
      <c r="H946" s="7">
        <f>VLOOKUP(D946,A!B$1:L$1126,8,FALSE)</f>
        <v>0</v>
      </c>
      <c r="I946" s="31">
        <f>VLOOKUP(D946,A!B$1:L$1126,8,FALSE)</f>
        <v>0</v>
      </c>
      <c r="J946" s="92"/>
      <c r="K946" s="63" t="str">
        <f>VLOOKUP(D946,A!B$1:P$1126,11,FALSE)</f>
        <v/>
      </c>
      <c r="L946" s="162"/>
      <c r="M946" s="43" t="s">
        <v>979</v>
      </c>
      <c r="N946" s="94">
        <f>VLOOKUP(D946,A!B$1:L$1125,7,FALSE)</f>
        <v>0</v>
      </c>
      <c r="O946" s="94">
        <f>VLOOKUP(D946,A!B$1:P$1126,9,FALSE)</f>
        <v>0</v>
      </c>
      <c r="P946" s="10">
        <v>6</v>
      </c>
      <c r="Q946" s="10">
        <v>5.95</v>
      </c>
      <c r="R946" s="10">
        <f t="shared" si="137"/>
        <v>0</v>
      </c>
      <c r="S946" s="10">
        <f t="shared" si="138"/>
        <v>0</v>
      </c>
      <c r="T946" s="29" t="s">
        <v>97</v>
      </c>
      <c r="U946" s="115">
        <v>0.35</v>
      </c>
      <c r="V946" s="10">
        <f>VLOOKUP(D946,A!B$1:T$1125,17,FALSE)</f>
        <v>0</v>
      </c>
      <c r="W946" s="10">
        <f t="shared" si="139"/>
        <v>0</v>
      </c>
      <c r="X946" s="29"/>
      <c r="Y946" s="29"/>
      <c r="Z946" s="29"/>
      <c r="AA946" s="29"/>
    </row>
    <row r="947" spans="1:27" s="3" customFormat="1" ht="13.5" hidden="1" customHeight="1" x14ac:dyDescent="0.25">
      <c r="A947" t="str">
        <f>IF(R947=0,"",COUNTIF(A$13:A946,"&gt;0")+1)</f>
        <v/>
      </c>
      <c r="B947" s="4"/>
      <c r="C947" s="5" t="s">
        <v>44</v>
      </c>
      <c r="D947" s="7" t="s">
        <v>980</v>
      </c>
      <c r="E947" s="31"/>
      <c r="F947" s="31"/>
      <c r="G947" s="6" t="s">
        <v>981</v>
      </c>
      <c r="H947" s="7">
        <f>VLOOKUP(D947,A!B$1:L$1126,8,FALSE)</f>
        <v>0</v>
      </c>
      <c r="I947" s="31">
        <f>VLOOKUP(D947,A!B$1:L$1126,8,FALSE)</f>
        <v>0</v>
      </c>
      <c r="J947" s="92"/>
      <c r="K947" s="63" t="str">
        <f>VLOOKUP(D947,A!B$1:P$1126,11,FALSE)</f>
        <v/>
      </c>
      <c r="L947" s="162"/>
      <c r="M947" s="43" t="s">
        <v>982</v>
      </c>
      <c r="N947" s="94">
        <f>VLOOKUP(D947,A!B$1:L$1125,7,FALSE)</f>
        <v>0</v>
      </c>
      <c r="O947" s="94">
        <f>VLOOKUP(D947,A!B$1:P$1126,9,FALSE)</f>
        <v>0</v>
      </c>
      <c r="P947" s="10">
        <v>6</v>
      </c>
      <c r="Q947" s="10">
        <v>5.95</v>
      </c>
      <c r="R947" s="10">
        <f t="shared" si="137"/>
        <v>0</v>
      </c>
      <c r="S947" s="10">
        <f t="shared" si="138"/>
        <v>0</v>
      </c>
      <c r="T947" s="29" t="s">
        <v>97</v>
      </c>
      <c r="U947" s="115">
        <v>0.35</v>
      </c>
      <c r="V947" s="10">
        <f>VLOOKUP(D947,A!B$1:T$1125,17,FALSE)</f>
        <v>0</v>
      </c>
      <c r="W947" s="10">
        <f t="shared" si="139"/>
        <v>0</v>
      </c>
      <c r="X947" s="29"/>
      <c r="Y947" s="29"/>
      <c r="Z947" s="29"/>
      <c r="AA947" s="29"/>
    </row>
    <row r="948" spans="1:27" s="3" customFormat="1" ht="13.5" hidden="1" customHeight="1" x14ac:dyDescent="0.25">
      <c r="A948" t="str">
        <f>IF(R948=0,"",COUNTIF(A$13:A947,"&gt;0")+1)</f>
        <v/>
      </c>
      <c r="B948" s="4"/>
      <c r="C948" s="5" t="s">
        <v>44</v>
      </c>
      <c r="D948" s="7" t="s">
        <v>98</v>
      </c>
      <c r="E948" s="31"/>
      <c r="F948" s="31"/>
      <c r="G948" s="6" t="s">
        <v>99</v>
      </c>
      <c r="H948" s="7">
        <f>VLOOKUP(D948,A!B$1:L$1126,8,FALSE)</f>
        <v>0</v>
      </c>
      <c r="I948" s="31">
        <f>VLOOKUP(D948,A!B$1:L$1126,8,FALSE)</f>
        <v>0</v>
      </c>
      <c r="J948" s="92"/>
      <c r="K948" s="63" t="str">
        <f>VLOOKUP(D948,A!B$1:P$1126,11,FALSE)</f>
        <v/>
      </c>
      <c r="L948" s="2"/>
      <c r="M948" s="43" t="s">
        <v>100</v>
      </c>
      <c r="N948" s="94">
        <f>VLOOKUP(D948,A!B$1:L$1125,7,FALSE)</f>
        <v>0</v>
      </c>
      <c r="O948" s="94">
        <f>VLOOKUP(D948,A!B$1:P$1126,9,FALSE)</f>
        <v>0</v>
      </c>
      <c r="P948" s="10">
        <v>6</v>
      </c>
      <c r="Q948" s="10">
        <v>5.95</v>
      </c>
      <c r="R948" s="10">
        <f t="shared" si="137"/>
        <v>0</v>
      </c>
      <c r="S948" s="10">
        <f t="shared" si="138"/>
        <v>0</v>
      </c>
      <c r="T948" s="29" t="s">
        <v>97</v>
      </c>
      <c r="U948" s="115">
        <v>0.35</v>
      </c>
      <c r="V948" s="10">
        <f>VLOOKUP(D948,A!B$1:T$1125,17,FALSE)</f>
        <v>0</v>
      </c>
      <c r="W948" s="10">
        <f t="shared" si="139"/>
        <v>0</v>
      </c>
      <c r="X948" s="30"/>
      <c r="Y948" s="29"/>
      <c r="Z948" s="29"/>
      <c r="AA948" s="29"/>
    </row>
    <row r="949" spans="1:27" s="3" customFormat="1" ht="13.5" hidden="1" customHeight="1" x14ac:dyDescent="0.25">
      <c r="A949" t="str">
        <f>IF(R949=0,"",COUNTIF(A$13:A948,"&gt;0")+1)</f>
        <v/>
      </c>
      <c r="B949" s="4"/>
      <c r="C949" s="5" t="s">
        <v>44</v>
      </c>
      <c r="D949" s="7" t="s">
        <v>983</v>
      </c>
      <c r="E949" s="31"/>
      <c r="F949" s="31"/>
      <c r="G949" s="6" t="s">
        <v>984</v>
      </c>
      <c r="H949" s="7">
        <f>VLOOKUP(D949,A!B$1:L$1126,8,FALSE)</f>
        <v>0</v>
      </c>
      <c r="I949" s="31">
        <f>VLOOKUP(D949,A!B$1:L$1126,8,FALSE)</f>
        <v>0</v>
      </c>
      <c r="J949" s="92"/>
      <c r="K949" s="63" t="str">
        <f>VLOOKUP(D949,A!B$1:P$1126,11,FALSE)</f>
        <v/>
      </c>
      <c r="L949" s="162"/>
      <c r="M949" s="43" t="s">
        <v>985</v>
      </c>
      <c r="N949" s="94">
        <f>VLOOKUP(D949,A!B$1:L$1125,7,FALSE)</f>
        <v>0</v>
      </c>
      <c r="O949" s="94">
        <f>VLOOKUP(D949,A!B$1:P$1126,9,FALSE)</f>
        <v>0</v>
      </c>
      <c r="P949" s="10">
        <v>6</v>
      </c>
      <c r="Q949" s="10">
        <v>5.95</v>
      </c>
      <c r="R949" s="10">
        <f t="shared" si="137"/>
        <v>0</v>
      </c>
      <c r="S949" s="10">
        <f t="shared" si="138"/>
        <v>0</v>
      </c>
      <c r="T949" s="29" t="s">
        <v>97</v>
      </c>
      <c r="U949" s="115">
        <v>0.35</v>
      </c>
      <c r="V949" s="10">
        <f>VLOOKUP(D949,A!B$1:T$1125,17,FALSE)</f>
        <v>0</v>
      </c>
      <c r="W949" s="10">
        <f t="shared" si="139"/>
        <v>0</v>
      </c>
      <c r="X949" s="29"/>
      <c r="Y949" s="29"/>
      <c r="Z949" s="29"/>
      <c r="AA949" s="29"/>
    </row>
    <row r="950" spans="1:27" s="3" customFormat="1" ht="13.5" customHeight="1" x14ac:dyDescent="0.25">
      <c r="A950" t="str">
        <f>IF(R950=0,"",COUNTIF(A$13:A949,"&gt;0")+1)</f>
        <v/>
      </c>
      <c r="B950" s="4"/>
      <c r="C950" s="5" t="s">
        <v>44</v>
      </c>
      <c r="D950" s="7" t="s">
        <v>219</v>
      </c>
      <c r="E950" s="31"/>
      <c r="F950" s="31"/>
      <c r="G950" s="6" t="s">
        <v>220</v>
      </c>
      <c r="H950" s="7">
        <f>VLOOKUP(D950,A!B$1:L$1126,8,FALSE)</f>
        <v>2</v>
      </c>
      <c r="I950" s="31">
        <f>VLOOKUP(D950,A!B$1:L$1126,8,FALSE)</f>
        <v>2</v>
      </c>
      <c r="J950" s="92"/>
      <c r="K950" s="63" t="str">
        <f>VLOOKUP(D950,A!B$1:P$1126,11,FALSE)</f>
        <v/>
      </c>
      <c r="L950" s="162"/>
      <c r="M950" s="43" t="s">
        <v>221</v>
      </c>
      <c r="N950" s="94" t="str">
        <f>VLOOKUP(D950,A!B$1:L$1125,7,FALSE)</f>
        <v>y</v>
      </c>
      <c r="O950" s="94">
        <f>VLOOKUP(D950,A!B$1:P$1126,9,FALSE)</f>
        <v>0</v>
      </c>
      <c r="P950" s="10"/>
      <c r="Q950" s="10"/>
      <c r="R950" s="10"/>
      <c r="S950" s="10"/>
      <c r="T950" s="29"/>
      <c r="U950" s="115"/>
      <c r="V950" s="10"/>
      <c r="W950" s="10"/>
      <c r="X950" s="29"/>
      <c r="Y950" s="29"/>
      <c r="Z950" s="29"/>
      <c r="AA950" s="29"/>
    </row>
    <row r="951" spans="1:27" s="3" customFormat="1" ht="13.5" hidden="1" customHeight="1" x14ac:dyDescent="0.25">
      <c r="A951" t="str">
        <f>IF(R951=0,"",COUNTIF(A$13:A950,"&gt;0")+1)</f>
        <v/>
      </c>
      <c r="B951" s="4"/>
      <c r="C951" s="5" t="s">
        <v>44</v>
      </c>
      <c r="D951" s="7" t="s">
        <v>986</v>
      </c>
      <c r="E951" s="31"/>
      <c r="F951" s="31"/>
      <c r="G951" s="6" t="s">
        <v>987</v>
      </c>
      <c r="H951" s="7">
        <f>VLOOKUP(D951,A!B$1:L$1126,8,FALSE)</f>
        <v>0</v>
      </c>
      <c r="I951" s="31">
        <f>VLOOKUP(D951,A!B$1:L$1126,8,FALSE)</f>
        <v>0</v>
      </c>
      <c r="J951" s="92"/>
      <c r="K951" s="63" t="str">
        <f>VLOOKUP(D951,A!B$1:P$1126,11,FALSE)</f>
        <v/>
      </c>
      <c r="L951" s="162"/>
      <c r="M951" s="43" t="s">
        <v>988</v>
      </c>
      <c r="N951" s="94">
        <f>VLOOKUP(D951,A!B$1:L$1125,7,FALSE)</f>
        <v>0</v>
      </c>
      <c r="O951" s="94">
        <f>VLOOKUP(D951,A!B$1:P$1126,9,FALSE)</f>
        <v>0</v>
      </c>
      <c r="P951" s="10">
        <v>6</v>
      </c>
      <c r="Q951" s="10">
        <v>5.95</v>
      </c>
      <c r="R951" s="10">
        <f t="shared" si="137"/>
        <v>0</v>
      </c>
      <c r="S951" s="10">
        <f t="shared" si="138"/>
        <v>0</v>
      </c>
      <c r="T951" s="29" t="s">
        <v>97</v>
      </c>
      <c r="U951" s="115">
        <v>0.35</v>
      </c>
      <c r="V951" s="10">
        <f>VLOOKUP(D951,A!B$1:T$1125,17,FALSE)</f>
        <v>0</v>
      </c>
      <c r="W951" s="10">
        <f t="shared" si="139"/>
        <v>0</v>
      </c>
      <c r="X951" s="29"/>
      <c r="Y951" s="29"/>
      <c r="Z951" s="29"/>
      <c r="AA951" s="29"/>
    </row>
    <row r="952" spans="1:27" s="3" customFormat="1" ht="13.5" hidden="1" customHeight="1" x14ac:dyDescent="0.25">
      <c r="A952" t="str">
        <f>IF(R952=0,"",COUNTIF(A$13:A951,"&gt;0")+1)</f>
        <v/>
      </c>
      <c r="B952" s="4"/>
      <c r="C952" s="5" t="s">
        <v>44</v>
      </c>
      <c r="D952" s="7" t="s">
        <v>989</v>
      </c>
      <c r="E952" s="31"/>
      <c r="F952" s="31"/>
      <c r="G952" s="6" t="s">
        <v>990</v>
      </c>
      <c r="H952" s="7">
        <f>VLOOKUP(D952,A!B$1:L$1126,8,FALSE)</f>
        <v>0</v>
      </c>
      <c r="I952" s="31">
        <f>VLOOKUP(D952,A!B$1:L$1126,8,FALSE)</f>
        <v>0</v>
      </c>
      <c r="J952" s="92"/>
      <c r="K952" s="63" t="str">
        <f>VLOOKUP(D952,A!B$1:P$1126,11,FALSE)</f>
        <v/>
      </c>
      <c r="L952" s="162"/>
      <c r="M952" s="41" t="s">
        <v>991</v>
      </c>
      <c r="N952" s="94">
        <f>VLOOKUP(D952,A!B$1:L$1125,7,FALSE)</f>
        <v>0</v>
      </c>
      <c r="O952" s="94">
        <f>VLOOKUP(D952,A!B$1:P$1126,9,FALSE)</f>
        <v>0</v>
      </c>
      <c r="P952" s="10">
        <v>6</v>
      </c>
      <c r="Q952" s="10">
        <v>5.95</v>
      </c>
      <c r="R952" s="10">
        <f t="shared" si="137"/>
        <v>0</v>
      </c>
      <c r="S952" s="10">
        <f t="shared" si="138"/>
        <v>0</v>
      </c>
      <c r="T952" s="29" t="s">
        <v>97</v>
      </c>
      <c r="U952" s="115">
        <v>0.35</v>
      </c>
      <c r="V952" s="10">
        <f>VLOOKUP(D952,A!B$1:T$1125,17,FALSE)</f>
        <v>0</v>
      </c>
      <c r="W952" s="10">
        <f t="shared" si="139"/>
        <v>0</v>
      </c>
      <c r="X952" s="29"/>
      <c r="Y952" s="29"/>
      <c r="Z952" s="29"/>
      <c r="AA952" s="29"/>
    </row>
    <row r="953" spans="1:27" s="3" customFormat="1" ht="13.5" customHeight="1" x14ac:dyDescent="0.25">
      <c r="A953" t="str">
        <f>IF(R953=0,"",COUNTIF(A$13:A952,"&gt;0")+1)</f>
        <v/>
      </c>
      <c r="B953" s="4"/>
      <c r="C953" s="5" t="s">
        <v>44</v>
      </c>
      <c r="D953" s="7" t="s">
        <v>45</v>
      </c>
      <c r="E953" s="31"/>
      <c r="F953" s="31"/>
      <c r="G953" s="6" t="s">
        <v>46</v>
      </c>
      <c r="H953" s="7">
        <f>VLOOKUP(D953,A!B$1:L$1126,8,FALSE)</f>
        <v>1</v>
      </c>
      <c r="I953" s="31">
        <f>VLOOKUP(D953,A!B$1:L$1126,8,FALSE)</f>
        <v>1</v>
      </c>
      <c r="J953" s="92"/>
      <c r="K953" s="63" t="str">
        <f>VLOOKUP(D953,A!B$1:P$1126,11,FALSE)</f>
        <v/>
      </c>
      <c r="L953" s="2"/>
      <c r="M953" s="41" t="s">
        <v>47</v>
      </c>
      <c r="N953" s="94" t="str">
        <f>VLOOKUP(D953,A!B$1:L$1125,7,FALSE)</f>
        <v>y</v>
      </c>
      <c r="O953" s="94">
        <f>VLOOKUP(D953,A!B$1:P$1126,9,FALSE)</f>
        <v>0</v>
      </c>
      <c r="P953" s="10">
        <v>6</v>
      </c>
      <c r="Q953" s="10">
        <v>5.95</v>
      </c>
      <c r="R953" s="10">
        <f t="shared" si="137"/>
        <v>0</v>
      </c>
      <c r="S953" s="10">
        <f t="shared" si="138"/>
        <v>0</v>
      </c>
      <c r="T953" s="29" t="s">
        <v>97</v>
      </c>
      <c r="U953" s="115">
        <v>0.35</v>
      </c>
      <c r="V953" s="10">
        <f>VLOOKUP(D953,A!B$1:T$1125,17,FALSE)</f>
        <v>0</v>
      </c>
      <c r="W953" s="10">
        <f t="shared" si="139"/>
        <v>0</v>
      </c>
      <c r="X953" s="29"/>
      <c r="Y953" s="29"/>
      <c r="Z953" s="29"/>
      <c r="AA953" s="29"/>
    </row>
    <row r="954" spans="1:27" s="3" customFormat="1" ht="13.5" hidden="1" customHeight="1" x14ac:dyDescent="0.25">
      <c r="A954" t="str">
        <f>IF(R954=0,"",COUNTIF(A$13:A953,"&gt;0")+1)</f>
        <v/>
      </c>
      <c r="B954" s="4"/>
      <c r="C954" s="5" t="s">
        <v>44</v>
      </c>
      <c r="D954" s="7" t="s">
        <v>992</v>
      </c>
      <c r="E954" s="31"/>
      <c r="F954" s="31"/>
      <c r="G954" s="6" t="s">
        <v>993</v>
      </c>
      <c r="H954" s="7">
        <f>VLOOKUP(D954,A!B$1:L$1126,8,FALSE)</f>
        <v>0</v>
      </c>
      <c r="I954" s="31">
        <f>VLOOKUP(D954,A!B$1:L$1126,8,FALSE)</f>
        <v>0</v>
      </c>
      <c r="J954" s="92"/>
      <c r="K954" s="63" t="str">
        <f>VLOOKUP(D954,A!B$1:P$1126,11,FALSE)</f>
        <v/>
      </c>
      <c r="L954" s="162"/>
      <c r="M954" s="41" t="s">
        <v>994</v>
      </c>
      <c r="N954" s="94">
        <f>VLOOKUP(D954,A!B$1:L$1125,7,FALSE)</f>
        <v>0</v>
      </c>
      <c r="O954" s="94">
        <f>VLOOKUP(D954,A!B$1:P$1126,9,FALSE)</f>
        <v>0</v>
      </c>
      <c r="P954" s="10">
        <v>6</v>
      </c>
      <c r="Q954" s="10">
        <v>5.95</v>
      </c>
      <c r="R954" s="10">
        <f t="shared" si="137"/>
        <v>0</v>
      </c>
      <c r="S954" s="10">
        <f t="shared" si="138"/>
        <v>0</v>
      </c>
      <c r="T954" s="29" t="s">
        <v>97</v>
      </c>
      <c r="U954" s="115">
        <v>0.35</v>
      </c>
      <c r="V954" s="10">
        <f>VLOOKUP(D954,A!B$1:T$1125,17,FALSE)</f>
        <v>0</v>
      </c>
      <c r="W954" s="10">
        <f t="shared" si="139"/>
        <v>0</v>
      </c>
      <c r="X954" s="29"/>
      <c r="Y954" s="29"/>
      <c r="Z954" s="29"/>
      <c r="AA954" s="29"/>
    </row>
    <row r="955" spans="1:27" s="3" customFormat="1" ht="13.5" hidden="1" customHeight="1" x14ac:dyDescent="0.25">
      <c r="A955" t="str">
        <f>IF(R955=0,"",COUNTIF(A$13:A954,"&gt;0")+1)</f>
        <v/>
      </c>
      <c r="B955" s="4"/>
      <c r="C955" s="5" t="s">
        <v>44</v>
      </c>
      <c r="D955" s="172" t="s">
        <v>998</v>
      </c>
      <c r="E955" s="173"/>
      <c r="F955" s="173"/>
      <c r="G955" s="6" t="s">
        <v>996</v>
      </c>
      <c r="H955" s="7">
        <f>VLOOKUP(D955,A!B$1:L$1126,8,FALSE)</f>
        <v>0</v>
      </c>
      <c r="I955" s="31">
        <f>VLOOKUP(D955,A!B$1:L$1126,8,FALSE)</f>
        <v>0</v>
      </c>
      <c r="J955" s="92"/>
      <c r="K955" s="63" t="str">
        <f>VLOOKUP(D955,A!B$1:P$1126,11,FALSE)</f>
        <v/>
      </c>
      <c r="L955" s="162"/>
      <c r="M955" s="41" t="s">
        <v>999</v>
      </c>
      <c r="N955" s="94">
        <f>VLOOKUP(D955,A!B$1:L$1125,7,FALSE)</f>
        <v>0</v>
      </c>
      <c r="O955" s="94">
        <f>VLOOKUP(D955,A!B$1:P$1126,9,FALSE)</f>
        <v>0</v>
      </c>
      <c r="P955" s="10">
        <v>6</v>
      </c>
      <c r="Q955" s="10">
        <v>5.95</v>
      </c>
      <c r="R955" s="10">
        <f t="shared" si="137"/>
        <v>0</v>
      </c>
      <c r="S955" s="10">
        <f t="shared" si="138"/>
        <v>0</v>
      </c>
      <c r="T955" s="29" t="s">
        <v>97</v>
      </c>
      <c r="U955" s="115">
        <v>0.35</v>
      </c>
      <c r="V955" s="10">
        <f>VLOOKUP(D955,A!B$1:T$1125,17,FALSE)</f>
        <v>0</v>
      </c>
      <c r="W955" s="10">
        <f t="shared" si="139"/>
        <v>0</v>
      </c>
      <c r="X955" s="29"/>
      <c r="Y955" s="29"/>
      <c r="Z955" s="29"/>
      <c r="AA955" s="29"/>
    </row>
    <row r="956" spans="1:27" s="3" customFormat="1" ht="13.5" hidden="1" customHeight="1" x14ac:dyDescent="0.25">
      <c r="A956" t="str">
        <f>IF(R956=0,"",COUNTIF(A$13:A955,"&gt;0")+1)</f>
        <v/>
      </c>
      <c r="B956" s="4"/>
      <c r="C956" s="5" t="s">
        <v>44</v>
      </c>
      <c r="D956" s="7" t="s">
        <v>1000</v>
      </c>
      <c r="E956" s="31"/>
      <c r="F956" s="31"/>
      <c r="G956" s="6" t="s">
        <v>1001</v>
      </c>
      <c r="H956" s="7">
        <f>VLOOKUP(D956,A!B$1:L$1126,8,FALSE)</f>
        <v>0</v>
      </c>
      <c r="I956" s="31">
        <f>VLOOKUP(D956,A!B$1:L$1126,8,FALSE)</f>
        <v>0</v>
      </c>
      <c r="J956" s="92"/>
      <c r="K956" s="63" t="str">
        <f>VLOOKUP(D956,A!B$1:P$1126,11,FALSE)</f>
        <v/>
      </c>
      <c r="L956" s="162"/>
      <c r="M956" s="43" t="s">
        <v>1002</v>
      </c>
      <c r="N956" s="94">
        <f>VLOOKUP(D956,A!B$1:L$1125,7,FALSE)</f>
        <v>0</v>
      </c>
      <c r="O956" s="94">
        <f>VLOOKUP(D956,A!B$1:P$1126,9,FALSE)</f>
        <v>0</v>
      </c>
      <c r="P956" s="10">
        <v>6</v>
      </c>
      <c r="Q956" s="10">
        <v>5.95</v>
      </c>
      <c r="R956" s="10">
        <f t="shared" si="137"/>
        <v>0</v>
      </c>
      <c r="S956" s="10">
        <f t="shared" si="138"/>
        <v>0</v>
      </c>
      <c r="T956" s="29" t="s">
        <v>97</v>
      </c>
      <c r="U956" s="115">
        <v>0.35</v>
      </c>
      <c r="V956" s="10">
        <f>VLOOKUP(D956,A!B$1:T$1125,17,FALSE)</f>
        <v>0</v>
      </c>
      <c r="W956" s="10">
        <f t="shared" si="139"/>
        <v>0</v>
      </c>
      <c r="X956" s="29"/>
      <c r="Y956" s="29"/>
      <c r="Z956" s="29"/>
      <c r="AA956" s="29"/>
    </row>
    <row r="957" spans="1:27" s="3" customFormat="1" ht="13.5" hidden="1" customHeight="1" x14ac:dyDescent="0.25">
      <c r="A957" t="str">
        <f>IF(R957=0,"",COUNTIF(A$13:A956,"&gt;0")+1)</f>
        <v/>
      </c>
      <c r="B957" s="4"/>
      <c r="C957" s="5" t="s">
        <v>44</v>
      </c>
      <c r="D957" s="7" t="s">
        <v>1003</v>
      </c>
      <c r="E957" s="31"/>
      <c r="F957" s="31"/>
      <c r="G957" s="6" t="s">
        <v>1001</v>
      </c>
      <c r="H957" s="7">
        <f>VLOOKUP(D957,A!B$1:L$1126,8,FALSE)</f>
        <v>0</v>
      </c>
      <c r="I957" s="31">
        <f>VLOOKUP(D957,A!B$1:L$1126,8,FALSE)</f>
        <v>0</v>
      </c>
      <c r="J957" s="92"/>
      <c r="K957" s="63" t="str">
        <f>VLOOKUP(D957,A!B$1:P$1126,11,FALSE)</f>
        <v/>
      </c>
      <c r="L957" s="162"/>
      <c r="M957" s="43" t="s">
        <v>1004</v>
      </c>
      <c r="N957" s="94">
        <f>VLOOKUP(D957,A!B$1:L$1125,7,FALSE)</f>
        <v>0</v>
      </c>
      <c r="O957" s="94">
        <f>VLOOKUP(D957,A!B$1:P$1126,9,FALSE)</f>
        <v>0</v>
      </c>
      <c r="P957" s="10">
        <v>6</v>
      </c>
      <c r="Q957" s="10">
        <v>5.95</v>
      </c>
      <c r="R957" s="10">
        <f t="shared" si="137"/>
        <v>0</v>
      </c>
      <c r="S957" s="10">
        <f t="shared" si="138"/>
        <v>0</v>
      </c>
      <c r="T957" s="29" t="s">
        <v>97</v>
      </c>
      <c r="U957" s="115">
        <v>0.35</v>
      </c>
      <c r="V957" s="10">
        <f>VLOOKUP(D957,A!B$1:T$1125,17,FALSE)</f>
        <v>0</v>
      </c>
      <c r="W957" s="10">
        <f t="shared" si="139"/>
        <v>0</v>
      </c>
      <c r="X957" s="29"/>
      <c r="Y957" s="29"/>
      <c r="Z957" s="29"/>
      <c r="AA957" s="29"/>
    </row>
    <row r="958" spans="1:27" s="3" customFormat="1" ht="13.5" hidden="1" customHeight="1" x14ac:dyDescent="0.25">
      <c r="A958" t="str">
        <f>IF(R958=0,"",COUNTIF(A$13:A957,"&gt;0")+1)</f>
        <v/>
      </c>
      <c r="B958" s="4"/>
      <c r="C958" s="5" t="s">
        <v>44</v>
      </c>
      <c r="D958" s="7" t="s">
        <v>1005</v>
      </c>
      <c r="E958" s="31"/>
      <c r="F958" s="31"/>
      <c r="G958" s="6" t="s">
        <v>1006</v>
      </c>
      <c r="H958" s="7">
        <f>VLOOKUP(D958,A!B$1:L$1126,8,FALSE)</f>
        <v>0</v>
      </c>
      <c r="I958" s="31">
        <f>VLOOKUP(D958,A!B$1:L$1126,8,FALSE)</f>
        <v>0</v>
      </c>
      <c r="J958" s="92"/>
      <c r="K958" s="63" t="str">
        <f>VLOOKUP(D958,A!B$1:P$1126,11,FALSE)</f>
        <v/>
      </c>
      <c r="L958" s="162"/>
      <c r="M958" s="43" t="s">
        <v>1007</v>
      </c>
      <c r="N958" s="94">
        <f>VLOOKUP(D958,A!B$1:L$1125,7,FALSE)</f>
        <v>0</v>
      </c>
      <c r="O958" s="94">
        <f>VLOOKUP(D958,A!B$1:P$1126,9,FALSE)</f>
        <v>0</v>
      </c>
      <c r="P958" s="10">
        <v>6</v>
      </c>
      <c r="Q958" s="10">
        <v>5.95</v>
      </c>
      <c r="R958" s="10">
        <f t="shared" si="137"/>
        <v>0</v>
      </c>
      <c r="S958" s="10">
        <f t="shared" si="138"/>
        <v>0</v>
      </c>
      <c r="T958" s="29" t="s">
        <v>97</v>
      </c>
      <c r="U958" s="115">
        <v>0.35</v>
      </c>
      <c r="V958" s="10">
        <f>VLOOKUP(D958,A!B$1:T$1125,17,FALSE)</f>
        <v>0</v>
      </c>
      <c r="W958" s="10">
        <f t="shared" si="139"/>
        <v>0</v>
      </c>
      <c r="X958" s="29"/>
      <c r="Y958" s="29"/>
      <c r="Z958" s="29"/>
      <c r="AA958" s="29"/>
    </row>
    <row r="959" spans="1:27" s="3" customFormat="1" ht="13.5" hidden="1" customHeight="1" x14ac:dyDescent="0.25">
      <c r="A959" t="str">
        <f>IF(R959=0,"",COUNTIF(A$13:A958,"&gt;0")+1)</f>
        <v/>
      </c>
      <c r="B959" s="4"/>
      <c r="C959" s="5" t="s">
        <v>44</v>
      </c>
      <c r="D959" s="7" t="s">
        <v>1008</v>
      </c>
      <c r="E959" s="31"/>
      <c r="F959" s="31"/>
      <c r="G959" s="6" t="s">
        <v>1001</v>
      </c>
      <c r="H959" s="7">
        <f>VLOOKUP(D959,A!B$1:L$1126,8,FALSE)</f>
        <v>0</v>
      </c>
      <c r="I959" s="31">
        <f>VLOOKUP(D959,A!B$1:L$1126,8,FALSE)</f>
        <v>0</v>
      </c>
      <c r="J959" s="92"/>
      <c r="K959" s="63" t="str">
        <f>VLOOKUP(D959,A!B$1:P$1126,11,FALSE)</f>
        <v/>
      </c>
      <c r="L959" s="162"/>
      <c r="M959" s="43" t="s">
        <v>1009</v>
      </c>
      <c r="N959" s="94">
        <f>VLOOKUP(D959,A!B$1:L$1125,7,FALSE)</f>
        <v>0</v>
      </c>
      <c r="O959" s="94">
        <f>VLOOKUP(D959,A!B$1:P$1126,9,FALSE)</f>
        <v>0</v>
      </c>
      <c r="P959" s="10">
        <v>6</v>
      </c>
      <c r="Q959" s="10">
        <v>5.95</v>
      </c>
      <c r="R959" s="10">
        <f t="shared" si="137"/>
        <v>0</v>
      </c>
      <c r="S959" s="10">
        <f t="shared" si="138"/>
        <v>0</v>
      </c>
      <c r="T959" s="29" t="s">
        <v>97</v>
      </c>
      <c r="U959" s="115">
        <v>0.35</v>
      </c>
      <c r="V959" s="10">
        <f>VLOOKUP(D959,A!B$1:T$1125,17,FALSE)</f>
        <v>0</v>
      </c>
      <c r="W959" s="10">
        <f t="shared" si="139"/>
        <v>0</v>
      </c>
      <c r="X959" s="29"/>
      <c r="Y959" s="29"/>
      <c r="Z959" s="29"/>
      <c r="AA959" s="29"/>
    </row>
    <row r="960" spans="1:27" s="3" customFormat="1" ht="13.5" hidden="1" customHeight="1" x14ac:dyDescent="0.25">
      <c r="A960" t="str">
        <f>IF(R960=0,"",COUNTIF(A$13:A959,"&gt;0")+1)</f>
        <v/>
      </c>
      <c r="B960" s="4"/>
      <c r="C960" s="5" t="s">
        <v>44</v>
      </c>
      <c r="D960" s="7" t="s">
        <v>1010</v>
      </c>
      <c r="E960" s="31"/>
      <c r="F960" s="31"/>
      <c r="G960" s="6" t="s">
        <v>1001</v>
      </c>
      <c r="H960" s="7">
        <f>VLOOKUP(D960,A!B$1:L$1126,8,FALSE)</f>
        <v>0</v>
      </c>
      <c r="I960" s="31">
        <f>VLOOKUP(D960,A!B$1:L$1126,8,FALSE)</f>
        <v>0</v>
      </c>
      <c r="J960" s="92"/>
      <c r="K960" s="63" t="str">
        <f>VLOOKUP(D960,A!B$1:P$1126,11,FALSE)</f>
        <v/>
      </c>
      <c r="L960" s="162"/>
      <c r="M960" s="43" t="s">
        <v>1011</v>
      </c>
      <c r="N960" s="94">
        <f>VLOOKUP(D960,A!B$1:L$1125,7,FALSE)</f>
        <v>0</v>
      </c>
      <c r="O960" s="94">
        <f>VLOOKUP(D960,A!B$1:P$1126,9,FALSE)</f>
        <v>0</v>
      </c>
      <c r="P960" s="10">
        <v>6</v>
      </c>
      <c r="Q960" s="10">
        <v>5.95</v>
      </c>
      <c r="R960" s="10">
        <f t="shared" si="137"/>
        <v>0</v>
      </c>
      <c r="S960" s="10">
        <f t="shared" si="138"/>
        <v>0</v>
      </c>
      <c r="T960" s="29" t="s">
        <v>97</v>
      </c>
      <c r="U960" s="115">
        <v>0.35</v>
      </c>
      <c r="V960" s="10">
        <f>VLOOKUP(D960,A!B$1:T$1125,17,FALSE)</f>
        <v>0</v>
      </c>
      <c r="W960" s="10">
        <f t="shared" si="139"/>
        <v>0</v>
      </c>
      <c r="X960" s="29"/>
      <c r="Y960" s="29"/>
      <c r="Z960" s="29"/>
      <c r="AA960" s="29"/>
    </row>
    <row r="961" spans="1:27" s="3" customFormat="1" ht="13.5" hidden="1" customHeight="1" x14ac:dyDescent="0.25">
      <c r="A961" t="str">
        <f>IF(R961=0,"",COUNTIF(A$13:A960,"&gt;0")+1)</f>
        <v/>
      </c>
      <c r="B961" s="4"/>
      <c r="C961" s="5" t="s">
        <v>44</v>
      </c>
      <c r="D961" s="7" t="s">
        <v>1012</v>
      </c>
      <c r="E961" s="31"/>
      <c r="F961" s="31"/>
      <c r="G961" s="6" t="s">
        <v>1013</v>
      </c>
      <c r="H961" s="7">
        <f>VLOOKUP(D961,A!B$1:L$1126,8,FALSE)</f>
        <v>0</v>
      </c>
      <c r="I961" s="31">
        <f>VLOOKUP(D961,A!B$1:L$1126,8,FALSE)</f>
        <v>0</v>
      </c>
      <c r="J961" s="92"/>
      <c r="K961" s="63" t="str">
        <f>VLOOKUP(D961,A!B$1:P$1126,11,FALSE)</f>
        <v/>
      </c>
      <c r="L961" s="162"/>
      <c r="M961" s="43" t="s">
        <v>1014</v>
      </c>
      <c r="N961" s="94">
        <f>VLOOKUP(D961,A!B$1:L$1125,7,FALSE)</f>
        <v>0</v>
      </c>
      <c r="O961" s="94">
        <f>VLOOKUP(D961,A!B$1:P$1126,9,FALSE)</f>
        <v>0</v>
      </c>
      <c r="P961" s="10">
        <v>6</v>
      </c>
      <c r="Q961" s="10">
        <v>5.95</v>
      </c>
      <c r="R961" s="10">
        <f t="shared" si="137"/>
        <v>0</v>
      </c>
      <c r="S961" s="10">
        <f t="shared" si="138"/>
        <v>0</v>
      </c>
      <c r="T961" s="29" t="s">
        <v>97</v>
      </c>
      <c r="U961" s="115">
        <v>0.35</v>
      </c>
      <c r="V961" s="10">
        <f>VLOOKUP(D961,A!B$1:T$1125,17,FALSE)</f>
        <v>0</v>
      </c>
      <c r="W961" s="10">
        <f t="shared" si="139"/>
        <v>0</v>
      </c>
      <c r="X961" s="29"/>
      <c r="Y961" s="29"/>
      <c r="Z961" s="29"/>
      <c r="AA961" s="29"/>
    </row>
    <row r="962" spans="1:27" s="3" customFormat="1" ht="13.5" hidden="1" customHeight="1" x14ac:dyDescent="0.25">
      <c r="A962" t="str">
        <f>IF(R962=0,"",COUNTIF(A$13:A961,"&gt;0")+1)</f>
        <v/>
      </c>
      <c r="B962" s="4"/>
      <c r="C962" s="5" t="s">
        <v>44</v>
      </c>
      <c r="D962" s="7" t="s">
        <v>1015</v>
      </c>
      <c r="E962" s="31"/>
      <c r="F962" s="31"/>
      <c r="G962" s="6" t="s">
        <v>1016</v>
      </c>
      <c r="H962" s="7">
        <f>VLOOKUP(D962,A!B$1:L$1126,8,FALSE)</f>
        <v>0</v>
      </c>
      <c r="I962" s="31">
        <f>VLOOKUP(D962,A!B$1:L$1126,8,FALSE)</f>
        <v>0</v>
      </c>
      <c r="J962" s="92"/>
      <c r="K962" s="63" t="str">
        <f>VLOOKUP(D962,A!B$1:P$1126,11,FALSE)</f>
        <v/>
      </c>
      <c r="L962" s="162"/>
      <c r="M962" s="43" t="s">
        <v>1017</v>
      </c>
      <c r="N962" s="94">
        <f>VLOOKUP(D962,A!B$1:L$1125,7,FALSE)</f>
        <v>0</v>
      </c>
      <c r="O962" s="94">
        <f>VLOOKUP(D962,A!B$1:P$1126,9,FALSE)</f>
        <v>0</v>
      </c>
      <c r="P962" s="10">
        <v>6</v>
      </c>
      <c r="Q962" s="10">
        <v>5.95</v>
      </c>
      <c r="R962" s="10">
        <f t="shared" si="137"/>
        <v>0</v>
      </c>
      <c r="S962" s="10">
        <f t="shared" si="138"/>
        <v>0</v>
      </c>
      <c r="T962" s="29" t="s">
        <v>97</v>
      </c>
      <c r="U962" s="115">
        <v>0.35</v>
      </c>
      <c r="V962" s="10">
        <f>VLOOKUP(D962,A!B$1:T$1125,17,FALSE)</f>
        <v>0</v>
      </c>
      <c r="W962" s="10">
        <f t="shared" si="139"/>
        <v>0</v>
      </c>
      <c r="X962" s="29"/>
      <c r="Y962" s="29"/>
      <c r="Z962" s="29"/>
      <c r="AA962" s="29"/>
    </row>
    <row r="963" spans="1:27" s="3" customFormat="1" ht="13.5" hidden="1" customHeight="1" x14ac:dyDescent="0.25">
      <c r="A963" t="str">
        <f>IF(R963=0,"",COUNTIF(A$13:A962,"&gt;0")+1)</f>
        <v/>
      </c>
      <c r="B963" s="4"/>
      <c r="C963" s="5" t="s">
        <v>44</v>
      </c>
      <c r="D963" s="7" t="s">
        <v>1018</v>
      </c>
      <c r="E963" s="31"/>
      <c r="F963" s="31"/>
      <c r="G963" s="6" t="s">
        <v>1019</v>
      </c>
      <c r="H963" s="7">
        <f>VLOOKUP(D963,A!B$1:L$1126,8,FALSE)</f>
        <v>0</v>
      </c>
      <c r="I963" s="31">
        <f>VLOOKUP(D963,A!B$1:L$1126,8,FALSE)</f>
        <v>0</v>
      </c>
      <c r="J963" s="92"/>
      <c r="K963" s="63" t="str">
        <f>VLOOKUP(D963,A!B$1:P$1126,11,FALSE)</f>
        <v/>
      </c>
      <c r="L963" s="162"/>
      <c r="M963" s="43" t="s">
        <v>1020</v>
      </c>
      <c r="N963" s="94">
        <f>VLOOKUP(D963,A!B$1:L$1125,7,FALSE)</f>
        <v>0</v>
      </c>
      <c r="O963" s="94">
        <f>VLOOKUP(D963,A!B$1:P$1126,9,FALSE)</f>
        <v>0</v>
      </c>
      <c r="P963" s="10">
        <v>6</v>
      </c>
      <c r="Q963" s="10">
        <v>5.95</v>
      </c>
      <c r="R963" s="10">
        <f t="shared" si="137"/>
        <v>0</v>
      </c>
      <c r="S963" s="10">
        <f t="shared" si="138"/>
        <v>0</v>
      </c>
      <c r="T963" s="29" t="s">
        <v>97</v>
      </c>
      <c r="U963" s="115">
        <v>0.35</v>
      </c>
      <c r="V963" s="10">
        <f>VLOOKUP(D963,A!B$1:T$1125,17,FALSE)</f>
        <v>0</v>
      </c>
      <c r="W963" s="10">
        <f t="shared" si="139"/>
        <v>0</v>
      </c>
      <c r="X963" s="29"/>
      <c r="Y963" s="29"/>
      <c r="Z963" s="29"/>
      <c r="AA963" s="29"/>
    </row>
    <row r="964" spans="1:27" s="3" customFormat="1" ht="13.5" hidden="1" customHeight="1" x14ac:dyDescent="0.25">
      <c r="A964" t="str">
        <f>IF(R964=0,"",COUNTIF(A$13:A963,"&gt;0")+1)</f>
        <v/>
      </c>
      <c r="B964" s="4"/>
      <c r="C964" s="5" t="s">
        <v>44</v>
      </c>
      <c r="D964" s="7" t="s">
        <v>1021</v>
      </c>
      <c r="E964" s="31"/>
      <c r="F964" s="31"/>
      <c r="G964" s="6" t="s">
        <v>1022</v>
      </c>
      <c r="H964" s="7">
        <f>VLOOKUP(D964,A!B$1:L$1126,8,FALSE)</f>
        <v>0</v>
      </c>
      <c r="I964" s="31">
        <f>VLOOKUP(D964,A!B$1:L$1126,8,FALSE)</f>
        <v>0</v>
      </c>
      <c r="J964" s="92"/>
      <c r="K964" s="63" t="str">
        <f>VLOOKUP(D964,A!B$1:P$1126,11,FALSE)</f>
        <v/>
      </c>
      <c r="L964" s="162"/>
      <c r="M964" s="43" t="s">
        <v>1023</v>
      </c>
      <c r="N964" s="94">
        <f>VLOOKUP(D964,A!B$1:L$1125,7,FALSE)</f>
        <v>0</v>
      </c>
      <c r="O964" s="94">
        <f>VLOOKUP(D964,A!B$1:P$1126,9,FALSE)</f>
        <v>0</v>
      </c>
      <c r="P964" s="10">
        <v>6</v>
      </c>
      <c r="Q964" s="10">
        <v>5.95</v>
      </c>
      <c r="R964" s="10">
        <f t="shared" si="137"/>
        <v>0</v>
      </c>
      <c r="S964" s="10">
        <f t="shared" si="138"/>
        <v>0</v>
      </c>
      <c r="T964" s="29" t="s">
        <v>97</v>
      </c>
      <c r="U964" s="115">
        <v>0.35</v>
      </c>
      <c r="V964" s="10">
        <f>VLOOKUP(D964,A!B$1:T$1125,17,FALSE)</f>
        <v>0</v>
      </c>
      <c r="W964" s="10">
        <f t="shared" si="139"/>
        <v>0</v>
      </c>
      <c r="X964" s="29"/>
      <c r="Y964" s="29"/>
      <c r="Z964" s="29"/>
      <c r="AA964" s="29"/>
    </row>
    <row r="965" spans="1:27" s="3" customFormat="1" ht="13.5" hidden="1" customHeight="1" x14ac:dyDescent="0.25">
      <c r="A965" t="str">
        <f>IF(R965=0,"",COUNTIF(A$13:A964,"&gt;0")+1)</f>
        <v/>
      </c>
      <c r="B965" s="4"/>
      <c r="C965" s="5" t="s">
        <v>44</v>
      </c>
      <c r="D965" s="7" t="s">
        <v>1024</v>
      </c>
      <c r="E965" s="31"/>
      <c r="F965" s="31"/>
      <c r="G965" s="6" t="s">
        <v>1025</v>
      </c>
      <c r="H965" s="7">
        <f>VLOOKUP(D965,A!B$1:L$1126,8,FALSE)</f>
        <v>0</v>
      </c>
      <c r="I965" s="31">
        <f>VLOOKUP(D965,A!B$1:L$1126,8,FALSE)</f>
        <v>0</v>
      </c>
      <c r="J965" s="92"/>
      <c r="K965" s="63" t="str">
        <f>VLOOKUP(D965,A!B$1:P$1126,11,FALSE)</f>
        <v/>
      </c>
      <c r="L965" s="162"/>
      <c r="M965" s="42" t="s">
        <v>1026</v>
      </c>
      <c r="N965" s="94">
        <f>VLOOKUP(D965,A!B$1:L$1125,7,FALSE)</f>
        <v>0</v>
      </c>
      <c r="O965" s="94">
        <f>VLOOKUP(D965,A!B$1:P$1126,9,FALSE)</f>
        <v>0</v>
      </c>
      <c r="P965" s="10">
        <v>6</v>
      </c>
      <c r="Q965" s="10">
        <v>5.95</v>
      </c>
      <c r="R965" s="10">
        <f t="shared" si="137"/>
        <v>0</v>
      </c>
      <c r="S965" s="10">
        <f t="shared" si="138"/>
        <v>0</v>
      </c>
      <c r="T965" s="29" t="s">
        <v>97</v>
      </c>
      <c r="U965" s="115">
        <v>0.35</v>
      </c>
      <c r="V965" s="10">
        <f>VLOOKUP(D965,A!B$1:T$1125,17,FALSE)</f>
        <v>0</v>
      </c>
      <c r="W965" s="10">
        <f t="shared" si="139"/>
        <v>0</v>
      </c>
      <c r="X965" s="29"/>
      <c r="Y965" s="29"/>
      <c r="Z965" s="29"/>
      <c r="AA965" s="29"/>
    </row>
    <row r="966" spans="1:27" s="3" customFormat="1" ht="13.5" hidden="1" customHeight="1" x14ac:dyDescent="0.25">
      <c r="A966" t="str">
        <f>IF(R966=0,"",COUNTIF(A$13:A965,"&gt;0")+1)</f>
        <v/>
      </c>
      <c r="B966" s="4"/>
      <c r="C966" s="5" t="s">
        <v>44</v>
      </c>
      <c r="D966" s="7" t="s">
        <v>1027</v>
      </c>
      <c r="E966" s="31"/>
      <c r="F966" s="31"/>
      <c r="G966" s="6" t="s">
        <v>1028</v>
      </c>
      <c r="H966" s="7">
        <f>VLOOKUP(D966,A!B$1:L$1126,8,FALSE)</f>
        <v>0</v>
      </c>
      <c r="I966" s="31">
        <f>VLOOKUP(D966,A!B$1:L$1126,8,FALSE)</f>
        <v>0</v>
      </c>
      <c r="J966" s="92"/>
      <c r="K966" s="63" t="str">
        <f>VLOOKUP(D966,A!B$1:P$1126,11,FALSE)</f>
        <v/>
      </c>
      <c r="L966" s="162"/>
      <c r="M966" s="42" t="s">
        <v>1029</v>
      </c>
      <c r="N966" s="94">
        <f>VLOOKUP(D966,A!B$1:L$1125,7,FALSE)</f>
        <v>0</v>
      </c>
      <c r="O966" s="94">
        <f>VLOOKUP(D966,A!B$1:P$1126,9,FALSE)</f>
        <v>0</v>
      </c>
      <c r="P966" s="10">
        <v>6</v>
      </c>
      <c r="Q966" s="10">
        <v>5.95</v>
      </c>
      <c r="R966" s="10">
        <f t="shared" si="137"/>
        <v>0</v>
      </c>
      <c r="S966" s="10">
        <f t="shared" si="138"/>
        <v>0</v>
      </c>
      <c r="T966" s="29" t="s">
        <v>97</v>
      </c>
      <c r="U966" s="115">
        <v>0.35</v>
      </c>
      <c r="V966" s="10">
        <f>VLOOKUP(D966,A!B$1:T$1125,17,FALSE)</f>
        <v>0</v>
      </c>
      <c r="W966" s="10">
        <f t="shared" si="139"/>
        <v>0</v>
      </c>
      <c r="X966" s="29"/>
      <c r="Y966" s="29"/>
      <c r="Z966" s="29"/>
      <c r="AA966" s="29"/>
    </row>
    <row r="967" spans="1:27" s="3" customFormat="1" ht="13.5" hidden="1" customHeight="1" x14ac:dyDescent="0.25">
      <c r="A967" t="str">
        <f>IF(R967=0,"",COUNTIF(A$13:A966,"&gt;0")+1)</f>
        <v/>
      </c>
      <c r="B967" s="4"/>
      <c r="C967" s="5" t="s">
        <v>44</v>
      </c>
      <c r="D967" s="7" t="s">
        <v>1030</v>
      </c>
      <c r="E967" s="31"/>
      <c r="F967" s="31"/>
      <c r="G967" s="6" t="s">
        <v>1028</v>
      </c>
      <c r="H967" s="7">
        <f>VLOOKUP(D967,A!B$1:L$1126,8,FALSE)</f>
        <v>0</v>
      </c>
      <c r="I967" s="31">
        <f>VLOOKUP(D967,A!B$1:L$1126,8,FALSE)</f>
        <v>0</v>
      </c>
      <c r="J967" s="92"/>
      <c r="K967" s="63" t="str">
        <f>VLOOKUP(D967,A!B$1:P$1126,11,FALSE)</f>
        <v/>
      </c>
      <c r="L967" s="162"/>
      <c r="M967" s="42" t="s">
        <v>1031</v>
      </c>
      <c r="N967" s="94">
        <f>VLOOKUP(D967,A!B$1:L$1125,7,FALSE)</f>
        <v>0</v>
      </c>
      <c r="O967" s="94">
        <f>VLOOKUP(D967,A!B$1:P$1126,9,FALSE)</f>
        <v>0</v>
      </c>
      <c r="P967" s="10">
        <v>6</v>
      </c>
      <c r="Q967" s="10">
        <v>5.95</v>
      </c>
      <c r="R967" s="10">
        <f t="shared" si="137"/>
        <v>0</v>
      </c>
      <c r="S967" s="10">
        <f t="shared" si="138"/>
        <v>0</v>
      </c>
      <c r="T967" s="29" t="s">
        <v>97</v>
      </c>
      <c r="U967" s="115">
        <v>0.35</v>
      </c>
      <c r="V967" s="10">
        <f>VLOOKUP(D967,A!B$1:T$1125,17,FALSE)</f>
        <v>0</v>
      </c>
      <c r="W967" s="10">
        <f t="shared" si="139"/>
        <v>0</v>
      </c>
      <c r="X967" s="29"/>
      <c r="Y967" s="29"/>
      <c r="Z967" s="29"/>
      <c r="AA967" s="29"/>
    </row>
    <row r="968" spans="1:27" s="3" customFormat="1" ht="13.5" hidden="1" customHeight="1" x14ac:dyDescent="0.25">
      <c r="A968" t="str">
        <f>IF(R968=0,"",COUNTIF(A$13:A967,"&gt;0")+1)</f>
        <v/>
      </c>
      <c r="B968" s="4"/>
      <c r="C968" s="5" t="s">
        <v>44</v>
      </c>
      <c r="D968" s="7" t="s">
        <v>1032</v>
      </c>
      <c r="E968" s="31"/>
      <c r="F968" s="31"/>
      <c r="G968" s="6" t="s">
        <v>1033</v>
      </c>
      <c r="H968" s="7">
        <f>VLOOKUP(D968,A!B$1:L$1126,8,FALSE)</f>
        <v>0</v>
      </c>
      <c r="I968" s="31">
        <f>VLOOKUP(D968,A!B$1:L$1126,8,FALSE)</f>
        <v>0</v>
      </c>
      <c r="J968" s="92"/>
      <c r="K968" s="63" t="str">
        <f>VLOOKUP(D968,A!B$1:P$1126,11,FALSE)</f>
        <v/>
      </c>
      <c r="L968" s="162"/>
      <c r="M968" s="43" t="s">
        <v>1034</v>
      </c>
      <c r="N968" s="94">
        <f>VLOOKUP(D968,A!B$1:L$1125,7,FALSE)</f>
        <v>0</v>
      </c>
      <c r="O968" s="94">
        <f>VLOOKUP(D968,A!B$1:P$1126,9,FALSE)</f>
        <v>0</v>
      </c>
      <c r="P968" s="10">
        <v>6</v>
      </c>
      <c r="Q968" s="10">
        <v>5.95</v>
      </c>
      <c r="R968" s="10">
        <f t="shared" si="137"/>
        <v>0</v>
      </c>
      <c r="S968" s="10">
        <f t="shared" si="138"/>
        <v>0</v>
      </c>
      <c r="T968" s="29" t="s">
        <v>97</v>
      </c>
      <c r="U968" s="115">
        <v>0.35</v>
      </c>
      <c r="V968" s="10">
        <f>VLOOKUP(D968,A!B$1:T$1125,17,FALSE)</f>
        <v>0</v>
      </c>
      <c r="W968" s="10">
        <f t="shared" si="139"/>
        <v>0</v>
      </c>
      <c r="X968" s="29"/>
      <c r="Y968" s="29"/>
      <c r="Z968" s="29"/>
      <c r="AA968" s="29"/>
    </row>
    <row r="969" spans="1:27" s="3" customFormat="1" ht="13.5" hidden="1" customHeight="1" x14ac:dyDescent="0.25">
      <c r="A969" t="str">
        <f>IF(R969=0,"",COUNTIF(A$13:A968,"&gt;0")+1)</f>
        <v/>
      </c>
      <c r="B969" s="4"/>
      <c r="C969" s="5" t="s">
        <v>44</v>
      </c>
      <c r="D969" s="7" t="s">
        <v>1035</v>
      </c>
      <c r="E969" s="31"/>
      <c r="F969" s="31"/>
      <c r="G969" s="6" t="s">
        <v>1036</v>
      </c>
      <c r="H969" s="7">
        <f>VLOOKUP(D969,A!B$1:L$1126,8,FALSE)</f>
        <v>0</v>
      </c>
      <c r="I969" s="31">
        <f>VLOOKUP(D969,A!B$1:L$1126,8,FALSE)</f>
        <v>0</v>
      </c>
      <c r="J969" s="92"/>
      <c r="K969" s="63" t="str">
        <f>VLOOKUP(D969,A!B$1:P$1126,11,FALSE)</f>
        <v/>
      </c>
      <c r="L969" s="162"/>
      <c r="M969" s="43" t="s">
        <v>1037</v>
      </c>
      <c r="N969" s="94">
        <f>VLOOKUP(D969,A!B$1:L$1125,7,FALSE)</f>
        <v>0</v>
      </c>
      <c r="O969" s="94">
        <f>VLOOKUP(D969,A!B$1:P$1126,9,FALSE)</f>
        <v>0</v>
      </c>
      <c r="P969" s="10">
        <v>6</v>
      </c>
      <c r="Q969" s="10">
        <v>5.95</v>
      </c>
      <c r="R969" s="10">
        <f t="shared" si="137"/>
        <v>0</v>
      </c>
      <c r="S969" s="10">
        <f t="shared" si="138"/>
        <v>0</v>
      </c>
      <c r="T969" s="29" t="s">
        <v>97</v>
      </c>
      <c r="U969" s="115">
        <v>0.35</v>
      </c>
      <c r="V969" s="10">
        <f>VLOOKUP(D969,A!B$1:T$1125,17,FALSE)</f>
        <v>0</v>
      </c>
      <c r="W969" s="10">
        <f t="shared" si="139"/>
        <v>0</v>
      </c>
      <c r="X969" s="29"/>
      <c r="Y969" s="29"/>
      <c r="Z969" s="29"/>
      <c r="AA969" s="29"/>
    </row>
    <row r="970" spans="1:27" s="3" customFormat="1" ht="13.5" hidden="1" customHeight="1" x14ac:dyDescent="0.25">
      <c r="A970" t="str">
        <f>IF(R970=0,"",COUNTIF(A$13:A969,"&gt;0")+1)</f>
        <v/>
      </c>
      <c r="B970" s="4"/>
      <c r="C970" s="5" t="s">
        <v>44</v>
      </c>
      <c r="D970" s="7" t="s">
        <v>1038</v>
      </c>
      <c r="E970" s="31"/>
      <c r="F970" s="31"/>
      <c r="G970" s="6" t="s">
        <v>1036</v>
      </c>
      <c r="H970" s="7">
        <f>VLOOKUP(D970,A!B$1:L$1126,8,FALSE)</f>
        <v>0</v>
      </c>
      <c r="I970" s="31">
        <f>VLOOKUP(D970,A!B$1:L$1126,8,FALSE)</f>
        <v>0</v>
      </c>
      <c r="J970" s="92"/>
      <c r="K970" s="63" t="str">
        <f>VLOOKUP(D970,A!B$1:P$1126,11,FALSE)</f>
        <v/>
      </c>
      <c r="L970" s="162"/>
      <c r="M970" s="43" t="s">
        <v>1039</v>
      </c>
      <c r="N970" s="94">
        <f>VLOOKUP(D970,A!B$1:L$1125,7,FALSE)</f>
        <v>0</v>
      </c>
      <c r="O970" s="94">
        <f>VLOOKUP(D970,A!B$1:P$1126,9,FALSE)</f>
        <v>0</v>
      </c>
      <c r="P970" s="10">
        <v>6</v>
      </c>
      <c r="Q970" s="10">
        <v>5.95</v>
      </c>
      <c r="R970" s="10">
        <f t="shared" si="137"/>
        <v>0</v>
      </c>
      <c r="S970" s="10">
        <f t="shared" si="138"/>
        <v>0</v>
      </c>
      <c r="T970" s="29" t="s">
        <v>97</v>
      </c>
      <c r="U970" s="115">
        <v>0.35</v>
      </c>
      <c r="V970" s="10">
        <f>VLOOKUP(D970,A!B$1:T$1125,17,FALSE)</f>
        <v>0</v>
      </c>
      <c r="W970" s="10">
        <f t="shared" si="139"/>
        <v>0</v>
      </c>
      <c r="X970" s="29"/>
      <c r="Y970" s="29"/>
      <c r="Z970" s="29"/>
      <c r="AA970" s="29"/>
    </row>
    <row r="971" spans="1:27" s="3" customFormat="1" ht="13.5" hidden="1" customHeight="1" x14ac:dyDescent="0.25">
      <c r="A971" t="str">
        <f>IF(R971=0,"",COUNTIF(A$13:A970,"&gt;0")+1)</f>
        <v/>
      </c>
      <c r="B971" s="4"/>
      <c r="C971" s="5" t="s">
        <v>44</v>
      </c>
      <c r="D971" s="7" t="s">
        <v>1040</v>
      </c>
      <c r="E971" s="31"/>
      <c r="F971" s="31"/>
      <c r="G971" s="6" t="s">
        <v>1036</v>
      </c>
      <c r="H971" s="7">
        <f>VLOOKUP(D971,A!B$1:L$1126,8,FALSE)</f>
        <v>0</v>
      </c>
      <c r="I971" s="31">
        <f>VLOOKUP(D971,A!B$1:L$1126,8,FALSE)</f>
        <v>0</v>
      </c>
      <c r="J971" s="92"/>
      <c r="K971" s="63" t="str">
        <f>VLOOKUP(D971,A!B$1:P$1126,11,FALSE)</f>
        <v/>
      </c>
      <c r="L971" s="162"/>
      <c r="M971" s="43" t="s">
        <v>1041</v>
      </c>
      <c r="N971" s="94">
        <f>VLOOKUP(D971,A!B$1:L$1125,7,FALSE)</f>
        <v>0</v>
      </c>
      <c r="O971" s="94">
        <f>VLOOKUP(D971,A!B$1:P$1126,9,FALSE)</f>
        <v>0</v>
      </c>
      <c r="P971" s="10">
        <v>6</v>
      </c>
      <c r="Q971" s="10">
        <v>5.95</v>
      </c>
      <c r="R971" s="10">
        <f t="shared" si="137"/>
        <v>0</v>
      </c>
      <c r="S971" s="10">
        <f t="shared" si="138"/>
        <v>0</v>
      </c>
      <c r="T971" s="29" t="s">
        <v>97</v>
      </c>
      <c r="U971" s="115">
        <v>0.35</v>
      </c>
      <c r="V971" s="10">
        <f>VLOOKUP(D971,A!B$1:T$1125,17,FALSE)</f>
        <v>0</v>
      </c>
      <c r="W971" s="10">
        <f t="shared" si="139"/>
        <v>0</v>
      </c>
      <c r="X971" s="29"/>
      <c r="Y971" s="29"/>
      <c r="Z971" s="29"/>
      <c r="AA971" s="29"/>
    </row>
    <row r="972" spans="1:27" s="3" customFormat="1" ht="13.5" hidden="1" customHeight="1" x14ac:dyDescent="0.25">
      <c r="A972" t="str">
        <f>IF(R972=0,"",COUNTIF(A$13:A971,"&gt;0")+1)</f>
        <v/>
      </c>
      <c r="B972" s="4"/>
      <c r="C972" s="5" t="s">
        <v>44</v>
      </c>
      <c r="D972" s="7" t="s">
        <v>1042</v>
      </c>
      <c r="E972" s="31"/>
      <c r="F972" s="31"/>
      <c r="G972" s="6" t="s">
        <v>1036</v>
      </c>
      <c r="H972" s="7">
        <f>VLOOKUP(D972,A!B$1:L$1126,8,FALSE)</f>
        <v>0</v>
      </c>
      <c r="I972" s="31">
        <f>VLOOKUP(D972,A!B$1:L$1126,8,FALSE)</f>
        <v>0</v>
      </c>
      <c r="J972" s="92"/>
      <c r="K972" s="63" t="str">
        <f>VLOOKUP(D972,A!B$1:P$1126,11,FALSE)</f>
        <v/>
      </c>
      <c r="L972" s="162"/>
      <c r="M972" s="43" t="s">
        <v>1043</v>
      </c>
      <c r="N972" s="94">
        <f>VLOOKUP(D972,A!B$1:L$1125,7,FALSE)</f>
        <v>0</v>
      </c>
      <c r="O972" s="94">
        <f>VLOOKUP(D972,A!B$1:P$1126,9,FALSE)</f>
        <v>0</v>
      </c>
      <c r="P972" s="10">
        <v>6</v>
      </c>
      <c r="Q972" s="10">
        <v>5.95</v>
      </c>
      <c r="R972" s="10">
        <f t="shared" si="137"/>
        <v>0</v>
      </c>
      <c r="S972" s="10">
        <f t="shared" si="138"/>
        <v>0</v>
      </c>
      <c r="T972" s="29" t="s">
        <v>97</v>
      </c>
      <c r="U972" s="115">
        <v>0.35</v>
      </c>
      <c r="V972" s="10">
        <f>VLOOKUP(D972,A!B$1:T$1125,17,FALSE)</f>
        <v>0</v>
      </c>
      <c r="W972" s="10">
        <f t="shared" si="139"/>
        <v>0</v>
      </c>
      <c r="X972" s="29"/>
      <c r="Y972" s="29"/>
      <c r="Z972" s="29"/>
      <c r="AA972" s="29"/>
    </row>
    <row r="973" spans="1:27" s="3" customFormat="1" ht="13.5" hidden="1" customHeight="1" x14ac:dyDescent="0.25">
      <c r="A973" t="str">
        <f>IF(R973=0,"",COUNTIF(A$13:A972,"&gt;0")+1)</f>
        <v/>
      </c>
      <c r="B973" s="4"/>
      <c r="C973" s="5" t="s">
        <v>44</v>
      </c>
      <c r="D973" s="7" t="s">
        <v>1044</v>
      </c>
      <c r="E973" s="31"/>
      <c r="F973" s="31"/>
      <c r="G973" s="6" t="s">
        <v>1036</v>
      </c>
      <c r="H973" s="7">
        <f>VLOOKUP(D973,A!B$1:L$1126,8,FALSE)</f>
        <v>0</v>
      </c>
      <c r="I973" s="31">
        <f>VLOOKUP(D973,A!B$1:L$1126,8,FALSE)</f>
        <v>0</v>
      </c>
      <c r="J973" s="92"/>
      <c r="K973" s="63" t="str">
        <f>VLOOKUP(D973,A!B$1:P$1126,11,FALSE)</f>
        <v/>
      </c>
      <c r="L973" s="162"/>
      <c r="M973" s="43" t="s">
        <v>1045</v>
      </c>
      <c r="N973" s="94">
        <f>VLOOKUP(D973,A!B$1:L$1125,7,FALSE)</f>
        <v>0</v>
      </c>
      <c r="O973" s="94">
        <f>VLOOKUP(D973,A!B$1:P$1126,9,FALSE)</f>
        <v>0</v>
      </c>
      <c r="P973" s="10">
        <v>6</v>
      </c>
      <c r="Q973" s="10">
        <v>5.95</v>
      </c>
      <c r="R973" s="10">
        <f t="shared" si="137"/>
        <v>0</v>
      </c>
      <c r="S973" s="10">
        <f t="shared" si="138"/>
        <v>0</v>
      </c>
      <c r="T973" s="29" t="s">
        <v>97</v>
      </c>
      <c r="U973" s="115">
        <v>0.35</v>
      </c>
      <c r="V973" s="10">
        <f>VLOOKUP(D973,A!B$1:T$1125,17,FALSE)</f>
        <v>0</v>
      </c>
      <c r="W973" s="10">
        <f t="shared" si="139"/>
        <v>0</v>
      </c>
      <c r="X973" s="29"/>
      <c r="Y973" s="29"/>
      <c r="Z973" s="29"/>
      <c r="AA973" s="29"/>
    </row>
    <row r="974" spans="1:27" s="3" customFormat="1" ht="13.5" hidden="1" customHeight="1" x14ac:dyDescent="0.25">
      <c r="A974" t="str">
        <f>IF(R974=0,"",COUNTIF(A$13:A973,"&gt;0")+1)</f>
        <v/>
      </c>
      <c r="B974" s="4"/>
      <c r="C974" s="5" t="s">
        <v>44</v>
      </c>
      <c r="D974" s="7" t="s">
        <v>1046</v>
      </c>
      <c r="E974" s="31"/>
      <c r="F974" s="31"/>
      <c r="G974" s="6" t="s">
        <v>1047</v>
      </c>
      <c r="H974" s="7">
        <f>VLOOKUP(D974,A!B$1:L$1126,8,FALSE)</f>
        <v>0</v>
      </c>
      <c r="I974" s="31">
        <f>VLOOKUP(D974,A!B$1:L$1126,8,FALSE)</f>
        <v>0</v>
      </c>
      <c r="J974" s="92"/>
      <c r="K974" s="63" t="str">
        <f>VLOOKUP(D974,A!B$1:P$1126,11,FALSE)</f>
        <v/>
      </c>
      <c r="L974" s="162"/>
      <c r="M974" s="43" t="s">
        <v>1048</v>
      </c>
      <c r="N974" s="94">
        <f>VLOOKUP(D974,A!B$1:L$1125,7,FALSE)</f>
        <v>0</v>
      </c>
      <c r="O974" s="94">
        <f>VLOOKUP(D974,A!B$1:P$1126,9,FALSE)</f>
        <v>0</v>
      </c>
      <c r="P974" s="10">
        <v>6</v>
      </c>
      <c r="Q974" s="10">
        <v>5.95</v>
      </c>
      <c r="R974" s="10">
        <f t="shared" si="137"/>
        <v>0</v>
      </c>
      <c r="S974" s="10">
        <f t="shared" si="138"/>
        <v>0</v>
      </c>
      <c r="T974" s="29" t="s">
        <v>97</v>
      </c>
      <c r="U974" s="115">
        <v>0.35</v>
      </c>
      <c r="V974" s="10">
        <f>VLOOKUP(D974,A!B$1:T$1125,17,FALSE)</f>
        <v>0</v>
      </c>
      <c r="W974" s="10">
        <f t="shared" si="139"/>
        <v>0</v>
      </c>
      <c r="X974" s="29"/>
      <c r="Y974" s="29"/>
      <c r="Z974" s="29"/>
      <c r="AA974" s="29"/>
    </row>
    <row r="975" spans="1:27" s="3" customFormat="1" ht="13.5" hidden="1" customHeight="1" x14ac:dyDescent="0.25">
      <c r="A975" t="str">
        <f>IF(R975=0,"",COUNTIF(A$13:A974,"&gt;0")+1)</f>
        <v/>
      </c>
      <c r="B975" s="4"/>
      <c r="C975" s="5" t="s">
        <v>44</v>
      </c>
      <c r="D975" s="7" t="s">
        <v>1049</v>
      </c>
      <c r="E975" s="31"/>
      <c r="F975" s="31"/>
      <c r="G975" s="6" t="s">
        <v>1047</v>
      </c>
      <c r="H975" s="7">
        <f>VLOOKUP(D975,A!B$1:L$1126,8,FALSE)</f>
        <v>0</v>
      </c>
      <c r="I975" s="31">
        <f>VLOOKUP(D975,A!B$1:L$1126,8,FALSE)</f>
        <v>0</v>
      </c>
      <c r="J975" s="92"/>
      <c r="K975" s="63" t="str">
        <f>VLOOKUP(D975,A!B$1:P$1126,11,FALSE)</f>
        <v/>
      </c>
      <c r="L975" s="162"/>
      <c r="M975" s="43" t="s">
        <v>1050</v>
      </c>
      <c r="N975" s="94">
        <f>VLOOKUP(D975,A!B$1:L$1125,7,FALSE)</f>
        <v>0</v>
      </c>
      <c r="O975" s="94">
        <f>VLOOKUP(D975,A!B$1:P$1126,9,FALSE)</f>
        <v>0</v>
      </c>
      <c r="P975" s="10">
        <v>6</v>
      </c>
      <c r="Q975" s="10">
        <v>5.95</v>
      </c>
      <c r="R975" s="10">
        <f t="shared" si="137"/>
        <v>0</v>
      </c>
      <c r="S975" s="10">
        <f t="shared" si="138"/>
        <v>0</v>
      </c>
      <c r="T975" s="29" t="s">
        <v>97</v>
      </c>
      <c r="U975" s="115">
        <v>0.35</v>
      </c>
      <c r="V975" s="10">
        <f>VLOOKUP(D975,A!B$1:T$1125,17,FALSE)</f>
        <v>0</v>
      </c>
      <c r="W975" s="10">
        <f t="shared" si="139"/>
        <v>0</v>
      </c>
      <c r="X975" s="29"/>
      <c r="Y975" s="29"/>
      <c r="Z975" s="29"/>
      <c r="AA975" s="29"/>
    </row>
    <row r="976" spans="1:27" s="3" customFormat="1" ht="13.5" hidden="1" customHeight="1" x14ac:dyDescent="0.25">
      <c r="A976" t="str">
        <f>IF(R976=0,"",COUNTIF(A$13:A975,"&gt;0")+1)</f>
        <v/>
      </c>
      <c r="B976" s="4"/>
      <c r="C976" s="5" t="s">
        <v>44</v>
      </c>
      <c r="D976" s="7" t="s">
        <v>1051</v>
      </c>
      <c r="E976" s="31"/>
      <c r="F976" s="31"/>
      <c r="G976" s="6" t="s">
        <v>1052</v>
      </c>
      <c r="H976" s="7">
        <f>VLOOKUP(D976,A!B$1:L$1126,8,FALSE)</f>
        <v>0</v>
      </c>
      <c r="I976" s="31">
        <f>VLOOKUP(D976,A!B$1:L$1126,8,FALSE)</f>
        <v>0</v>
      </c>
      <c r="J976" s="92"/>
      <c r="K976" s="63" t="str">
        <f>VLOOKUP(D976,A!B$1:P$1126,11,FALSE)</f>
        <v/>
      </c>
      <c r="L976" s="162"/>
      <c r="M976" s="43" t="s">
        <v>1053</v>
      </c>
      <c r="N976" s="94">
        <f>VLOOKUP(D976,A!B$1:L$1125,7,FALSE)</f>
        <v>0</v>
      </c>
      <c r="O976" s="94">
        <f>VLOOKUP(D976,A!B$1:P$1126,9,FALSE)</f>
        <v>0</v>
      </c>
      <c r="P976" s="10">
        <v>6</v>
      </c>
      <c r="Q976" s="10">
        <v>5.95</v>
      </c>
      <c r="R976" s="10">
        <f t="shared" si="137"/>
        <v>0</v>
      </c>
      <c r="S976" s="10">
        <f t="shared" si="138"/>
        <v>0</v>
      </c>
      <c r="T976" s="29" t="s">
        <v>97</v>
      </c>
      <c r="U976" s="115">
        <v>0.35</v>
      </c>
      <c r="V976" s="10">
        <f>VLOOKUP(D976,A!B$1:T$1125,17,FALSE)</f>
        <v>0</v>
      </c>
      <c r="W976" s="10">
        <f t="shared" si="139"/>
        <v>0</v>
      </c>
      <c r="X976" s="29"/>
      <c r="Y976" s="29"/>
      <c r="Z976" s="29"/>
      <c r="AA976" s="29"/>
    </row>
    <row r="977" spans="1:27" s="3" customFormat="1" ht="13.5" hidden="1" customHeight="1" x14ac:dyDescent="0.25">
      <c r="A977" t="str">
        <f>IF(R977=0,"",COUNTIF(A$13:A976,"&gt;0")+1)</f>
        <v/>
      </c>
      <c r="B977" s="4"/>
      <c r="C977" s="5" t="s">
        <v>44</v>
      </c>
      <c r="D977" s="7" t="s">
        <v>1054</v>
      </c>
      <c r="E977" s="31"/>
      <c r="F977" s="31"/>
      <c r="G977" s="6" t="s">
        <v>1047</v>
      </c>
      <c r="H977" s="7">
        <f>VLOOKUP(D977,A!B$1:L$1126,8,FALSE)</f>
        <v>0</v>
      </c>
      <c r="I977" s="31">
        <f>VLOOKUP(D977,A!B$1:L$1126,8,FALSE)</f>
        <v>0</v>
      </c>
      <c r="J977" s="92"/>
      <c r="K977" s="63" t="str">
        <f>VLOOKUP(D977,A!B$1:P$1126,11,FALSE)</f>
        <v/>
      </c>
      <c r="L977" s="162"/>
      <c r="M977" s="43" t="s">
        <v>1055</v>
      </c>
      <c r="N977" s="94">
        <f>VLOOKUP(D977,A!B$1:L$1125,7,FALSE)</f>
        <v>0</v>
      </c>
      <c r="O977" s="94">
        <f>VLOOKUP(D977,A!B$1:P$1126,9,FALSE)</f>
        <v>0</v>
      </c>
      <c r="P977" s="10">
        <v>6</v>
      </c>
      <c r="Q977" s="10">
        <v>5.95</v>
      </c>
      <c r="R977" s="10">
        <f t="shared" si="137"/>
        <v>0</v>
      </c>
      <c r="S977" s="10">
        <f t="shared" si="138"/>
        <v>0</v>
      </c>
      <c r="T977" s="29" t="s">
        <v>97</v>
      </c>
      <c r="U977" s="115">
        <v>0.35</v>
      </c>
      <c r="V977" s="10">
        <f>VLOOKUP(D977,A!B$1:T$1125,17,FALSE)</f>
        <v>0</v>
      </c>
      <c r="W977" s="10">
        <f t="shared" si="139"/>
        <v>0</v>
      </c>
      <c r="X977" s="29"/>
      <c r="Y977" s="29"/>
      <c r="Z977" s="29"/>
      <c r="AA977" s="29"/>
    </row>
    <row r="978" spans="1:27" s="3" customFormat="1" ht="13.5" hidden="1" customHeight="1" x14ac:dyDescent="0.25">
      <c r="A978" t="str">
        <f>IF(R978=0,"",COUNTIF(A$13:A977,"&gt;0")+1)</f>
        <v/>
      </c>
      <c r="B978" s="4"/>
      <c r="C978" s="5" t="s">
        <v>44</v>
      </c>
      <c r="D978" s="7" t="s">
        <v>256</v>
      </c>
      <c r="E978" s="31"/>
      <c r="F978" s="31"/>
      <c r="G978" s="6" t="s">
        <v>315</v>
      </c>
      <c r="H978" s="7">
        <f>VLOOKUP(D978,A!B$1:L$1126,8,FALSE)</f>
        <v>0</v>
      </c>
      <c r="I978" s="31">
        <f>VLOOKUP(D978,A!B$1:L$1126,8,FALSE)</f>
        <v>0</v>
      </c>
      <c r="J978" s="92"/>
      <c r="K978" s="63" t="str">
        <f>VLOOKUP(D978,A!B$1:P$1126,11,FALSE)</f>
        <v/>
      </c>
      <c r="L978" s="2"/>
      <c r="M978" s="41" t="s">
        <v>258</v>
      </c>
      <c r="N978" s="94">
        <f>VLOOKUP(D978,A!B$1:L$1125,7,FALSE)</f>
        <v>0</v>
      </c>
      <c r="O978" s="94">
        <f>VLOOKUP(D978,A!B$1:P$1126,9,FALSE)</f>
        <v>0</v>
      </c>
      <c r="P978" s="10">
        <v>6</v>
      </c>
      <c r="Q978" s="151">
        <v>8.4</v>
      </c>
      <c r="R978" s="10">
        <f>B978*P978</f>
        <v>0</v>
      </c>
      <c r="S978" s="10">
        <f>R978*Q978</f>
        <v>0</v>
      </c>
      <c r="T978" s="29" t="s">
        <v>97</v>
      </c>
      <c r="U978" s="115">
        <v>0.35</v>
      </c>
      <c r="V978" s="10">
        <f>VLOOKUP(D978,A!B$1:T$1125,17,FALSE)</f>
        <v>0</v>
      </c>
      <c r="W978" s="10">
        <f>U978*B978</f>
        <v>0</v>
      </c>
      <c r="X978" s="29"/>
      <c r="Y978" s="29"/>
      <c r="Z978" s="29"/>
      <c r="AA978" s="29"/>
    </row>
    <row r="979" spans="1:27" s="3" customFormat="1" ht="13.5" hidden="1" customHeight="1" x14ac:dyDescent="0.25">
      <c r="A979" t="str">
        <f>IF(R979=0,"",COUNTIF(A$13:A978,"&gt;0")+1)</f>
        <v/>
      </c>
      <c r="B979" s="4"/>
      <c r="C979" s="5" t="s">
        <v>44</v>
      </c>
      <c r="D979" s="7" t="s">
        <v>1056</v>
      </c>
      <c r="E979" s="31"/>
      <c r="F979" s="31"/>
      <c r="G979" s="6" t="s">
        <v>1057</v>
      </c>
      <c r="H979" s="7">
        <f>VLOOKUP(D979,A!B$1:L$1126,8,FALSE)</f>
        <v>0</v>
      </c>
      <c r="I979" s="31">
        <f>VLOOKUP(D979,A!B$1:L$1126,8,FALSE)</f>
        <v>0</v>
      </c>
      <c r="J979" s="92"/>
      <c r="K979" s="63" t="str">
        <f>VLOOKUP(D979,A!B$1:P$1126,11,FALSE)</f>
        <v/>
      </c>
      <c r="L979" s="162"/>
      <c r="M979" s="41" t="s">
        <v>1058</v>
      </c>
      <c r="N979" s="94">
        <f>VLOOKUP(D979,A!B$1:L$1125,7,FALSE)</f>
        <v>0</v>
      </c>
      <c r="O979" s="94">
        <f>VLOOKUP(D979,A!B$1:P$1126,9,FALSE)</f>
        <v>0</v>
      </c>
      <c r="P979" s="10">
        <v>6</v>
      </c>
      <c r="Q979" s="10">
        <v>5.95</v>
      </c>
      <c r="R979" s="10">
        <f t="shared" ref="R979:R1042" si="140">B979*P979</f>
        <v>0</v>
      </c>
      <c r="S979" s="10">
        <f t="shared" ref="S979:S1042" si="141">R979*Q979</f>
        <v>0</v>
      </c>
      <c r="T979" s="29" t="s">
        <v>97</v>
      </c>
      <c r="U979" s="115">
        <v>0.35</v>
      </c>
      <c r="V979" s="10">
        <f>VLOOKUP(D979,A!B$1:T$1125,17,FALSE)</f>
        <v>0</v>
      </c>
      <c r="W979" s="10">
        <f t="shared" ref="W979:W1042" si="142">U979*B979</f>
        <v>0</v>
      </c>
      <c r="X979" s="29"/>
      <c r="Y979" s="29"/>
      <c r="Z979" s="29"/>
      <c r="AA979" s="29"/>
    </row>
    <row r="980" spans="1:27" s="3" customFormat="1" ht="13.5" hidden="1" customHeight="1" x14ac:dyDescent="0.25">
      <c r="A980" t="str">
        <f>IF(R980=0,"",COUNTIF(A$13:A979,"&gt;0")+1)</f>
        <v/>
      </c>
      <c r="B980" s="4"/>
      <c r="C980" s="5" t="s">
        <v>44</v>
      </c>
      <c r="D980" s="7" t="s">
        <v>1059</v>
      </c>
      <c r="E980" s="31"/>
      <c r="F980" s="31"/>
      <c r="G980" s="6" t="s">
        <v>1060</v>
      </c>
      <c r="H980" s="7">
        <f>VLOOKUP(D980,A!B$1:L$1126,8,FALSE)</f>
        <v>0</v>
      </c>
      <c r="I980" s="31">
        <f>VLOOKUP(D980,A!B$1:L$1126,8,FALSE)</f>
        <v>0</v>
      </c>
      <c r="J980" s="92"/>
      <c r="K980" s="63" t="str">
        <f>VLOOKUP(D980,A!B$1:P$1126,11,FALSE)</f>
        <v/>
      </c>
      <c r="L980" s="162"/>
      <c r="M980" s="41" t="s">
        <v>1061</v>
      </c>
      <c r="N980" s="94">
        <f>VLOOKUP(D980,A!B$1:L$1125,7,FALSE)</f>
        <v>0</v>
      </c>
      <c r="O980" s="94">
        <f>VLOOKUP(D980,A!B$1:P$1126,9,FALSE)</f>
        <v>0</v>
      </c>
      <c r="P980" s="10">
        <v>6</v>
      </c>
      <c r="Q980" s="10">
        <v>5.95</v>
      </c>
      <c r="R980" s="10">
        <f t="shared" si="140"/>
        <v>0</v>
      </c>
      <c r="S980" s="10">
        <f t="shared" si="141"/>
        <v>0</v>
      </c>
      <c r="T980" s="29" t="s">
        <v>97</v>
      </c>
      <c r="U980" s="115">
        <v>0.35</v>
      </c>
      <c r="V980" s="10">
        <f>VLOOKUP(D980,A!B$1:T$1125,17,FALSE)</f>
        <v>0</v>
      </c>
      <c r="W980" s="10">
        <f t="shared" si="142"/>
        <v>0</v>
      </c>
      <c r="X980" s="29"/>
      <c r="Y980" s="29"/>
      <c r="Z980" s="29"/>
      <c r="AA980" s="29"/>
    </row>
    <row r="981" spans="1:27" s="3" customFormat="1" ht="13.5" hidden="1" customHeight="1" x14ac:dyDescent="0.25">
      <c r="A981" t="str">
        <f>IF(R981=0,"",COUNTIF(A$13:A980,"&gt;0")+1)</f>
        <v/>
      </c>
      <c r="B981" s="4"/>
      <c r="C981" s="5" t="s">
        <v>44</v>
      </c>
      <c r="D981" s="7" t="s">
        <v>1062</v>
      </c>
      <c r="E981" s="31"/>
      <c r="F981" s="31"/>
      <c r="G981" s="6" t="s">
        <v>1063</v>
      </c>
      <c r="H981" s="7">
        <f>VLOOKUP(D981,A!B$1:L$1126,8,FALSE)</f>
        <v>0</v>
      </c>
      <c r="I981" s="31">
        <f>VLOOKUP(D981,A!B$1:L$1126,8,FALSE)</f>
        <v>0</v>
      </c>
      <c r="J981" s="92"/>
      <c r="K981" s="63" t="str">
        <f>VLOOKUP(D981,A!B$1:P$1126,11,FALSE)</f>
        <v/>
      </c>
      <c r="L981" s="162"/>
      <c r="M981" s="41" t="s">
        <v>1064</v>
      </c>
      <c r="N981" s="94">
        <f>VLOOKUP(D981,A!B$1:L$1125,7,FALSE)</f>
        <v>0</v>
      </c>
      <c r="O981" s="94">
        <f>VLOOKUP(D981,A!B$1:P$1126,9,FALSE)</f>
        <v>0</v>
      </c>
      <c r="P981" s="10">
        <v>6</v>
      </c>
      <c r="Q981" s="10">
        <v>5.95</v>
      </c>
      <c r="R981" s="10">
        <f t="shared" si="140"/>
        <v>0</v>
      </c>
      <c r="S981" s="10">
        <f t="shared" si="141"/>
        <v>0</v>
      </c>
      <c r="T981" s="29" t="s">
        <v>97</v>
      </c>
      <c r="U981" s="115">
        <v>0.35</v>
      </c>
      <c r="V981" s="10">
        <f>VLOOKUP(D981,A!B$1:T$1125,17,FALSE)</f>
        <v>0</v>
      </c>
      <c r="W981" s="10">
        <f t="shared" si="142"/>
        <v>0</v>
      </c>
      <c r="X981" s="29"/>
      <c r="Y981" s="29"/>
      <c r="Z981" s="29"/>
      <c r="AA981" s="29"/>
    </row>
    <row r="982" spans="1:27" s="3" customFormat="1" ht="13.5" hidden="1" customHeight="1" x14ac:dyDescent="0.25">
      <c r="A982" t="str">
        <f>IF(R982=0,"",COUNTIF(A$13:A981,"&gt;0")+1)</f>
        <v/>
      </c>
      <c r="B982" s="4"/>
      <c r="C982" s="5" t="s">
        <v>44</v>
      </c>
      <c r="D982" s="7" t="s">
        <v>1065</v>
      </c>
      <c r="E982" s="31"/>
      <c r="F982" s="31"/>
      <c r="G982" s="6" t="s">
        <v>1066</v>
      </c>
      <c r="H982" s="7">
        <f>VLOOKUP(D982,A!B$1:L$1126,8,FALSE)</f>
        <v>0</v>
      </c>
      <c r="I982" s="31">
        <f>VLOOKUP(D982,A!B$1:L$1126,8,FALSE)</f>
        <v>0</v>
      </c>
      <c r="J982" s="92"/>
      <c r="K982" s="63" t="str">
        <f>VLOOKUP(D982,A!B$1:P$1126,11,FALSE)</f>
        <v/>
      </c>
      <c r="L982" s="162"/>
      <c r="M982" s="43" t="s">
        <v>1067</v>
      </c>
      <c r="N982" s="94">
        <f>VLOOKUP(D982,A!B$1:L$1125,7,FALSE)</f>
        <v>0</v>
      </c>
      <c r="O982" s="94">
        <f>VLOOKUP(D982,A!B$1:P$1126,9,FALSE)</f>
        <v>0</v>
      </c>
      <c r="P982" s="10">
        <v>6</v>
      </c>
      <c r="Q982" s="10">
        <v>5.95</v>
      </c>
      <c r="R982" s="10">
        <f t="shared" si="140"/>
        <v>0</v>
      </c>
      <c r="S982" s="10">
        <f t="shared" si="141"/>
        <v>0</v>
      </c>
      <c r="T982" s="29" t="s">
        <v>97</v>
      </c>
      <c r="U982" s="115">
        <v>0.35</v>
      </c>
      <c r="V982" s="10">
        <f>VLOOKUP(D982,A!B$1:T$1125,17,FALSE)</f>
        <v>0</v>
      </c>
      <c r="W982" s="10">
        <f t="shared" si="142"/>
        <v>0</v>
      </c>
      <c r="X982" s="29"/>
      <c r="Y982" s="29"/>
      <c r="Z982" s="29"/>
      <c r="AA982" s="29"/>
    </row>
    <row r="983" spans="1:27" s="3" customFormat="1" ht="13.5" hidden="1" customHeight="1" x14ac:dyDescent="0.25">
      <c r="A983" t="str">
        <f>IF(R983=0,"",COUNTIF(A$13:A982,"&gt;0")+1)</f>
        <v/>
      </c>
      <c r="B983" s="4"/>
      <c r="C983" s="5" t="s">
        <v>44</v>
      </c>
      <c r="D983" s="7" t="s">
        <v>1068</v>
      </c>
      <c r="E983" s="31"/>
      <c r="F983" s="31"/>
      <c r="G983" s="6" t="s">
        <v>1069</v>
      </c>
      <c r="H983" s="7">
        <f>VLOOKUP(D983,A!B$1:L$1126,8,FALSE)</f>
        <v>0</v>
      </c>
      <c r="I983" s="31">
        <f>VLOOKUP(D983,A!B$1:L$1126,8,FALSE)</f>
        <v>0</v>
      </c>
      <c r="J983" s="92"/>
      <c r="K983" s="63" t="str">
        <f>VLOOKUP(D983,A!B$1:P$1126,11,FALSE)</f>
        <v/>
      </c>
      <c r="L983" s="162"/>
      <c r="M983" s="41" t="s">
        <v>1070</v>
      </c>
      <c r="N983" s="94">
        <f>VLOOKUP(D983,A!B$1:L$1125,7,FALSE)</f>
        <v>0</v>
      </c>
      <c r="O983" s="94">
        <f>VLOOKUP(D983,A!B$1:P$1126,9,FALSE)</f>
        <v>0</v>
      </c>
      <c r="P983" s="10">
        <v>6</v>
      </c>
      <c r="Q983" s="10">
        <v>5.95</v>
      </c>
      <c r="R983" s="10">
        <f t="shared" si="140"/>
        <v>0</v>
      </c>
      <c r="S983" s="10">
        <f t="shared" si="141"/>
        <v>0</v>
      </c>
      <c r="T983" s="29" t="s">
        <v>97</v>
      </c>
      <c r="U983" s="115">
        <v>0.35</v>
      </c>
      <c r="V983" s="10">
        <f>VLOOKUP(D983,A!B$1:T$1125,17,FALSE)</f>
        <v>0</v>
      </c>
      <c r="W983" s="10">
        <f t="shared" si="142"/>
        <v>0</v>
      </c>
      <c r="X983" s="29"/>
      <c r="Y983" s="29"/>
      <c r="Z983" s="29"/>
      <c r="AA983" s="29"/>
    </row>
    <row r="984" spans="1:27" s="3" customFormat="1" ht="13.5" hidden="1" customHeight="1" x14ac:dyDescent="0.25">
      <c r="A984" t="str">
        <f>IF(R984=0,"",COUNTIF(A$13:A983,"&gt;0")+1)</f>
        <v/>
      </c>
      <c r="B984" s="4"/>
      <c r="C984" s="5" t="s">
        <v>44</v>
      </c>
      <c r="D984" s="7" t="s">
        <v>1172</v>
      </c>
      <c r="E984" s="31"/>
      <c r="F984" s="31"/>
      <c r="G984" s="6" t="s">
        <v>1173</v>
      </c>
      <c r="H984" s="7">
        <f>VLOOKUP(D984,A!B$1:L$1126,8,FALSE)</f>
        <v>0</v>
      </c>
      <c r="I984" s="31">
        <f>VLOOKUP(D984,A!B$1:L$1126,8,FALSE)</f>
        <v>0</v>
      </c>
      <c r="J984" s="92"/>
      <c r="K984" s="63" t="str">
        <f>VLOOKUP(D984,A!B$1:P$1126,11,FALSE)</f>
        <v/>
      </c>
      <c r="L984" s="162"/>
      <c r="M984" s="43" t="s">
        <v>1174</v>
      </c>
      <c r="N984" s="94">
        <f>VLOOKUP(D984,A!B$1:L$1125,7,FALSE)</f>
        <v>0</v>
      </c>
      <c r="O984" s="94">
        <f>VLOOKUP(D984,A!B$1:P$1126,9,FALSE)</f>
        <v>0</v>
      </c>
      <c r="P984" s="10">
        <v>6</v>
      </c>
      <c r="Q984" s="10">
        <v>5.95</v>
      </c>
      <c r="R984" s="10">
        <f t="shared" si="140"/>
        <v>0</v>
      </c>
      <c r="S984" s="10">
        <f t="shared" si="141"/>
        <v>0</v>
      </c>
      <c r="T984" s="29" t="s">
        <v>97</v>
      </c>
      <c r="U984" s="115">
        <v>0.35</v>
      </c>
      <c r="V984" s="10">
        <f>VLOOKUP(D984,A!B$1:T$1125,17,FALSE)</f>
        <v>0</v>
      </c>
      <c r="W984" s="10">
        <f t="shared" si="142"/>
        <v>0</v>
      </c>
      <c r="X984" s="29"/>
      <c r="Y984" s="29"/>
      <c r="Z984" s="29"/>
      <c r="AA984" s="29"/>
    </row>
    <row r="985" spans="1:27" s="3" customFormat="1" ht="13.5" hidden="1" customHeight="1" x14ac:dyDescent="0.25">
      <c r="A985" t="str">
        <f>IF(R985=0,"",COUNTIF(A$13:A984,"&gt;0")+1)</f>
        <v/>
      </c>
      <c r="B985" s="4"/>
      <c r="C985" s="5" t="s">
        <v>44</v>
      </c>
      <c r="D985" s="7" t="s">
        <v>1175</v>
      </c>
      <c r="E985" s="31"/>
      <c r="F985" s="31"/>
      <c r="G985" s="6" t="s">
        <v>1176</v>
      </c>
      <c r="H985" s="7">
        <f>VLOOKUP(D985,A!B$1:L$1126,8,FALSE)</f>
        <v>0</v>
      </c>
      <c r="I985" s="31">
        <f>VLOOKUP(D985,A!B$1:L$1126,8,FALSE)</f>
        <v>0</v>
      </c>
      <c r="J985" s="92"/>
      <c r="K985" s="63" t="str">
        <f>VLOOKUP(D985,A!B$1:P$1126,11,FALSE)</f>
        <v/>
      </c>
      <c r="L985" s="162"/>
      <c r="M985" s="43" t="s">
        <v>1177</v>
      </c>
      <c r="N985" s="94">
        <f>VLOOKUP(D985,A!B$1:L$1125,7,FALSE)</f>
        <v>0</v>
      </c>
      <c r="O985" s="94">
        <f>VLOOKUP(D985,A!B$1:P$1126,9,FALSE)</f>
        <v>0</v>
      </c>
      <c r="P985" s="10">
        <v>6</v>
      </c>
      <c r="Q985" s="10">
        <v>5.95</v>
      </c>
      <c r="R985" s="10">
        <f t="shared" si="140"/>
        <v>0</v>
      </c>
      <c r="S985" s="10">
        <f t="shared" si="141"/>
        <v>0</v>
      </c>
      <c r="T985" s="29" t="s">
        <v>97</v>
      </c>
      <c r="U985" s="115">
        <v>0.35</v>
      </c>
      <c r="V985" s="10">
        <f>VLOOKUP(D985,A!B$1:T$1125,17,FALSE)</f>
        <v>0</v>
      </c>
      <c r="W985" s="10">
        <f t="shared" si="142"/>
        <v>0</v>
      </c>
      <c r="X985" s="29"/>
      <c r="Y985" s="29"/>
      <c r="Z985" s="29"/>
      <c r="AA985" s="29"/>
    </row>
    <row r="986" spans="1:27" s="3" customFormat="1" ht="13.5" hidden="1" customHeight="1" x14ac:dyDescent="0.25">
      <c r="A986" t="str">
        <f>IF(R986=0,"",COUNTIF(A$13:A985,"&gt;0")+1)</f>
        <v/>
      </c>
      <c r="B986" s="4"/>
      <c r="C986" s="5" t="s">
        <v>44</v>
      </c>
      <c r="D986" s="7" t="s">
        <v>1178</v>
      </c>
      <c r="E986" s="31"/>
      <c r="F986" s="31"/>
      <c r="G986" s="6" t="s">
        <v>1179</v>
      </c>
      <c r="H986" s="7">
        <f>VLOOKUP(D986,A!B$1:L$1126,8,FALSE)</f>
        <v>0</v>
      </c>
      <c r="I986" s="31">
        <f>VLOOKUP(D986,A!B$1:L$1126,8,FALSE)</f>
        <v>0</v>
      </c>
      <c r="J986" s="92"/>
      <c r="K986" s="63" t="str">
        <f>VLOOKUP(D986,A!B$1:P$1126,11,FALSE)</f>
        <v/>
      </c>
      <c r="L986" s="162"/>
      <c r="M986" s="43" t="s">
        <v>1180</v>
      </c>
      <c r="N986" s="94">
        <f>VLOOKUP(D986,A!B$1:L$1125,7,FALSE)</f>
        <v>0</v>
      </c>
      <c r="O986" s="94">
        <f>VLOOKUP(D986,A!B$1:P$1126,9,FALSE)</f>
        <v>0</v>
      </c>
      <c r="P986" s="10">
        <v>6</v>
      </c>
      <c r="Q986" s="10">
        <v>5.95</v>
      </c>
      <c r="R986" s="10">
        <f t="shared" si="140"/>
        <v>0</v>
      </c>
      <c r="S986" s="10">
        <f t="shared" si="141"/>
        <v>0</v>
      </c>
      <c r="T986" s="29" t="s">
        <v>97</v>
      </c>
      <c r="U986" s="115">
        <v>0.35</v>
      </c>
      <c r="V986" s="10">
        <f>VLOOKUP(D986,A!B$1:T$1125,17,FALSE)</f>
        <v>0</v>
      </c>
      <c r="W986" s="10">
        <f t="shared" si="142"/>
        <v>0</v>
      </c>
      <c r="X986" s="29"/>
      <c r="Y986" s="29"/>
      <c r="Z986" s="29"/>
      <c r="AA986" s="29"/>
    </row>
    <row r="987" spans="1:27" s="3" customFormat="1" ht="13.5" hidden="1" customHeight="1" x14ac:dyDescent="0.25">
      <c r="A987" t="str">
        <f>IF(R987=0,"",COUNTIF(A$13:A986,"&gt;0")+1)</f>
        <v/>
      </c>
      <c r="B987" s="4"/>
      <c r="C987" s="5" t="s">
        <v>44</v>
      </c>
      <c r="D987" s="7" t="s">
        <v>1181</v>
      </c>
      <c r="E987" s="31"/>
      <c r="F987" s="31"/>
      <c r="G987" s="6" t="s">
        <v>1182</v>
      </c>
      <c r="H987" s="7">
        <f>VLOOKUP(D987,A!B$1:L$1126,8,FALSE)</f>
        <v>0</v>
      </c>
      <c r="I987" s="31">
        <f>VLOOKUP(D987,A!B$1:L$1126,8,FALSE)</f>
        <v>0</v>
      </c>
      <c r="J987" s="92"/>
      <c r="K987" s="63" t="str">
        <f>VLOOKUP(D987,A!B$1:P$1126,11,FALSE)</f>
        <v/>
      </c>
      <c r="L987" s="162"/>
      <c r="M987" s="43" t="s">
        <v>1183</v>
      </c>
      <c r="N987" s="94">
        <f>VLOOKUP(D987,A!B$1:L$1125,7,FALSE)</f>
        <v>0</v>
      </c>
      <c r="O987" s="94">
        <f>VLOOKUP(D987,A!B$1:P$1126,9,FALSE)</f>
        <v>0</v>
      </c>
      <c r="P987" s="10">
        <v>6</v>
      </c>
      <c r="Q987" s="10">
        <v>5.95</v>
      </c>
      <c r="R987" s="10">
        <f t="shared" si="140"/>
        <v>0</v>
      </c>
      <c r="S987" s="10">
        <f t="shared" si="141"/>
        <v>0</v>
      </c>
      <c r="T987" s="29" t="s">
        <v>97</v>
      </c>
      <c r="U987" s="115">
        <v>0.35</v>
      </c>
      <c r="V987" s="10">
        <f>VLOOKUP(D987,A!B$1:T$1125,17,FALSE)</f>
        <v>0</v>
      </c>
      <c r="W987" s="10">
        <f t="shared" si="142"/>
        <v>0</v>
      </c>
      <c r="X987" s="29"/>
      <c r="Y987" s="29"/>
      <c r="Z987" s="29"/>
      <c r="AA987" s="29"/>
    </row>
    <row r="988" spans="1:27" s="3" customFormat="1" ht="13.5" hidden="1" customHeight="1" x14ac:dyDescent="0.25">
      <c r="A988" t="str">
        <f>IF(R988=0,"",COUNTIF(A$13:A987,"&gt;0")+1)</f>
        <v/>
      </c>
      <c r="B988" s="4"/>
      <c r="C988" s="5" t="s">
        <v>44</v>
      </c>
      <c r="D988" s="7" t="s">
        <v>1184</v>
      </c>
      <c r="E988" s="31"/>
      <c r="F988" s="31"/>
      <c r="G988" s="6" t="s">
        <v>1185</v>
      </c>
      <c r="H988" s="7">
        <f>VLOOKUP(D988,A!B$1:L$1126,8,FALSE)</f>
        <v>0</v>
      </c>
      <c r="I988" s="31">
        <f>VLOOKUP(D988,A!B$1:L$1126,8,FALSE)</f>
        <v>0</v>
      </c>
      <c r="J988" s="92"/>
      <c r="K988" s="63" t="str">
        <f>VLOOKUP(D988,A!B$1:P$1126,11,FALSE)</f>
        <v/>
      </c>
      <c r="L988" s="162"/>
      <c r="M988" s="43" t="s">
        <v>1186</v>
      </c>
      <c r="N988" s="94">
        <f>VLOOKUP(D988,A!B$1:L$1125,7,FALSE)</f>
        <v>0</v>
      </c>
      <c r="O988" s="94">
        <f>VLOOKUP(D988,A!B$1:P$1126,9,FALSE)</f>
        <v>0</v>
      </c>
      <c r="P988" s="10">
        <v>6</v>
      </c>
      <c r="Q988" s="10">
        <v>5.95</v>
      </c>
      <c r="R988" s="10">
        <f t="shared" si="140"/>
        <v>0</v>
      </c>
      <c r="S988" s="10">
        <f t="shared" si="141"/>
        <v>0</v>
      </c>
      <c r="T988" s="29" t="s">
        <v>97</v>
      </c>
      <c r="U988" s="115">
        <v>0.35</v>
      </c>
      <c r="V988" s="10">
        <f>VLOOKUP(D988,A!B$1:T$1125,17,FALSE)</f>
        <v>0</v>
      </c>
      <c r="W988" s="10">
        <f t="shared" si="142"/>
        <v>0</v>
      </c>
      <c r="X988" s="29"/>
      <c r="Y988" s="29"/>
      <c r="Z988" s="29"/>
      <c r="AA988" s="29"/>
    </row>
    <row r="989" spans="1:27" s="3" customFormat="1" ht="13.5" hidden="1" customHeight="1" x14ac:dyDescent="0.25">
      <c r="A989" t="str">
        <f>IF(R989=0,"",COUNTIF(A$13:A988,"&gt;0")+1)</f>
        <v/>
      </c>
      <c r="B989" s="4"/>
      <c r="C989" s="5" t="s">
        <v>44</v>
      </c>
      <c r="D989" s="7" t="s">
        <v>1187</v>
      </c>
      <c r="E989" s="31"/>
      <c r="F989" s="31"/>
      <c r="G989" s="6" t="s">
        <v>1185</v>
      </c>
      <c r="H989" s="7">
        <f>VLOOKUP(D989,A!B$1:L$1126,8,FALSE)</f>
        <v>0</v>
      </c>
      <c r="I989" s="31">
        <f>VLOOKUP(D989,A!B$1:L$1126,8,FALSE)</f>
        <v>0</v>
      </c>
      <c r="J989" s="92"/>
      <c r="K989" s="63" t="str">
        <f>VLOOKUP(D989,A!B$1:P$1126,11,FALSE)</f>
        <v/>
      </c>
      <c r="L989" s="162"/>
      <c r="M989" s="43" t="s">
        <v>1188</v>
      </c>
      <c r="N989" s="94">
        <f>VLOOKUP(D989,A!B$1:L$1125,7,FALSE)</f>
        <v>0</v>
      </c>
      <c r="O989" s="94">
        <f>VLOOKUP(D989,A!B$1:P$1126,9,FALSE)</f>
        <v>0</v>
      </c>
      <c r="P989" s="10">
        <v>6</v>
      </c>
      <c r="Q989" s="10">
        <v>5.95</v>
      </c>
      <c r="R989" s="10">
        <f t="shared" si="140"/>
        <v>0</v>
      </c>
      <c r="S989" s="10">
        <f t="shared" si="141"/>
        <v>0</v>
      </c>
      <c r="T989" s="29" t="s">
        <v>97</v>
      </c>
      <c r="U989" s="115">
        <v>0.35</v>
      </c>
      <c r="V989" s="10">
        <f>VLOOKUP(D989,A!B$1:T$1125,17,FALSE)</f>
        <v>0</v>
      </c>
      <c r="W989" s="10">
        <f t="shared" si="142"/>
        <v>0</v>
      </c>
      <c r="X989" s="29"/>
      <c r="Y989" s="29"/>
      <c r="Z989" s="29"/>
      <c r="AA989" s="29"/>
    </row>
    <row r="990" spans="1:27" s="3" customFormat="1" ht="13.5" hidden="1" customHeight="1" x14ac:dyDescent="0.25">
      <c r="A990" t="str">
        <f>IF(R990=0,"",COUNTIF(A$13:A989,"&gt;0")+1)</f>
        <v/>
      </c>
      <c r="B990" s="4"/>
      <c r="C990" s="5" t="s">
        <v>44</v>
      </c>
      <c r="D990" s="7" t="s">
        <v>1189</v>
      </c>
      <c r="E990" s="31"/>
      <c r="F990" s="31"/>
      <c r="G990" s="6" t="s">
        <v>1185</v>
      </c>
      <c r="H990" s="7">
        <f>VLOOKUP(D990,A!B$1:L$1126,8,FALSE)</f>
        <v>0</v>
      </c>
      <c r="I990" s="31">
        <f>VLOOKUP(D990,A!B$1:L$1126,8,FALSE)</f>
        <v>0</v>
      </c>
      <c r="J990" s="92"/>
      <c r="K990" s="63" t="str">
        <f>VLOOKUP(D990,A!B$1:P$1126,11,FALSE)</f>
        <v/>
      </c>
      <c r="L990" s="162"/>
      <c r="M990" s="43" t="s">
        <v>1190</v>
      </c>
      <c r="N990" s="94">
        <f>VLOOKUP(D990,A!B$1:L$1125,7,FALSE)</f>
        <v>0</v>
      </c>
      <c r="O990" s="94">
        <f>VLOOKUP(D990,A!B$1:P$1126,9,FALSE)</f>
        <v>0</v>
      </c>
      <c r="P990" s="10">
        <v>6</v>
      </c>
      <c r="Q990" s="10">
        <v>5.95</v>
      </c>
      <c r="R990" s="10">
        <f t="shared" si="140"/>
        <v>0</v>
      </c>
      <c r="S990" s="10">
        <f t="shared" si="141"/>
        <v>0</v>
      </c>
      <c r="T990" s="29" t="s">
        <v>97</v>
      </c>
      <c r="U990" s="115">
        <v>0.35</v>
      </c>
      <c r="V990" s="10">
        <f>VLOOKUP(D990,A!B$1:T$1125,17,FALSE)</f>
        <v>0</v>
      </c>
      <c r="W990" s="10">
        <f t="shared" si="142"/>
        <v>0</v>
      </c>
      <c r="X990" s="29"/>
      <c r="Y990" s="29"/>
      <c r="Z990" s="29"/>
      <c r="AA990" s="29"/>
    </row>
    <row r="991" spans="1:27" s="3" customFormat="1" ht="13.5" hidden="1" customHeight="1" x14ac:dyDescent="0.25">
      <c r="A991" t="str">
        <f>IF(R991=0,"",COUNTIF(A$13:A990,"&gt;0")+1)</f>
        <v/>
      </c>
      <c r="B991" s="4"/>
      <c r="C991" s="5" t="s">
        <v>44</v>
      </c>
      <c r="D991" s="7" t="s">
        <v>1191</v>
      </c>
      <c r="E991" s="31"/>
      <c r="F991" s="31"/>
      <c r="G991" s="6" t="s">
        <v>1185</v>
      </c>
      <c r="H991" s="7">
        <f>VLOOKUP(D991,A!B$1:L$1126,8,FALSE)</f>
        <v>0</v>
      </c>
      <c r="I991" s="31">
        <f>VLOOKUP(D991,A!B$1:L$1126,8,FALSE)</f>
        <v>0</v>
      </c>
      <c r="J991" s="92"/>
      <c r="K991" s="63" t="str">
        <f>VLOOKUP(D991,A!B$1:P$1126,11,FALSE)</f>
        <v/>
      </c>
      <c r="L991" s="162"/>
      <c r="M991" s="43" t="s">
        <v>1192</v>
      </c>
      <c r="N991" s="94">
        <f>VLOOKUP(D991,A!B$1:L$1125,7,FALSE)</f>
        <v>0</v>
      </c>
      <c r="O991" s="94">
        <f>VLOOKUP(D991,A!B$1:P$1126,9,FALSE)</f>
        <v>0</v>
      </c>
      <c r="P991" s="10">
        <v>6</v>
      </c>
      <c r="Q991" s="10">
        <v>5.95</v>
      </c>
      <c r="R991" s="10">
        <f t="shared" si="140"/>
        <v>0</v>
      </c>
      <c r="S991" s="10">
        <f t="shared" si="141"/>
        <v>0</v>
      </c>
      <c r="T991" s="29" t="s">
        <v>97</v>
      </c>
      <c r="U991" s="115">
        <v>0.35</v>
      </c>
      <c r="V991" s="10">
        <f>VLOOKUP(D991,A!B$1:T$1125,17,FALSE)</f>
        <v>0</v>
      </c>
      <c r="W991" s="10">
        <f t="shared" si="142"/>
        <v>0</v>
      </c>
      <c r="X991" s="29"/>
      <c r="Y991" s="29"/>
      <c r="Z991" s="29"/>
      <c r="AA991" s="29"/>
    </row>
    <row r="992" spans="1:27" s="3" customFormat="1" ht="13.5" hidden="1" customHeight="1" x14ac:dyDescent="0.25">
      <c r="A992" t="str">
        <f>IF(R992=0,"",COUNTIF(A$13:A991,"&gt;0")+1)</f>
        <v/>
      </c>
      <c r="B992" s="4"/>
      <c r="C992" s="5" t="s">
        <v>44</v>
      </c>
      <c r="D992" s="7" t="s">
        <v>1193</v>
      </c>
      <c r="E992" s="31"/>
      <c r="F992" s="31"/>
      <c r="G992" s="6" t="s">
        <v>1194</v>
      </c>
      <c r="H992" s="7">
        <f>VLOOKUP(D992,A!B$1:L$1126,8,FALSE)</f>
        <v>0</v>
      </c>
      <c r="I992" s="31">
        <f>VLOOKUP(D992,A!B$1:L$1126,8,FALSE)</f>
        <v>0</v>
      </c>
      <c r="J992" s="92"/>
      <c r="K992" s="63" t="str">
        <f>VLOOKUP(D992,A!B$1:P$1126,11,FALSE)</f>
        <v/>
      </c>
      <c r="L992" s="162"/>
      <c r="M992" s="41" t="s">
        <v>1195</v>
      </c>
      <c r="N992" s="94">
        <f>VLOOKUP(D992,A!B$1:L$1125,7,FALSE)</f>
        <v>0</v>
      </c>
      <c r="O992" s="94">
        <f>VLOOKUP(D992,A!B$1:P$1126,9,FALSE)</f>
        <v>0</v>
      </c>
      <c r="P992" s="10">
        <v>6</v>
      </c>
      <c r="Q992" s="10">
        <v>5.95</v>
      </c>
      <c r="R992" s="10">
        <f t="shared" si="140"/>
        <v>0</v>
      </c>
      <c r="S992" s="10">
        <f t="shared" si="141"/>
        <v>0</v>
      </c>
      <c r="T992" s="29" t="s">
        <v>97</v>
      </c>
      <c r="U992" s="115">
        <v>0.35</v>
      </c>
      <c r="V992" s="10">
        <f>VLOOKUP(D992,A!B$1:T$1125,17,FALSE)</f>
        <v>0</v>
      </c>
      <c r="W992" s="10">
        <f t="shared" si="142"/>
        <v>0</v>
      </c>
      <c r="X992" s="29"/>
      <c r="Y992" s="29"/>
      <c r="Z992" s="29"/>
      <c r="AA992" s="29"/>
    </row>
    <row r="993" spans="1:27" s="3" customFormat="1" ht="13.5" hidden="1" customHeight="1" x14ac:dyDescent="0.25">
      <c r="A993" t="str">
        <f>IF(R993=0,"",COUNTIF(A$13:A992,"&gt;0")+1)</f>
        <v/>
      </c>
      <c r="B993" s="4"/>
      <c r="C993" s="5" t="s">
        <v>44</v>
      </c>
      <c r="D993" s="7" t="s">
        <v>1196</v>
      </c>
      <c r="E993" s="31"/>
      <c r="F993" s="31"/>
      <c r="G993" s="6" t="s">
        <v>1194</v>
      </c>
      <c r="H993" s="7">
        <f>VLOOKUP(D993,A!B$1:L$1126,8,FALSE)</f>
        <v>0</v>
      </c>
      <c r="I993" s="31">
        <f>VLOOKUP(D993,A!B$1:L$1126,8,FALSE)</f>
        <v>0</v>
      </c>
      <c r="J993" s="92"/>
      <c r="K993" s="63" t="str">
        <f>VLOOKUP(D993,A!B$1:P$1126,11,FALSE)</f>
        <v/>
      </c>
      <c r="L993" s="162"/>
      <c r="M993" s="43" t="s">
        <v>1197</v>
      </c>
      <c r="N993" s="94">
        <f>VLOOKUP(D993,A!B$1:L$1125,7,FALSE)</f>
        <v>0</v>
      </c>
      <c r="O993" s="94">
        <f>VLOOKUP(D993,A!B$1:P$1126,9,FALSE)</f>
        <v>0</v>
      </c>
      <c r="P993" s="10">
        <v>6</v>
      </c>
      <c r="Q993" s="10">
        <v>5.95</v>
      </c>
      <c r="R993" s="10">
        <f t="shared" si="140"/>
        <v>0</v>
      </c>
      <c r="S993" s="10">
        <f t="shared" si="141"/>
        <v>0</v>
      </c>
      <c r="T993" s="29" t="s">
        <v>97</v>
      </c>
      <c r="U993" s="115">
        <v>0.35</v>
      </c>
      <c r="V993" s="10">
        <f>VLOOKUP(D993,A!B$1:T$1125,17,FALSE)</f>
        <v>0</v>
      </c>
      <c r="W993" s="10">
        <f t="shared" si="142"/>
        <v>0</v>
      </c>
      <c r="X993" s="29"/>
      <c r="Y993" s="29"/>
      <c r="Z993" s="29"/>
      <c r="AA993" s="29"/>
    </row>
    <row r="994" spans="1:27" s="3" customFormat="1" ht="13.5" hidden="1" customHeight="1" x14ac:dyDescent="0.25">
      <c r="A994" t="str">
        <f>IF(R994=0,"",COUNTIF(A$13:A993,"&gt;0")+1)</f>
        <v/>
      </c>
      <c r="B994" s="4"/>
      <c r="C994" s="5" t="s">
        <v>44</v>
      </c>
      <c r="D994" s="7" t="s">
        <v>1198</v>
      </c>
      <c r="E994" s="31"/>
      <c r="F994" s="31"/>
      <c r="G994" s="6" t="s">
        <v>1199</v>
      </c>
      <c r="H994" s="7">
        <f>VLOOKUP(D994,A!B$1:L$1126,8,FALSE)</f>
        <v>0</v>
      </c>
      <c r="I994" s="31">
        <f>VLOOKUP(D994,A!B$1:L$1126,8,FALSE)</f>
        <v>0</v>
      </c>
      <c r="J994" s="92"/>
      <c r="K994" s="63" t="str">
        <f>VLOOKUP(D994,A!B$1:P$1126,11,FALSE)</f>
        <v/>
      </c>
      <c r="L994" s="162"/>
      <c r="M994" s="41" t="s">
        <v>1200</v>
      </c>
      <c r="N994" s="94">
        <f>VLOOKUP(D994,A!B$1:L$1125,7,FALSE)</f>
        <v>0</v>
      </c>
      <c r="O994" s="94">
        <f>VLOOKUP(D994,A!B$1:P$1126,9,FALSE)</f>
        <v>0</v>
      </c>
      <c r="P994" s="10">
        <v>6</v>
      </c>
      <c r="Q994" s="10">
        <v>5.95</v>
      </c>
      <c r="R994" s="10">
        <f t="shared" si="140"/>
        <v>0</v>
      </c>
      <c r="S994" s="10">
        <f t="shared" si="141"/>
        <v>0</v>
      </c>
      <c r="T994" s="29" t="s">
        <v>97</v>
      </c>
      <c r="U994" s="115">
        <v>0.35</v>
      </c>
      <c r="V994" s="10">
        <f>VLOOKUP(D994,A!B$1:T$1125,17,FALSE)</f>
        <v>0</v>
      </c>
      <c r="W994" s="10">
        <f t="shared" si="142"/>
        <v>0</v>
      </c>
      <c r="X994" s="29"/>
      <c r="Y994" s="29"/>
      <c r="Z994" s="29"/>
      <c r="AA994" s="29"/>
    </row>
    <row r="995" spans="1:27" s="3" customFormat="1" ht="13.5" hidden="1" customHeight="1" x14ac:dyDescent="0.25">
      <c r="A995" t="str">
        <f>IF(R995=0,"",COUNTIF(A$13:A994,"&gt;0")+1)</f>
        <v/>
      </c>
      <c r="B995" s="4"/>
      <c r="C995" s="5" t="s">
        <v>44</v>
      </c>
      <c r="D995" s="7" t="s">
        <v>1201</v>
      </c>
      <c r="E995" s="31"/>
      <c r="F995" s="31"/>
      <c r="G995" s="6" t="s">
        <v>1202</v>
      </c>
      <c r="H995" s="7">
        <f>VLOOKUP(D995,A!B$1:L$1126,8,FALSE)</f>
        <v>0</v>
      </c>
      <c r="I995" s="31">
        <f>VLOOKUP(D995,A!B$1:L$1126,8,FALSE)</f>
        <v>0</v>
      </c>
      <c r="J995" s="92"/>
      <c r="K995" s="63" t="str">
        <f>VLOOKUP(D995,A!B$1:P$1126,11,FALSE)</f>
        <v/>
      </c>
      <c r="L995" s="162"/>
      <c r="M995" s="41" t="s">
        <v>1203</v>
      </c>
      <c r="N995" s="94">
        <f>VLOOKUP(D995,A!B$1:L$1125,7,FALSE)</f>
        <v>0</v>
      </c>
      <c r="O995" s="94">
        <f>VLOOKUP(D995,A!B$1:P$1126,9,FALSE)</f>
        <v>0</v>
      </c>
      <c r="P995" s="10">
        <v>6</v>
      </c>
      <c r="Q995" s="10">
        <v>5.95</v>
      </c>
      <c r="R995" s="10">
        <f t="shared" si="140"/>
        <v>0</v>
      </c>
      <c r="S995" s="10">
        <f t="shared" si="141"/>
        <v>0</v>
      </c>
      <c r="T995" s="29" t="s">
        <v>97</v>
      </c>
      <c r="U995" s="115">
        <v>0.35</v>
      </c>
      <c r="V995" s="10">
        <f>VLOOKUP(D995,A!B$1:T$1125,17,FALSE)</f>
        <v>0</v>
      </c>
      <c r="W995" s="10">
        <f t="shared" si="142"/>
        <v>0</v>
      </c>
      <c r="X995" s="29"/>
      <c r="Y995" s="29"/>
      <c r="Z995" s="29"/>
      <c r="AA995" s="29"/>
    </row>
    <row r="996" spans="1:27" s="3" customFormat="1" ht="13.5" hidden="1" customHeight="1" x14ac:dyDescent="0.25">
      <c r="A996" t="str">
        <f>IF(R996=0,"",COUNTIF(A$13:A995,"&gt;0")+1)</f>
        <v/>
      </c>
      <c r="B996" s="4"/>
      <c r="C996" s="5" t="s">
        <v>44</v>
      </c>
      <c r="D996" s="7" t="s">
        <v>1204</v>
      </c>
      <c r="E996" s="31"/>
      <c r="F996" s="31"/>
      <c r="G996" s="6" t="s">
        <v>1202</v>
      </c>
      <c r="H996" s="7">
        <f>VLOOKUP(D996,A!B$1:L$1126,8,FALSE)</f>
        <v>0</v>
      </c>
      <c r="I996" s="31">
        <f>VLOOKUP(D996,A!B$1:L$1126,8,FALSE)</f>
        <v>0</v>
      </c>
      <c r="J996" s="92"/>
      <c r="K996" s="63" t="str">
        <f>VLOOKUP(D996,A!B$1:P$1126,11,FALSE)</f>
        <v/>
      </c>
      <c r="L996" s="162"/>
      <c r="M996" s="41" t="s">
        <v>1205</v>
      </c>
      <c r="N996" s="94">
        <f>VLOOKUP(D996,A!B$1:L$1125,7,FALSE)</f>
        <v>0</v>
      </c>
      <c r="O996" s="94">
        <f>VLOOKUP(D996,A!B$1:P$1126,9,FALSE)</f>
        <v>0</v>
      </c>
      <c r="P996" s="10">
        <v>6</v>
      </c>
      <c r="Q996" s="10">
        <v>5.95</v>
      </c>
      <c r="R996" s="10">
        <f t="shared" si="140"/>
        <v>0</v>
      </c>
      <c r="S996" s="10">
        <f t="shared" si="141"/>
        <v>0</v>
      </c>
      <c r="T996" s="29" t="s">
        <v>97</v>
      </c>
      <c r="U996" s="115">
        <v>0.35</v>
      </c>
      <c r="V996" s="10">
        <f>VLOOKUP(D996,A!B$1:T$1125,17,FALSE)</f>
        <v>0</v>
      </c>
      <c r="W996" s="10">
        <f t="shared" si="142"/>
        <v>0</v>
      </c>
      <c r="X996" s="29"/>
      <c r="Y996" s="29"/>
      <c r="Z996" s="29"/>
      <c r="AA996" s="29"/>
    </row>
    <row r="997" spans="1:27" s="3" customFormat="1" ht="13.5" hidden="1" customHeight="1" x14ac:dyDescent="0.25">
      <c r="A997" t="str">
        <f>IF(R997=0,"",COUNTIF(A$13:A996,"&gt;0")+1)</f>
        <v/>
      </c>
      <c r="B997" s="4"/>
      <c r="C997" s="5" t="s">
        <v>44</v>
      </c>
      <c r="D997" s="7" t="s">
        <v>1206</v>
      </c>
      <c r="E997" s="31"/>
      <c r="F997" s="31"/>
      <c r="G997" s="6" t="s">
        <v>1202</v>
      </c>
      <c r="H997" s="7">
        <f>VLOOKUP(D997,A!B$1:L$1126,8,FALSE)</f>
        <v>0</v>
      </c>
      <c r="I997" s="31">
        <f>VLOOKUP(D997,A!B$1:L$1126,8,FALSE)</f>
        <v>0</v>
      </c>
      <c r="J997" s="92"/>
      <c r="K997" s="63" t="str">
        <f>VLOOKUP(D997,A!B$1:P$1126,11,FALSE)</f>
        <v/>
      </c>
      <c r="L997" s="162"/>
      <c r="M997" s="41" t="s">
        <v>1207</v>
      </c>
      <c r="N997" s="94">
        <f>VLOOKUP(D997,A!B$1:L$1125,7,FALSE)</f>
        <v>0</v>
      </c>
      <c r="O997" s="94">
        <f>VLOOKUP(D997,A!B$1:P$1126,9,FALSE)</f>
        <v>0</v>
      </c>
      <c r="P997" s="10">
        <v>6</v>
      </c>
      <c r="Q997" s="10">
        <v>5.95</v>
      </c>
      <c r="R997" s="10">
        <f t="shared" si="140"/>
        <v>0</v>
      </c>
      <c r="S997" s="10">
        <f t="shared" si="141"/>
        <v>0</v>
      </c>
      <c r="T997" s="29" t="s">
        <v>97</v>
      </c>
      <c r="U997" s="115">
        <v>0.35</v>
      </c>
      <c r="V997" s="10">
        <f>VLOOKUP(D997,A!B$1:T$1125,17,FALSE)</f>
        <v>0</v>
      </c>
      <c r="W997" s="10">
        <f t="shared" si="142"/>
        <v>0</v>
      </c>
      <c r="X997" s="29"/>
      <c r="Y997" s="29"/>
      <c r="Z997" s="29"/>
      <c r="AA997" s="29"/>
    </row>
    <row r="998" spans="1:27" s="3" customFormat="1" ht="13.5" hidden="1" customHeight="1" x14ac:dyDescent="0.25">
      <c r="A998" t="str">
        <f>IF(R998=0,"",COUNTIF(A$13:A997,"&gt;0")+1)</f>
        <v/>
      </c>
      <c r="B998" s="4"/>
      <c r="C998" s="5" t="s">
        <v>44</v>
      </c>
      <c r="D998" s="7" t="s">
        <v>1208</v>
      </c>
      <c r="E998" s="31"/>
      <c r="F998" s="31"/>
      <c r="G998" s="6" t="s">
        <v>1202</v>
      </c>
      <c r="H998" s="7">
        <f>VLOOKUP(D998,A!B$1:L$1126,8,FALSE)</f>
        <v>0</v>
      </c>
      <c r="I998" s="31">
        <f>VLOOKUP(D998,A!B$1:L$1126,8,FALSE)</f>
        <v>0</v>
      </c>
      <c r="J998" s="92"/>
      <c r="K998" s="63" t="str">
        <f>VLOOKUP(D998,A!B$1:P$1126,11,FALSE)</f>
        <v/>
      </c>
      <c r="L998" s="162"/>
      <c r="M998" s="41" t="s">
        <v>1209</v>
      </c>
      <c r="N998" s="94">
        <f>VLOOKUP(D998,A!B$1:L$1125,7,FALSE)</f>
        <v>0</v>
      </c>
      <c r="O998" s="94">
        <f>VLOOKUP(D998,A!B$1:P$1126,9,FALSE)</f>
        <v>0</v>
      </c>
      <c r="P998" s="10">
        <v>6</v>
      </c>
      <c r="Q998" s="10">
        <v>5.95</v>
      </c>
      <c r="R998" s="10">
        <f t="shared" si="140"/>
        <v>0</v>
      </c>
      <c r="S998" s="10">
        <f t="shared" si="141"/>
        <v>0</v>
      </c>
      <c r="T998" s="29" t="s">
        <v>97</v>
      </c>
      <c r="U998" s="115">
        <v>0.35</v>
      </c>
      <c r="V998" s="10">
        <f>VLOOKUP(D998,A!B$1:T$1125,17,FALSE)</f>
        <v>0</v>
      </c>
      <c r="W998" s="10">
        <f t="shared" si="142"/>
        <v>0</v>
      </c>
      <c r="X998" s="29"/>
      <c r="Y998" s="29"/>
      <c r="Z998" s="29"/>
      <c r="AA998" s="29"/>
    </row>
    <row r="999" spans="1:27" s="3" customFormat="1" ht="13.5" hidden="1" customHeight="1" x14ac:dyDescent="0.25">
      <c r="A999" t="str">
        <f>IF(R999=0,"",COUNTIF(A$13:A998,"&gt;0")+1)</f>
        <v/>
      </c>
      <c r="B999" s="4"/>
      <c r="C999" s="5" t="s">
        <v>44</v>
      </c>
      <c r="D999" s="7" t="s">
        <v>1210</v>
      </c>
      <c r="E999" s="31"/>
      <c r="F999" s="31"/>
      <c r="G999" s="6" t="s">
        <v>1202</v>
      </c>
      <c r="H999" s="7">
        <f>VLOOKUP(D999,A!B$1:L$1126,8,FALSE)</f>
        <v>0</v>
      </c>
      <c r="I999" s="31">
        <f>VLOOKUP(D999,A!B$1:L$1126,8,FALSE)</f>
        <v>0</v>
      </c>
      <c r="J999" s="92"/>
      <c r="K999" s="63" t="str">
        <f>VLOOKUP(D999,A!B$1:P$1126,11,FALSE)</f>
        <v/>
      </c>
      <c r="L999" s="162"/>
      <c r="M999" s="41" t="s">
        <v>1211</v>
      </c>
      <c r="N999" s="94">
        <f>VLOOKUP(D999,A!B$1:L$1125,7,FALSE)</f>
        <v>0</v>
      </c>
      <c r="O999" s="94">
        <f>VLOOKUP(D999,A!B$1:P$1126,9,FALSE)</f>
        <v>0</v>
      </c>
      <c r="P999" s="10">
        <v>6</v>
      </c>
      <c r="Q999" s="10">
        <v>5.95</v>
      </c>
      <c r="R999" s="10">
        <f t="shared" si="140"/>
        <v>0</v>
      </c>
      <c r="S999" s="10">
        <f t="shared" si="141"/>
        <v>0</v>
      </c>
      <c r="T999" s="29" t="s">
        <v>97</v>
      </c>
      <c r="U999" s="115">
        <v>0.35</v>
      </c>
      <c r="V999" s="10">
        <f>VLOOKUP(D999,A!B$1:T$1125,17,FALSE)</f>
        <v>0</v>
      </c>
      <c r="W999" s="10">
        <f t="shared" si="142"/>
        <v>0</v>
      </c>
      <c r="X999" s="29"/>
      <c r="Y999" s="29"/>
      <c r="Z999" s="29"/>
      <c r="AA999" s="29"/>
    </row>
    <row r="1000" spans="1:27" s="3" customFormat="1" ht="13.5" hidden="1" customHeight="1" x14ac:dyDescent="0.25">
      <c r="A1000" t="str">
        <f>IF(R1000=0,"",COUNTIF(A$13:A999,"&gt;0")+1)</f>
        <v/>
      </c>
      <c r="B1000" s="4"/>
      <c r="C1000" s="5" t="s">
        <v>44</v>
      </c>
      <c r="D1000" s="7" t="s">
        <v>1212</v>
      </c>
      <c r="E1000" s="31"/>
      <c r="F1000" s="31"/>
      <c r="G1000" s="6" t="s">
        <v>1213</v>
      </c>
      <c r="H1000" s="7">
        <f>VLOOKUP(D1000,A!B$1:L$1126,8,FALSE)</f>
        <v>0</v>
      </c>
      <c r="I1000" s="31">
        <f>VLOOKUP(D1000,A!B$1:L$1126,8,FALSE)</f>
        <v>0</v>
      </c>
      <c r="J1000" s="92"/>
      <c r="K1000" s="63" t="str">
        <f>VLOOKUP(D1000,A!B$1:P$1126,11,FALSE)</f>
        <v/>
      </c>
      <c r="L1000" s="162"/>
      <c r="M1000" s="41" t="s">
        <v>1214</v>
      </c>
      <c r="N1000" s="94">
        <f>VLOOKUP(D1000,A!B$1:L$1125,7,FALSE)</f>
        <v>0</v>
      </c>
      <c r="O1000" s="94">
        <f>VLOOKUP(D1000,A!B$1:P$1126,9,FALSE)</f>
        <v>0</v>
      </c>
      <c r="P1000" s="10">
        <v>6</v>
      </c>
      <c r="Q1000" s="10">
        <v>5.95</v>
      </c>
      <c r="R1000" s="10">
        <f t="shared" si="140"/>
        <v>0</v>
      </c>
      <c r="S1000" s="10">
        <f t="shared" si="141"/>
        <v>0</v>
      </c>
      <c r="T1000" s="29" t="s">
        <v>97</v>
      </c>
      <c r="U1000" s="115">
        <v>0.35</v>
      </c>
      <c r="V1000" s="10">
        <f>VLOOKUP(D1000,A!B$1:T$1125,17,FALSE)</f>
        <v>0</v>
      </c>
      <c r="W1000" s="10">
        <f t="shared" si="142"/>
        <v>0</v>
      </c>
      <c r="X1000" s="29"/>
      <c r="Y1000" s="29"/>
      <c r="Z1000" s="29"/>
      <c r="AA1000" s="29"/>
    </row>
    <row r="1001" spans="1:27" s="3" customFormat="1" ht="13.5" hidden="1" customHeight="1" x14ac:dyDescent="0.25">
      <c r="A1001" t="str">
        <f>IF(R1001=0,"",COUNTIF(A$13:A1000,"&gt;0")+1)</f>
        <v/>
      </c>
      <c r="B1001" s="4"/>
      <c r="C1001" s="5" t="s">
        <v>44</v>
      </c>
      <c r="D1001" s="7" t="s">
        <v>1215</v>
      </c>
      <c r="E1001" s="31"/>
      <c r="F1001" s="31"/>
      <c r="G1001" s="6" t="s">
        <v>1216</v>
      </c>
      <c r="H1001" s="7">
        <f>VLOOKUP(D1001,A!B$1:L$1126,8,FALSE)</f>
        <v>0</v>
      </c>
      <c r="I1001" s="31">
        <f>VLOOKUP(D1001,A!B$1:L$1126,8,FALSE)</f>
        <v>0</v>
      </c>
      <c r="J1001" s="92"/>
      <c r="K1001" s="63" t="str">
        <f>VLOOKUP(D1001,A!B$1:P$1126,11,FALSE)</f>
        <v/>
      </c>
      <c r="L1001" s="162"/>
      <c r="M1001" s="41" t="s">
        <v>1217</v>
      </c>
      <c r="N1001" s="94">
        <f>VLOOKUP(D1001,A!B$1:L$1125,7,FALSE)</f>
        <v>0</v>
      </c>
      <c r="O1001" s="94">
        <f>VLOOKUP(D1001,A!B$1:P$1126,9,FALSE)</f>
        <v>0</v>
      </c>
      <c r="P1001" s="10">
        <v>6</v>
      </c>
      <c r="Q1001" s="10">
        <v>5.95</v>
      </c>
      <c r="R1001" s="10">
        <f t="shared" si="140"/>
        <v>0</v>
      </c>
      <c r="S1001" s="10">
        <f t="shared" si="141"/>
        <v>0</v>
      </c>
      <c r="T1001" s="29" t="s">
        <v>97</v>
      </c>
      <c r="U1001" s="115">
        <v>0.35</v>
      </c>
      <c r="V1001" s="10">
        <f>VLOOKUP(D1001,A!B$1:T$1125,17,FALSE)</f>
        <v>0</v>
      </c>
      <c r="W1001" s="10">
        <f t="shared" si="142"/>
        <v>0</v>
      </c>
      <c r="X1001" s="29"/>
      <c r="Y1001" s="29"/>
      <c r="Z1001" s="29"/>
      <c r="AA1001" s="29"/>
    </row>
    <row r="1002" spans="1:27" s="3" customFormat="1" ht="13.5" hidden="1" customHeight="1" x14ac:dyDescent="0.25">
      <c r="A1002" t="str">
        <f>IF(R1002=0,"",COUNTIF(A$13:A1001,"&gt;0")+1)</f>
        <v/>
      </c>
      <c r="B1002" s="4"/>
      <c r="C1002" s="5" t="s">
        <v>44</v>
      </c>
      <c r="D1002" s="7" t="s">
        <v>201</v>
      </c>
      <c r="E1002" s="31"/>
      <c r="F1002" s="31"/>
      <c r="G1002" s="6" t="s">
        <v>202</v>
      </c>
      <c r="H1002" s="7">
        <f>VLOOKUP(D1002,A!B$1:L$1126,8,FALSE)</f>
        <v>0</v>
      </c>
      <c r="I1002" s="31">
        <f>VLOOKUP(D1002,A!B$1:L$1126,8,FALSE)</f>
        <v>0</v>
      </c>
      <c r="J1002" s="92"/>
      <c r="K1002" s="63" t="str">
        <f>VLOOKUP(D1002,A!B$1:P$1126,11,FALSE)</f>
        <v/>
      </c>
      <c r="L1002" s="162"/>
      <c r="M1002" s="43" t="s">
        <v>203</v>
      </c>
      <c r="N1002" s="94">
        <f>VLOOKUP(D1002,A!B$1:L$1125,7,FALSE)</f>
        <v>0</v>
      </c>
      <c r="O1002" s="94">
        <f>VLOOKUP(D1002,A!B$1:P$1126,9,FALSE)</f>
        <v>0</v>
      </c>
      <c r="P1002" s="10">
        <v>6</v>
      </c>
      <c r="Q1002" s="10">
        <v>5.95</v>
      </c>
      <c r="R1002" s="10">
        <f t="shared" si="140"/>
        <v>0</v>
      </c>
      <c r="S1002" s="10">
        <f t="shared" si="141"/>
        <v>0</v>
      </c>
      <c r="T1002" s="29" t="s">
        <v>97</v>
      </c>
      <c r="U1002" s="115">
        <v>0.35</v>
      </c>
      <c r="V1002" s="10">
        <f>VLOOKUP(D1002,A!B$1:T$1125,17,FALSE)</f>
        <v>0</v>
      </c>
      <c r="W1002" s="10">
        <f t="shared" si="142"/>
        <v>0</v>
      </c>
      <c r="X1002" s="29"/>
      <c r="Y1002" s="29"/>
      <c r="Z1002" s="29"/>
      <c r="AA1002" s="29"/>
    </row>
    <row r="1003" spans="1:27" s="3" customFormat="1" ht="13.5" hidden="1" customHeight="1" x14ac:dyDescent="0.25">
      <c r="A1003" t="str">
        <f>IF(R1003=0,"",COUNTIF(A$13:A1002,"&gt;0")+1)</f>
        <v/>
      </c>
      <c r="B1003" s="4"/>
      <c r="C1003" s="5" t="s">
        <v>44</v>
      </c>
      <c r="D1003" s="7" t="s">
        <v>1218</v>
      </c>
      <c r="E1003" s="31"/>
      <c r="F1003" s="31"/>
      <c r="G1003" s="6" t="s">
        <v>1219</v>
      </c>
      <c r="H1003" s="7">
        <f>VLOOKUP(D1003,A!B$1:L$1126,8,FALSE)</f>
        <v>0</v>
      </c>
      <c r="I1003" s="31">
        <f>VLOOKUP(D1003,A!B$1:L$1126,8,FALSE)</f>
        <v>0</v>
      </c>
      <c r="J1003" s="92"/>
      <c r="K1003" s="63" t="str">
        <f>VLOOKUP(D1003,A!B$1:P$1126,11,FALSE)</f>
        <v/>
      </c>
      <c r="L1003" s="162"/>
      <c r="M1003" s="43" t="s">
        <v>1220</v>
      </c>
      <c r="N1003" s="94">
        <f>VLOOKUP(D1003,A!B$1:L$1125,7,FALSE)</f>
        <v>0</v>
      </c>
      <c r="O1003" s="94">
        <f>VLOOKUP(D1003,A!B$1:P$1126,9,FALSE)</f>
        <v>0</v>
      </c>
      <c r="P1003" s="10">
        <v>6</v>
      </c>
      <c r="Q1003" s="10">
        <v>5.95</v>
      </c>
      <c r="R1003" s="10">
        <f t="shared" si="140"/>
        <v>0</v>
      </c>
      <c r="S1003" s="10">
        <f t="shared" si="141"/>
        <v>0</v>
      </c>
      <c r="T1003" s="29" t="s">
        <v>97</v>
      </c>
      <c r="U1003" s="115">
        <v>0.35</v>
      </c>
      <c r="V1003" s="10">
        <f>VLOOKUP(D1003,A!B$1:T$1125,17,FALSE)</f>
        <v>0</v>
      </c>
      <c r="W1003" s="10">
        <f t="shared" si="142"/>
        <v>0</v>
      </c>
      <c r="X1003" s="29"/>
      <c r="Y1003" s="29"/>
      <c r="Z1003" s="29"/>
      <c r="AA1003" s="29"/>
    </row>
    <row r="1004" spans="1:27" s="3" customFormat="1" ht="13.5" hidden="1" customHeight="1" x14ac:dyDescent="0.25">
      <c r="A1004" t="str">
        <f>IF(R1004=0,"",COUNTIF(A$13:A1003,"&gt;0")+1)</f>
        <v/>
      </c>
      <c r="B1004" s="4"/>
      <c r="C1004" s="5" t="s">
        <v>44</v>
      </c>
      <c r="D1004" s="7" t="s">
        <v>1221</v>
      </c>
      <c r="E1004" s="31"/>
      <c r="F1004" s="31"/>
      <c r="G1004" s="6" t="s">
        <v>1222</v>
      </c>
      <c r="H1004" s="7">
        <f>VLOOKUP(D1004,A!B$1:L$1126,8,FALSE)</f>
        <v>0</v>
      </c>
      <c r="I1004" s="31">
        <f>VLOOKUP(D1004,A!B$1:L$1126,8,FALSE)</f>
        <v>0</v>
      </c>
      <c r="J1004" s="92"/>
      <c r="K1004" s="63" t="str">
        <f>VLOOKUP(D1004,A!B$1:P$1126,11,FALSE)</f>
        <v/>
      </c>
      <c r="L1004" s="162"/>
      <c r="M1004" s="41" t="s">
        <v>1223</v>
      </c>
      <c r="N1004" s="94">
        <f>VLOOKUP(D1004,A!B$1:L$1125,7,FALSE)</f>
        <v>0</v>
      </c>
      <c r="O1004" s="94">
        <f>VLOOKUP(D1004,A!B$1:P$1126,9,FALSE)</f>
        <v>0</v>
      </c>
      <c r="P1004" s="10">
        <v>6</v>
      </c>
      <c r="Q1004" s="10">
        <v>5.95</v>
      </c>
      <c r="R1004" s="10">
        <f t="shared" si="140"/>
        <v>0</v>
      </c>
      <c r="S1004" s="10">
        <f t="shared" si="141"/>
        <v>0</v>
      </c>
      <c r="T1004" s="29" t="s">
        <v>97</v>
      </c>
      <c r="U1004" s="115">
        <v>0.35</v>
      </c>
      <c r="V1004" s="10">
        <f>VLOOKUP(D1004,A!B$1:T$1125,17,FALSE)</f>
        <v>0</v>
      </c>
      <c r="W1004" s="10">
        <f t="shared" si="142"/>
        <v>0</v>
      </c>
      <c r="X1004" s="29"/>
      <c r="Y1004" s="29"/>
      <c r="Z1004" s="29"/>
      <c r="AA1004" s="29"/>
    </row>
    <row r="1005" spans="1:27" s="3" customFormat="1" ht="13.5" hidden="1" customHeight="1" x14ac:dyDescent="0.25">
      <c r="A1005" t="str">
        <f>IF(R1005=0,"",COUNTIF(A$13:A1004,"&gt;0")+1)</f>
        <v/>
      </c>
      <c r="B1005" s="4"/>
      <c r="C1005" s="5" t="s">
        <v>44</v>
      </c>
      <c r="D1005" s="7" t="s">
        <v>1224</v>
      </c>
      <c r="E1005" s="31"/>
      <c r="F1005" s="31"/>
      <c r="G1005" s="6" t="s">
        <v>354</v>
      </c>
      <c r="H1005" s="7">
        <f>VLOOKUP(D1005,A!B$1:L$1126,8,FALSE)</f>
        <v>0</v>
      </c>
      <c r="I1005" s="31">
        <f>VLOOKUP(D1005,A!B$1:L$1126,8,FALSE)</f>
        <v>0</v>
      </c>
      <c r="J1005" s="92"/>
      <c r="K1005" s="63" t="str">
        <f>VLOOKUP(D1005,A!B$1:P$1126,11,FALSE)</f>
        <v/>
      </c>
      <c r="L1005" s="162"/>
      <c r="M1005" s="42" t="s">
        <v>1225</v>
      </c>
      <c r="N1005" s="94">
        <f>VLOOKUP(D1005,A!B$1:L$1125,7,FALSE)</f>
        <v>0</v>
      </c>
      <c r="O1005" s="94">
        <f>VLOOKUP(D1005,A!B$1:P$1126,9,FALSE)</f>
        <v>0</v>
      </c>
      <c r="P1005" s="10">
        <v>6</v>
      </c>
      <c r="Q1005" s="10">
        <v>5.95</v>
      </c>
      <c r="R1005" s="10">
        <f t="shared" si="140"/>
        <v>0</v>
      </c>
      <c r="S1005" s="10">
        <f t="shared" si="141"/>
        <v>0</v>
      </c>
      <c r="T1005" s="29" t="s">
        <v>97</v>
      </c>
      <c r="U1005" s="115">
        <v>0.35</v>
      </c>
      <c r="V1005" s="10">
        <f>VLOOKUP(D1005,A!B$1:T$1125,17,FALSE)</f>
        <v>0</v>
      </c>
      <c r="W1005" s="10">
        <f t="shared" si="142"/>
        <v>0</v>
      </c>
      <c r="X1005" s="29"/>
      <c r="Y1005" s="29"/>
      <c r="Z1005" s="29"/>
      <c r="AA1005" s="29"/>
    </row>
    <row r="1006" spans="1:27" s="3" customFormat="1" ht="13.5" hidden="1" customHeight="1" x14ac:dyDescent="0.25">
      <c r="A1006" t="str">
        <f>IF(R1006=0,"",COUNTIF(A$13:A1005,"&gt;0")+1)</f>
        <v/>
      </c>
      <c r="B1006" s="4"/>
      <c r="C1006" s="5" t="s">
        <v>44</v>
      </c>
      <c r="D1006" s="7" t="s">
        <v>1226</v>
      </c>
      <c r="E1006" s="31"/>
      <c r="F1006" s="31"/>
      <c r="G1006" s="6" t="s">
        <v>1227</v>
      </c>
      <c r="H1006" s="7">
        <f>VLOOKUP(D1006,A!B$1:L$1126,8,FALSE)</f>
        <v>0</v>
      </c>
      <c r="I1006" s="31">
        <f>VLOOKUP(D1006,A!B$1:L$1126,8,FALSE)</f>
        <v>0</v>
      </c>
      <c r="J1006" s="92"/>
      <c r="K1006" s="63" t="str">
        <f>VLOOKUP(D1006,A!B$1:P$1126,11,FALSE)</f>
        <v/>
      </c>
      <c r="L1006" s="162"/>
      <c r="M1006" s="41" t="s">
        <v>1228</v>
      </c>
      <c r="N1006" s="94">
        <f>VLOOKUP(D1006,A!B$1:L$1125,7,FALSE)</f>
        <v>0</v>
      </c>
      <c r="O1006" s="94">
        <f>VLOOKUP(D1006,A!B$1:P$1126,9,FALSE)</f>
        <v>0</v>
      </c>
      <c r="P1006" s="10">
        <v>6</v>
      </c>
      <c r="Q1006" s="10">
        <v>5.95</v>
      </c>
      <c r="R1006" s="10">
        <f t="shared" si="140"/>
        <v>0</v>
      </c>
      <c r="S1006" s="10">
        <f t="shared" si="141"/>
        <v>0</v>
      </c>
      <c r="T1006" s="29" t="s">
        <v>97</v>
      </c>
      <c r="U1006" s="115">
        <v>0.35</v>
      </c>
      <c r="V1006" s="10">
        <f>VLOOKUP(D1006,A!B$1:T$1125,17,FALSE)</f>
        <v>0</v>
      </c>
      <c r="W1006" s="10">
        <f t="shared" si="142"/>
        <v>0</v>
      </c>
      <c r="X1006" s="29"/>
      <c r="Y1006" s="29"/>
      <c r="Z1006" s="29"/>
      <c r="AA1006" s="29"/>
    </row>
    <row r="1007" spans="1:27" s="3" customFormat="1" ht="13.5" hidden="1" customHeight="1" x14ac:dyDescent="0.25">
      <c r="A1007" t="str">
        <f>IF(R1007=0,"",COUNTIF(A$13:A1006,"&gt;0")+1)</f>
        <v/>
      </c>
      <c r="B1007" s="4"/>
      <c r="C1007" s="5" t="s">
        <v>44</v>
      </c>
      <c r="D1007" s="7" t="s">
        <v>1229</v>
      </c>
      <c r="E1007" s="31"/>
      <c r="F1007" s="31"/>
      <c r="G1007" s="6" t="s">
        <v>1230</v>
      </c>
      <c r="H1007" s="7">
        <f>VLOOKUP(D1007,A!B$1:L$1126,8,FALSE)</f>
        <v>0</v>
      </c>
      <c r="I1007" s="31">
        <f>VLOOKUP(D1007,A!B$1:L$1126,8,FALSE)</f>
        <v>0</v>
      </c>
      <c r="J1007" s="92"/>
      <c r="K1007" s="63" t="str">
        <f>VLOOKUP(D1007,A!B$1:P$1126,11,FALSE)</f>
        <v/>
      </c>
      <c r="L1007" s="162"/>
      <c r="M1007" s="43" t="s">
        <v>1231</v>
      </c>
      <c r="N1007" s="94">
        <f>VLOOKUP(D1007,A!B$1:L$1125,7,FALSE)</f>
        <v>0</v>
      </c>
      <c r="O1007" s="94">
        <f>VLOOKUP(D1007,A!B$1:P$1126,9,FALSE)</f>
        <v>0</v>
      </c>
      <c r="P1007" s="10">
        <v>6</v>
      </c>
      <c r="Q1007" s="10">
        <v>5.95</v>
      </c>
      <c r="R1007" s="10">
        <f t="shared" si="140"/>
        <v>0</v>
      </c>
      <c r="S1007" s="10">
        <f t="shared" si="141"/>
        <v>0</v>
      </c>
      <c r="T1007" s="29" t="s">
        <v>97</v>
      </c>
      <c r="U1007" s="115">
        <v>0.35</v>
      </c>
      <c r="V1007" s="10">
        <f>VLOOKUP(D1007,A!B$1:T$1125,17,FALSE)</f>
        <v>0</v>
      </c>
      <c r="W1007" s="10">
        <f t="shared" si="142"/>
        <v>0</v>
      </c>
      <c r="X1007" s="29"/>
      <c r="Y1007" s="29"/>
      <c r="Z1007" s="29"/>
      <c r="AA1007" s="29"/>
    </row>
    <row r="1008" spans="1:27" s="3" customFormat="1" ht="13.5" hidden="1" customHeight="1" x14ac:dyDescent="0.25">
      <c r="A1008" t="str">
        <f>IF(R1008=0,"",COUNTIF(A$13:A1007,"&gt;0")+1)</f>
        <v/>
      </c>
      <c r="B1008" s="4"/>
      <c r="C1008" s="5" t="s">
        <v>44</v>
      </c>
      <c r="D1008" s="7" t="s">
        <v>1232</v>
      </c>
      <c r="E1008" s="31"/>
      <c r="F1008" s="31"/>
      <c r="G1008" s="6" t="s">
        <v>1233</v>
      </c>
      <c r="H1008" s="7">
        <f>VLOOKUP(D1008,A!B$1:L$1126,8,FALSE)</f>
        <v>0</v>
      </c>
      <c r="I1008" s="31">
        <f>VLOOKUP(D1008,A!B$1:L$1126,8,FALSE)</f>
        <v>0</v>
      </c>
      <c r="J1008" s="92"/>
      <c r="K1008" s="63" t="str">
        <f>VLOOKUP(D1008,A!B$1:P$1126,11,FALSE)</f>
        <v/>
      </c>
      <c r="L1008" s="162"/>
      <c r="M1008" s="43" t="s">
        <v>41</v>
      </c>
      <c r="N1008" s="94">
        <f>VLOOKUP(D1008,A!B$1:L$1125,7,FALSE)</f>
        <v>0</v>
      </c>
      <c r="O1008" s="94">
        <f>VLOOKUP(D1008,A!B$1:P$1126,9,FALSE)</f>
        <v>0</v>
      </c>
      <c r="P1008" s="10">
        <v>6</v>
      </c>
      <c r="Q1008" s="10">
        <v>5.95</v>
      </c>
      <c r="R1008" s="10">
        <f t="shared" si="140"/>
        <v>0</v>
      </c>
      <c r="S1008" s="10">
        <f t="shared" si="141"/>
        <v>0</v>
      </c>
      <c r="T1008" s="29" t="s">
        <v>97</v>
      </c>
      <c r="U1008" s="115">
        <v>0.35</v>
      </c>
      <c r="V1008" s="10">
        <f>VLOOKUP(D1008,A!B$1:T$1125,17,FALSE)</f>
        <v>0</v>
      </c>
      <c r="W1008" s="10">
        <f t="shared" si="142"/>
        <v>0</v>
      </c>
      <c r="X1008" s="29"/>
      <c r="Y1008" s="29"/>
      <c r="Z1008" s="29"/>
      <c r="AA1008" s="29"/>
    </row>
    <row r="1009" spans="1:27" s="3" customFormat="1" ht="13.5" hidden="1" customHeight="1" x14ac:dyDescent="0.25">
      <c r="A1009" t="str">
        <f>IF(R1009=0,"",COUNTIF(A$13:A1008,"&gt;0")+1)</f>
        <v/>
      </c>
      <c r="B1009" s="4"/>
      <c r="C1009" s="5" t="s">
        <v>44</v>
      </c>
      <c r="D1009" s="7" t="s">
        <v>1234</v>
      </c>
      <c r="E1009" s="31"/>
      <c r="F1009" s="31"/>
      <c r="G1009" s="6" t="s">
        <v>1235</v>
      </c>
      <c r="H1009" s="7">
        <f>VLOOKUP(D1009,A!B$1:L$1126,8,FALSE)</f>
        <v>0</v>
      </c>
      <c r="I1009" s="31">
        <f>VLOOKUP(D1009,A!B$1:L$1126,8,FALSE)</f>
        <v>0</v>
      </c>
      <c r="J1009" s="92"/>
      <c r="K1009" s="63" t="str">
        <f>VLOOKUP(D1009,A!B$1:P$1126,11,FALSE)</f>
        <v/>
      </c>
      <c r="L1009" s="162"/>
      <c r="M1009" s="43" t="s">
        <v>1236</v>
      </c>
      <c r="N1009" s="94">
        <f>VLOOKUP(D1009,A!B$1:L$1125,7,FALSE)</f>
        <v>0</v>
      </c>
      <c r="O1009" s="94">
        <f>VLOOKUP(D1009,A!B$1:P$1126,9,FALSE)</f>
        <v>0</v>
      </c>
      <c r="P1009" s="10">
        <v>6</v>
      </c>
      <c r="Q1009" s="10">
        <v>5.95</v>
      </c>
      <c r="R1009" s="10">
        <f t="shared" si="140"/>
        <v>0</v>
      </c>
      <c r="S1009" s="10">
        <f t="shared" si="141"/>
        <v>0</v>
      </c>
      <c r="T1009" s="29" t="s">
        <v>97</v>
      </c>
      <c r="U1009" s="115">
        <v>0.35</v>
      </c>
      <c r="V1009" s="10">
        <f>VLOOKUP(D1009,A!B$1:T$1125,17,FALSE)</f>
        <v>0</v>
      </c>
      <c r="W1009" s="10">
        <f t="shared" si="142"/>
        <v>0</v>
      </c>
      <c r="X1009" s="29"/>
      <c r="Y1009" s="29"/>
      <c r="Z1009" s="29"/>
      <c r="AA1009" s="29"/>
    </row>
    <row r="1010" spans="1:27" s="3" customFormat="1" ht="13.5" hidden="1" customHeight="1" x14ac:dyDescent="0.25">
      <c r="A1010" t="str">
        <f>IF(R1010=0,"",COUNTIF(A$13:A1009,"&gt;0")+1)</f>
        <v/>
      </c>
      <c r="B1010" s="4"/>
      <c r="C1010" s="5" t="s">
        <v>44</v>
      </c>
      <c r="D1010" s="7" t="s">
        <v>1237</v>
      </c>
      <c r="E1010" s="31"/>
      <c r="F1010" s="31"/>
      <c r="G1010" s="6" t="s">
        <v>1235</v>
      </c>
      <c r="H1010" s="7">
        <f>VLOOKUP(D1010,A!B$1:L$1126,8,FALSE)</f>
        <v>0</v>
      </c>
      <c r="I1010" s="31">
        <f>VLOOKUP(D1010,A!B$1:L$1126,8,FALSE)</f>
        <v>0</v>
      </c>
      <c r="J1010" s="92"/>
      <c r="K1010" s="63" t="str">
        <f>VLOOKUP(D1010,A!B$1:P$1126,11,FALSE)</f>
        <v/>
      </c>
      <c r="L1010" s="162"/>
      <c r="M1010" s="43" t="s">
        <v>1238</v>
      </c>
      <c r="N1010" s="94">
        <f>VLOOKUP(D1010,A!B$1:L$1125,7,FALSE)</f>
        <v>0</v>
      </c>
      <c r="O1010" s="94">
        <f>VLOOKUP(D1010,A!B$1:P$1126,9,FALSE)</f>
        <v>0</v>
      </c>
      <c r="P1010" s="10">
        <v>6</v>
      </c>
      <c r="Q1010" s="10">
        <v>5.95</v>
      </c>
      <c r="R1010" s="10">
        <f t="shared" si="140"/>
        <v>0</v>
      </c>
      <c r="S1010" s="10">
        <f t="shared" si="141"/>
        <v>0</v>
      </c>
      <c r="T1010" s="29" t="s">
        <v>97</v>
      </c>
      <c r="U1010" s="115">
        <v>0.35</v>
      </c>
      <c r="V1010" s="10">
        <f>VLOOKUP(D1010,A!B$1:T$1125,17,FALSE)</f>
        <v>0</v>
      </c>
      <c r="W1010" s="10">
        <f t="shared" si="142"/>
        <v>0</v>
      </c>
      <c r="X1010" s="29"/>
      <c r="Y1010" s="29"/>
      <c r="Z1010" s="29"/>
      <c r="AA1010" s="29"/>
    </row>
    <row r="1011" spans="1:27" s="3" customFormat="1" ht="13.5" hidden="1" customHeight="1" x14ac:dyDescent="0.25">
      <c r="A1011" t="str">
        <f>IF(R1011=0,"",COUNTIF(A$13:A1010,"&gt;0")+1)</f>
        <v/>
      </c>
      <c r="B1011" s="4"/>
      <c r="C1011" s="5" t="s">
        <v>44</v>
      </c>
      <c r="D1011" s="7" t="s">
        <v>1239</v>
      </c>
      <c r="E1011" s="31"/>
      <c r="F1011" s="31"/>
      <c r="G1011" s="6" t="s">
        <v>1240</v>
      </c>
      <c r="H1011" s="7">
        <f>VLOOKUP(D1011,A!B$1:L$1126,8,FALSE)</f>
        <v>0</v>
      </c>
      <c r="I1011" s="31">
        <f>VLOOKUP(D1011,A!B$1:L$1126,8,FALSE)</f>
        <v>0</v>
      </c>
      <c r="J1011" s="92"/>
      <c r="K1011" s="63" t="str">
        <f>VLOOKUP(D1011,A!B$1:P$1126,11,FALSE)</f>
        <v/>
      </c>
      <c r="L1011" s="162"/>
      <c r="M1011" s="43" t="s">
        <v>1241</v>
      </c>
      <c r="N1011" s="94">
        <f>VLOOKUP(D1011,A!B$1:L$1125,7,FALSE)</f>
        <v>0</v>
      </c>
      <c r="O1011" s="94">
        <f>VLOOKUP(D1011,A!B$1:P$1126,9,FALSE)</f>
        <v>0</v>
      </c>
      <c r="P1011" s="10">
        <v>6</v>
      </c>
      <c r="Q1011" s="10">
        <v>5.95</v>
      </c>
      <c r="R1011" s="10">
        <f t="shared" si="140"/>
        <v>0</v>
      </c>
      <c r="S1011" s="10">
        <f t="shared" si="141"/>
        <v>0</v>
      </c>
      <c r="T1011" s="29" t="s">
        <v>97</v>
      </c>
      <c r="U1011" s="115">
        <v>0.35</v>
      </c>
      <c r="V1011" s="10">
        <f>VLOOKUP(D1011,A!B$1:T$1125,17,FALSE)</f>
        <v>0</v>
      </c>
      <c r="W1011" s="10">
        <f t="shared" si="142"/>
        <v>0</v>
      </c>
      <c r="X1011" s="29"/>
      <c r="Y1011" s="29"/>
      <c r="Z1011" s="29"/>
      <c r="AA1011" s="29"/>
    </row>
    <row r="1012" spans="1:27" s="3" customFormat="1" ht="13.5" hidden="1" customHeight="1" x14ac:dyDescent="0.25">
      <c r="A1012" t="str">
        <f>IF(R1012=0,"",COUNTIF(A$13:A1011,"&gt;0")+1)</f>
        <v/>
      </c>
      <c r="B1012" s="4"/>
      <c r="C1012" s="5" t="s">
        <v>44</v>
      </c>
      <c r="D1012" s="7" t="s">
        <v>1242</v>
      </c>
      <c r="E1012" s="31"/>
      <c r="F1012" s="31"/>
      <c r="G1012" s="6" t="s">
        <v>1243</v>
      </c>
      <c r="H1012" s="7">
        <f>VLOOKUP(D1012,A!B$1:L$1126,8,FALSE)</f>
        <v>0</v>
      </c>
      <c r="I1012" s="31">
        <f>VLOOKUP(D1012,A!B$1:L$1126,8,FALSE)</f>
        <v>0</v>
      </c>
      <c r="J1012" s="92"/>
      <c r="K1012" s="63" t="str">
        <f>VLOOKUP(D1012,A!B$1:P$1126,11,FALSE)</f>
        <v/>
      </c>
      <c r="L1012" s="162"/>
      <c r="M1012" s="43" t="s">
        <v>1244</v>
      </c>
      <c r="N1012" s="94">
        <f>VLOOKUP(D1012,A!B$1:L$1125,7,FALSE)</f>
        <v>0</v>
      </c>
      <c r="O1012" s="94">
        <f>VLOOKUP(D1012,A!B$1:P$1126,9,FALSE)</f>
        <v>0</v>
      </c>
      <c r="P1012" s="10">
        <v>6</v>
      </c>
      <c r="Q1012" s="10">
        <v>5.95</v>
      </c>
      <c r="R1012" s="10">
        <f t="shared" si="140"/>
        <v>0</v>
      </c>
      <c r="S1012" s="10">
        <f t="shared" si="141"/>
        <v>0</v>
      </c>
      <c r="T1012" s="29" t="s">
        <v>97</v>
      </c>
      <c r="U1012" s="115">
        <v>0.35</v>
      </c>
      <c r="V1012" s="10">
        <f>VLOOKUP(D1012,A!B$1:T$1125,17,FALSE)</f>
        <v>0</v>
      </c>
      <c r="W1012" s="10">
        <f t="shared" si="142"/>
        <v>0</v>
      </c>
      <c r="X1012" s="29"/>
      <c r="Y1012" s="29"/>
      <c r="Z1012" s="29"/>
      <c r="AA1012" s="29"/>
    </row>
    <row r="1013" spans="1:27" s="3" customFormat="1" ht="13.5" hidden="1" customHeight="1" x14ac:dyDescent="0.25">
      <c r="A1013" t="str">
        <f>IF(R1013=0,"",COUNTIF(A$13:A1012,"&gt;0")+1)</f>
        <v/>
      </c>
      <c r="B1013" s="4"/>
      <c r="C1013" s="5" t="s">
        <v>44</v>
      </c>
      <c r="D1013" s="7" t="s">
        <v>1245</v>
      </c>
      <c r="E1013" s="31"/>
      <c r="F1013" s="31"/>
      <c r="G1013" s="6" t="s">
        <v>1246</v>
      </c>
      <c r="H1013" s="7">
        <f>VLOOKUP(D1013,A!B$1:L$1126,8,FALSE)</f>
        <v>0</v>
      </c>
      <c r="I1013" s="31">
        <f>VLOOKUP(D1013,A!B$1:L$1126,8,FALSE)</f>
        <v>0</v>
      </c>
      <c r="J1013" s="92"/>
      <c r="K1013" s="63" t="str">
        <f>VLOOKUP(D1013,A!B$1:P$1126,11,FALSE)</f>
        <v/>
      </c>
      <c r="L1013" s="162"/>
      <c r="M1013" s="43" t="s">
        <v>1247</v>
      </c>
      <c r="N1013" s="94">
        <f>VLOOKUP(D1013,A!B$1:L$1125,7,FALSE)</f>
        <v>0</v>
      </c>
      <c r="O1013" s="94">
        <f>VLOOKUP(D1013,A!B$1:P$1126,9,FALSE)</f>
        <v>0</v>
      </c>
      <c r="P1013" s="10">
        <v>6</v>
      </c>
      <c r="Q1013" s="10">
        <v>5.95</v>
      </c>
      <c r="R1013" s="10">
        <f t="shared" si="140"/>
        <v>0</v>
      </c>
      <c r="S1013" s="10">
        <f t="shared" si="141"/>
        <v>0</v>
      </c>
      <c r="T1013" s="29" t="s">
        <v>97</v>
      </c>
      <c r="U1013" s="115">
        <v>0.35</v>
      </c>
      <c r="V1013" s="10">
        <f>VLOOKUP(D1013,A!B$1:T$1125,17,FALSE)</f>
        <v>0</v>
      </c>
      <c r="W1013" s="10">
        <f t="shared" si="142"/>
        <v>0</v>
      </c>
      <c r="X1013" s="29"/>
      <c r="Y1013" s="29"/>
      <c r="Z1013" s="29"/>
      <c r="AA1013" s="29"/>
    </row>
    <row r="1014" spans="1:27" s="3" customFormat="1" ht="13.5" hidden="1" customHeight="1" x14ac:dyDescent="0.25">
      <c r="A1014" t="str">
        <f>IF(R1014=0,"",COUNTIF(A$13:A1013,"&gt;0")+1)</f>
        <v/>
      </c>
      <c r="B1014" s="4"/>
      <c r="C1014" s="5" t="s">
        <v>44</v>
      </c>
      <c r="D1014" s="7" t="s">
        <v>1248</v>
      </c>
      <c r="E1014" s="31"/>
      <c r="F1014" s="31"/>
      <c r="G1014" s="6" t="s">
        <v>1249</v>
      </c>
      <c r="H1014" s="7">
        <f>VLOOKUP(D1014,A!B$1:L$1126,8,FALSE)</f>
        <v>0</v>
      </c>
      <c r="I1014" s="31">
        <f>VLOOKUP(D1014,A!B$1:L$1126,8,FALSE)</f>
        <v>0</v>
      </c>
      <c r="J1014" s="92"/>
      <c r="K1014" s="63" t="str">
        <f>VLOOKUP(D1014,A!B$1:P$1126,11,FALSE)</f>
        <v/>
      </c>
      <c r="L1014" s="162"/>
      <c r="M1014" s="43" t="s">
        <v>1250</v>
      </c>
      <c r="N1014" s="94">
        <f>VLOOKUP(D1014,A!B$1:L$1125,7,FALSE)</f>
        <v>0</v>
      </c>
      <c r="O1014" s="94">
        <f>VLOOKUP(D1014,A!B$1:P$1126,9,FALSE)</f>
        <v>0</v>
      </c>
      <c r="P1014" s="10">
        <v>6</v>
      </c>
      <c r="Q1014" s="10">
        <v>5.95</v>
      </c>
      <c r="R1014" s="10">
        <f t="shared" si="140"/>
        <v>0</v>
      </c>
      <c r="S1014" s="10">
        <f t="shared" si="141"/>
        <v>0</v>
      </c>
      <c r="T1014" s="29" t="s">
        <v>97</v>
      </c>
      <c r="U1014" s="115">
        <v>0.35</v>
      </c>
      <c r="V1014" s="10">
        <f>VLOOKUP(D1014,A!B$1:T$1125,17,FALSE)</f>
        <v>0</v>
      </c>
      <c r="W1014" s="10">
        <f t="shared" si="142"/>
        <v>0</v>
      </c>
      <c r="X1014" s="29"/>
      <c r="Y1014" s="29"/>
      <c r="Z1014" s="29"/>
      <c r="AA1014" s="29"/>
    </row>
    <row r="1015" spans="1:27" s="3" customFormat="1" ht="13.5" hidden="1" customHeight="1" x14ac:dyDescent="0.25">
      <c r="A1015" t="str">
        <f>IF(R1015=0,"",COUNTIF(A$13:A1014,"&gt;0")+1)</f>
        <v/>
      </c>
      <c r="B1015" s="4"/>
      <c r="C1015" s="5" t="s">
        <v>44</v>
      </c>
      <c r="D1015" s="7" t="s">
        <v>1251</v>
      </c>
      <c r="E1015" s="31"/>
      <c r="F1015" s="31"/>
      <c r="G1015" s="6" t="s">
        <v>1252</v>
      </c>
      <c r="H1015" s="7">
        <f>VLOOKUP(D1015,A!B$1:L$1126,8,FALSE)</f>
        <v>0</v>
      </c>
      <c r="I1015" s="31">
        <f>VLOOKUP(D1015,A!B$1:L$1126,8,FALSE)</f>
        <v>0</v>
      </c>
      <c r="J1015" s="92"/>
      <c r="K1015" s="63" t="str">
        <f>VLOOKUP(D1015,A!B$1:P$1126,11,FALSE)</f>
        <v/>
      </c>
      <c r="L1015" s="162"/>
      <c r="M1015" s="43" t="s">
        <v>1253</v>
      </c>
      <c r="N1015" s="94">
        <f>VLOOKUP(D1015,A!B$1:L$1125,7,FALSE)</f>
        <v>0</v>
      </c>
      <c r="O1015" s="94">
        <f>VLOOKUP(D1015,A!B$1:P$1126,9,FALSE)</f>
        <v>0</v>
      </c>
      <c r="P1015" s="10">
        <v>6</v>
      </c>
      <c r="Q1015" s="10">
        <v>5.95</v>
      </c>
      <c r="R1015" s="10">
        <f t="shared" si="140"/>
        <v>0</v>
      </c>
      <c r="S1015" s="10">
        <f t="shared" si="141"/>
        <v>0</v>
      </c>
      <c r="T1015" s="29" t="s">
        <v>97</v>
      </c>
      <c r="U1015" s="115">
        <v>0.35</v>
      </c>
      <c r="V1015" s="10">
        <f>VLOOKUP(D1015,A!B$1:T$1125,17,FALSE)</f>
        <v>0</v>
      </c>
      <c r="W1015" s="10">
        <f t="shared" si="142"/>
        <v>0</v>
      </c>
      <c r="X1015" s="29"/>
      <c r="Y1015" s="29"/>
      <c r="Z1015" s="29"/>
      <c r="AA1015" s="29"/>
    </row>
    <row r="1016" spans="1:27" s="1" customFormat="1" ht="13.5" hidden="1" customHeight="1" x14ac:dyDescent="0.25">
      <c r="A1016" t="str">
        <f>IF(R1016=0,"",COUNTIF(A$13:A1015,"&gt;0")+1)</f>
        <v/>
      </c>
      <c r="B1016" s="4"/>
      <c r="C1016" s="5" t="s">
        <v>44</v>
      </c>
      <c r="D1016" s="7" t="s">
        <v>1254</v>
      </c>
      <c r="E1016" s="31"/>
      <c r="F1016" s="31"/>
      <c r="G1016" s="6" t="s">
        <v>1255</v>
      </c>
      <c r="H1016" s="7">
        <f>VLOOKUP(D1016,A!B$1:L$1126,8,FALSE)</f>
        <v>0</v>
      </c>
      <c r="I1016" s="31">
        <f>VLOOKUP(D1016,A!B$1:L$1126,8,FALSE)</f>
        <v>0</v>
      </c>
      <c r="J1016" s="92"/>
      <c r="K1016" s="63" t="str">
        <f>VLOOKUP(D1016,A!B$1:P$1126,11,FALSE)</f>
        <v/>
      </c>
      <c r="L1016" s="162"/>
      <c r="M1016" s="41" t="s">
        <v>1256</v>
      </c>
      <c r="N1016" s="94">
        <f>VLOOKUP(D1016,A!B$1:L$1125,7,FALSE)</f>
        <v>0</v>
      </c>
      <c r="O1016" s="94">
        <f>VLOOKUP(D1016,A!B$1:P$1126,9,FALSE)</f>
        <v>0</v>
      </c>
      <c r="P1016" s="10">
        <v>6</v>
      </c>
      <c r="Q1016" s="10">
        <v>5.95</v>
      </c>
      <c r="R1016" s="10">
        <f t="shared" si="140"/>
        <v>0</v>
      </c>
      <c r="S1016" s="10">
        <f t="shared" si="141"/>
        <v>0</v>
      </c>
      <c r="T1016" s="29" t="s">
        <v>97</v>
      </c>
      <c r="U1016" s="115">
        <v>0.35</v>
      </c>
      <c r="V1016" s="10">
        <f>VLOOKUP(D1016,A!B$1:T$1125,17,FALSE)</f>
        <v>0</v>
      </c>
      <c r="W1016" s="10">
        <f t="shared" si="142"/>
        <v>0</v>
      </c>
      <c r="X1016" s="29"/>
      <c r="Y1016" s="29"/>
      <c r="Z1016" s="29"/>
      <c r="AA1016" s="29"/>
    </row>
    <row r="1017" spans="1:27" s="3" customFormat="1" ht="13.5" hidden="1" customHeight="1" x14ac:dyDescent="0.25">
      <c r="A1017" t="str">
        <f>IF(R1017=0,"",COUNTIF(A$13:A1016,"&gt;0")+1)</f>
        <v/>
      </c>
      <c r="B1017" s="4"/>
      <c r="C1017" s="5" t="s">
        <v>44</v>
      </c>
      <c r="D1017" s="7" t="s">
        <v>1257</v>
      </c>
      <c r="E1017" s="31"/>
      <c r="F1017" s="31"/>
      <c r="G1017" s="6" t="s">
        <v>1258</v>
      </c>
      <c r="H1017" s="7">
        <f>VLOOKUP(D1017,A!B$1:L$1126,8,FALSE)</f>
        <v>0</v>
      </c>
      <c r="I1017" s="31">
        <f>VLOOKUP(D1017,A!B$1:L$1126,8,FALSE)</f>
        <v>0</v>
      </c>
      <c r="J1017" s="92"/>
      <c r="K1017" s="63" t="str">
        <f>VLOOKUP(D1017,A!B$1:P$1126,11,FALSE)</f>
        <v/>
      </c>
      <c r="L1017" s="162"/>
      <c r="M1017" s="41" t="s">
        <v>1259</v>
      </c>
      <c r="N1017" s="94">
        <f>VLOOKUP(D1017,A!B$1:L$1125,7,FALSE)</f>
        <v>0</v>
      </c>
      <c r="O1017" s="94">
        <f>VLOOKUP(D1017,A!B$1:P$1126,9,FALSE)</f>
        <v>0</v>
      </c>
      <c r="P1017" s="10">
        <v>6</v>
      </c>
      <c r="Q1017" s="10">
        <v>5.95</v>
      </c>
      <c r="R1017" s="10">
        <f t="shared" si="140"/>
        <v>0</v>
      </c>
      <c r="S1017" s="10">
        <f t="shared" si="141"/>
        <v>0</v>
      </c>
      <c r="T1017" s="29" t="s">
        <v>97</v>
      </c>
      <c r="U1017" s="115">
        <v>0.35</v>
      </c>
      <c r="V1017" s="10">
        <f>VLOOKUP(D1017,A!B$1:T$1125,17,FALSE)</f>
        <v>0</v>
      </c>
      <c r="W1017" s="10">
        <f t="shared" si="142"/>
        <v>0</v>
      </c>
      <c r="X1017" s="29"/>
      <c r="Y1017" s="29"/>
      <c r="Z1017" s="29"/>
      <c r="AA1017" s="29"/>
    </row>
    <row r="1018" spans="1:27" s="3" customFormat="1" ht="13.5" hidden="1" customHeight="1" x14ac:dyDescent="0.25">
      <c r="A1018" t="str">
        <f>IF(R1018=0,"",COUNTIF(A$13:A1017,"&gt;0")+1)</f>
        <v/>
      </c>
      <c r="B1018" s="4"/>
      <c r="C1018" s="5" t="s">
        <v>44</v>
      </c>
      <c r="D1018" s="7" t="s">
        <v>1260</v>
      </c>
      <c r="E1018" s="31"/>
      <c r="F1018" s="31"/>
      <c r="G1018" s="6" t="s">
        <v>1261</v>
      </c>
      <c r="H1018" s="7">
        <f>VLOOKUP(D1018,A!B$1:L$1126,8,FALSE)</f>
        <v>0</v>
      </c>
      <c r="I1018" s="31">
        <f>VLOOKUP(D1018,A!B$1:L$1126,8,FALSE)</f>
        <v>0</v>
      </c>
      <c r="J1018" s="92"/>
      <c r="K1018" s="63" t="str">
        <f>VLOOKUP(D1018,A!B$1:P$1126,11,FALSE)</f>
        <v/>
      </c>
      <c r="L1018" s="162"/>
      <c r="M1018" s="41" t="s">
        <v>1262</v>
      </c>
      <c r="N1018" s="94">
        <f>VLOOKUP(D1018,A!B$1:L$1125,7,FALSE)</f>
        <v>0</v>
      </c>
      <c r="O1018" s="94">
        <f>VLOOKUP(D1018,A!B$1:P$1126,9,FALSE)</f>
        <v>0</v>
      </c>
      <c r="P1018" s="10">
        <v>6</v>
      </c>
      <c r="Q1018" s="10">
        <v>5.95</v>
      </c>
      <c r="R1018" s="10">
        <f t="shared" si="140"/>
        <v>0</v>
      </c>
      <c r="S1018" s="10">
        <f t="shared" si="141"/>
        <v>0</v>
      </c>
      <c r="T1018" s="29" t="s">
        <v>97</v>
      </c>
      <c r="U1018" s="115">
        <v>0.35</v>
      </c>
      <c r="V1018" s="10">
        <f>VLOOKUP(D1018,A!B$1:T$1125,17,FALSE)</f>
        <v>0</v>
      </c>
      <c r="W1018" s="10">
        <f t="shared" si="142"/>
        <v>0</v>
      </c>
      <c r="X1018" s="29"/>
      <c r="Y1018" s="29"/>
      <c r="Z1018" s="29"/>
      <c r="AA1018" s="29"/>
    </row>
    <row r="1019" spans="1:27" s="3" customFormat="1" ht="13.5" hidden="1" customHeight="1" x14ac:dyDescent="0.25">
      <c r="A1019" t="str">
        <f>IF(R1019=0,"",COUNTIF(A$13:A1018,"&gt;0")+1)</f>
        <v/>
      </c>
      <c r="B1019" s="4"/>
      <c r="C1019" s="5" t="s">
        <v>44</v>
      </c>
      <c r="D1019" s="7" t="s">
        <v>286</v>
      </c>
      <c r="E1019" s="31"/>
      <c r="F1019" s="31"/>
      <c r="G1019" s="6" t="s">
        <v>287</v>
      </c>
      <c r="H1019" s="7">
        <f>VLOOKUP(D1019,A!B$1:L$1126,8,FALSE)</f>
        <v>0</v>
      </c>
      <c r="I1019" s="31">
        <f>VLOOKUP(D1019,A!B$1:L$1126,8,FALSE)</f>
        <v>0</v>
      </c>
      <c r="J1019" s="92"/>
      <c r="K1019" s="63" t="str">
        <f>VLOOKUP(D1019,A!B$1:P$1126,11,FALSE)</f>
        <v/>
      </c>
      <c r="L1019" s="162"/>
      <c r="M1019" s="41" t="s">
        <v>288</v>
      </c>
      <c r="N1019" s="94">
        <f>VLOOKUP(D1019,A!B$1:L$1125,7,FALSE)</f>
        <v>0</v>
      </c>
      <c r="O1019" s="94">
        <f>VLOOKUP(D1019,A!B$1:P$1126,9,FALSE)</f>
        <v>0</v>
      </c>
      <c r="P1019" s="10">
        <v>6</v>
      </c>
      <c r="Q1019" s="10">
        <v>5.95</v>
      </c>
      <c r="R1019" s="10">
        <f t="shared" si="140"/>
        <v>0</v>
      </c>
      <c r="S1019" s="10">
        <f t="shared" si="141"/>
        <v>0</v>
      </c>
      <c r="T1019" s="29" t="s">
        <v>97</v>
      </c>
      <c r="U1019" s="115">
        <v>0.35</v>
      </c>
      <c r="V1019" s="10">
        <f>VLOOKUP(D1019,A!B$1:T$1125,17,FALSE)</f>
        <v>0</v>
      </c>
      <c r="W1019" s="10">
        <f t="shared" si="142"/>
        <v>0</v>
      </c>
      <c r="X1019" s="29"/>
      <c r="Y1019" s="29"/>
      <c r="Z1019" s="29"/>
      <c r="AA1019" s="29"/>
    </row>
    <row r="1020" spans="1:27" s="3" customFormat="1" ht="13.5" hidden="1" customHeight="1" x14ac:dyDescent="0.25">
      <c r="A1020" t="str">
        <f>IF(R1020=0,"",COUNTIF(A$13:A1019,"&gt;0")+1)</f>
        <v/>
      </c>
      <c r="B1020" s="4"/>
      <c r="C1020" s="5" t="s">
        <v>44</v>
      </c>
      <c r="D1020" s="7" t="s">
        <v>1263</v>
      </c>
      <c r="E1020" s="31"/>
      <c r="F1020" s="31"/>
      <c r="G1020" s="20" t="s">
        <v>65</v>
      </c>
      <c r="H1020" s="7">
        <f>VLOOKUP(D1020,A!B$1:L$1126,8,FALSE)</f>
        <v>0</v>
      </c>
      <c r="I1020" s="31">
        <f>VLOOKUP(D1020,A!B$1:L$1126,8,FALSE)</f>
        <v>0</v>
      </c>
      <c r="J1020" s="92"/>
      <c r="K1020" s="63" t="str">
        <f>VLOOKUP(D1020,A!B$1:P$1126,11,FALSE)</f>
        <v/>
      </c>
      <c r="L1020" s="162"/>
      <c r="M1020" s="43" t="s">
        <v>1190</v>
      </c>
      <c r="N1020" s="94">
        <f>VLOOKUP(D1020,A!B$1:L$1125,7,FALSE)</f>
        <v>0</v>
      </c>
      <c r="O1020" s="94">
        <f>VLOOKUP(D1020,A!B$1:P$1126,9,FALSE)</f>
        <v>0</v>
      </c>
      <c r="P1020" s="10">
        <v>6</v>
      </c>
      <c r="Q1020" s="10">
        <v>5.95</v>
      </c>
      <c r="R1020" s="10">
        <f t="shared" si="140"/>
        <v>0</v>
      </c>
      <c r="S1020" s="10">
        <f t="shared" si="141"/>
        <v>0</v>
      </c>
      <c r="T1020" s="29" t="s">
        <v>97</v>
      </c>
      <c r="U1020" s="115">
        <v>0.35</v>
      </c>
      <c r="V1020" s="10">
        <f>VLOOKUP(D1020,A!B$1:T$1125,17,FALSE)</f>
        <v>0</v>
      </c>
      <c r="W1020" s="10">
        <f t="shared" si="142"/>
        <v>0</v>
      </c>
      <c r="X1020" s="29"/>
      <c r="Y1020" s="29"/>
      <c r="Z1020" s="29"/>
      <c r="AA1020" s="29"/>
    </row>
    <row r="1021" spans="1:27" s="3" customFormat="1" ht="13.5" hidden="1" customHeight="1" x14ac:dyDescent="0.25">
      <c r="A1021" t="str">
        <f>IF(R1021=0,"",COUNTIF(A$13:A1020,"&gt;0")+1)</f>
        <v/>
      </c>
      <c r="B1021" s="4"/>
      <c r="C1021" s="5" t="s">
        <v>44</v>
      </c>
      <c r="D1021" s="7" t="s">
        <v>197</v>
      </c>
      <c r="E1021" s="31"/>
      <c r="F1021" s="31"/>
      <c r="G1021" s="20" t="s">
        <v>65</v>
      </c>
      <c r="H1021" s="7">
        <f>VLOOKUP(D1021,A!B$1:L$1126,8,FALSE)</f>
        <v>0</v>
      </c>
      <c r="I1021" s="31">
        <f>VLOOKUP(D1021,A!B$1:L$1126,8,FALSE)</f>
        <v>0</v>
      </c>
      <c r="J1021" s="92"/>
      <c r="K1021" s="63" t="str">
        <f>VLOOKUP(D1021,A!B$1:P$1126,11,FALSE)</f>
        <v/>
      </c>
      <c r="L1021" s="162"/>
      <c r="M1021" s="43" t="s">
        <v>1264</v>
      </c>
      <c r="N1021" s="94">
        <f>VLOOKUP(D1021,A!B$1:L$1125,7,FALSE)</f>
        <v>0</v>
      </c>
      <c r="O1021" s="94">
        <f>VLOOKUP(D1021,A!B$1:P$1126,9,FALSE)</f>
        <v>0</v>
      </c>
      <c r="P1021" s="10">
        <v>6</v>
      </c>
      <c r="Q1021" s="10">
        <v>5.95</v>
      </c>
      <c r="R1021" s="10">
        <f t="shared" si="140"/>
        <v>0</v>
      </c>
      <c r="S1021" s="10">
        <f t="shared" si="141"/>
        <v>0</v>
      </c>
      <c r="T1021" s="29" t="s">
        <v>97</v>
      </c>
      <c r="U1021" s="115">
        <v>0.35</v>
      </c>
      <c r="V1021" s="10">
        <f>VLOOKUP(D1021,A!B$1:T$1125,17,FALSE)</f>
        <v>0</v>
      </c>
      <c r="W1021" s="10">
        <f t="shared" si="142"/>
        <v>0</v>
      </c>
      <c r="X1021" s="29"/>
      <c r="Y1021" s="29"/>
      <c r="Z1021" s="29"/>
      <c r="AA1021" s="29"/>
    </row>
    <row r="1022" spans="1:27" s="3" customFormat="1" ht="13.5" hidden="1" customHeight="1" x14ac:dyDescent="0.25">
      <c r="A1022" t="str">
        <f>IF(R1022=0,"",COUNTIF(A$13:A1021,"&gt;0")+1)</f>
        <v/>
      </c>
      <c r="B1022" s="4"/>
      <c r="C1022" s="5" t="s">
        <v>44</v>
      </c>
      <c r="D1022" s="7" t="s">
        <v>1265</v>
      </c>
      <c r="E1022" s="31"/>
      <c r="F1022" s="31"/>
      <c r="G1022" s="20" t="s">
        <v>65</v>
      </c>
      <c r="H1022" s="7">
        <f>VLOOKUP(D1022,A!B$1:L$1126,8,FALSE)</f>
        <v>0</v>
      </c>
      <c r="I1022" s="31">
        <f>VLOOKUP(D1022,A!B$1:L$1126,8,FALSE)</f>
        <v>0</v>
      </c>
      <c r="J1022" s="92"/>
      <c r="K1022" s="63" t="str">
        <f>VLOOKUP(D1022,A!B$1:P$1126,11,FALSE)</f>
        <v/>
      </c>
      <c r="L1022" s="162"/>
      <c r="M1022" s="43" t="s">
        <v>1266</v>
      </c>
      <c r="N1022" s="94">
        <f>VLOOKUP(D1022,A!B$1:L$1125,7,FALSE)</f>
        <v>0</v>
      </c>
      <c r="O1022" s="94">
        <f>VLOOKUP(D1022,A!B$1:P$1126,9,FALSE)</f>
        <v>0</v>
      </c>
      <c r="P1022" s="10">
        <v>6</v>
      </c>
      <c r="Q1022" s="10">
        <v>5.95</v>
      </c>
      <c r="R1022" s="10">
        <f t="shared" si="140"/>
        <v>0</v>
      </c>
      <c r="S1022" s="10">
        <f t="shared" si="141"/>
        <v>0</v>
      </c>
      <c r="T1022" s="29" t="s">
        <v>97</v>
      </c>
      <c r="U1022" s="115">
        <v>0.35</v>
      </c>
      <c r="V1022" s="10">
        <f>VLOOKUP(D1022,A!B$1:T$1125,17,FALSE)</f>
        <v>0</v>
      </c>
      <c r="W1022" s="10">
        <f t="shared" si="142"/>
        <v>0</v>
      </c>
      <c r="X1022" s="29"/>
      <c r="Y1022" s="29"/>
      <c r="Z1022" s="29"/>
      <c r="AA1022" s="29"/>
    </row>
    <row r="1023" spans="1:27" s="3" customFormat="1" ht="13.5" hidden="1" customHeight="1" x14ac:dyDescent="0.25">
      <c r="A1023" t="str">
        <f>IF(R1023=0,"",COUNTIF(A$13:A1022,"&gt;0")+1)</f>
        <v/>
      </c>
      <c r="B1023" s="4"/>
      <c r="C1023" s="5" t="s">
        <v>44</v>
      </c>
      <c r="D1023" s="7" t="s">
        <v>1267</v>
      </c>
      <c r="E1023" s="31"/>
      <c r="F1023" s="31"/>
      <c r="G1023" s="6" t="s">
        <v>1268</v>
      </c>
      <c r="H1023" s="7">
        <f>VLOOKUP(D1023,A!B$1:L$1126,8,FALSE)</f>
        <v>0</v>
      </c>
      <c r="I1023" s="31">
        <f>VLOOKUP(D1023,A!B$1:L$1126,8,FALSE)</f>
        <v>0</v>
      </c>
      <c r="J1023" s="92"/>
      <c r="K1023" s="63" t="str">
        <f>VLOOKUP(D1023,A!B$1:P$1126,11,FALSE)</f>
        <v/>
      </c>
      <c r="L1023" s="162"/>
      <c r="M1023" s="42" t="s">
        <v>1269</v>
      </c>
      <c r="N1023" s="94">
        <f>VLOOKUP(D1023,A!B$1:L$1125,7,FALSE)</f>
        <v>0</v>
      </c>
      <c r="O1023" s="94">
        <f>VLOOKUP(D1023,A!B$1:P$1126,9,FALSE)</f>
        <v>0</v>
      </c>
      <c r="P1023" s="10">
        <v>6</v>
      </c>
      <c r="Q1023" s="10">
        <v>5.95</v>
      </c>
      <c r="R1023" s="10">
        <f t="shared" si="140"/>
        <v>0</v>
      </c>
      <c r="S1023" s="10">
        <f t="shared" si="141"/>
        <v>0</v>
      </c>
      <c r="T1023" s="29" t="s">
        <v>97</v>
      </c>
      <c r="U1023" s="115">
        <v>0.35</v>
      </c>
      <c r="V1023" s="10">
        <f>VLOOKUP(D1023,A!B$1:T$1125,17,FALSE)</f>
        <v>0</v>
      </c>
      <c r="W1023" s="10">
        <f t="shared" si="142"/>
        <v>0</v>
      </c>
      <c r="X1023" s="29"/>
      <c r="Y1023" s="29"/>
      <c r="Z1023" s="29"/>
      <c r="AA1023" s="29"/>
    </row>
    <row r="1024" spans="1:27" s="3" customFormat="1" ht="13.5" hidden="1" customHeight="1" x14ac:dyDescent="0.25">
      <c r="A1024" t="str">
        <f>IF(R1024=0,"",COUNTIF(A$13:A1023,"&gt;0")+1)</f>
        <v/>
      </c>
      <c r="B1024" s="4"/>
      <c r="C1024" s="5" t="s">
        <v>44</v>
      </c>
      <c r="D1024" s="7" t="s">
        <v>1270</v>
      </c>
      <c r="E1024" s="31"/>
      <c r="F1024" s="31"/>
      <c r="G1024" s="6" t="s">
        <v>1268</v>
      </c>
      <c r="H1024" s="7">
        <f>VLOOKUP(D1024,A!B$1:L$1126,8,FALSE)</f>
        <v>0</v>
      </c>
      <c r="I1024" s="31">
        <f>VLOOKUP(D1024,A!B$1:L$1126,8,FALSE)</f>
        <v>0</v>
      </c>
      <c r="J1024" s="92"/>
      <c r="K1024" s="63" t="str">
        <f>VLOOKUP(D1024,A!B$1:P$1126,11,FALSE)</f>
        <v/>
      </c>
      <c r="L1024" s="162"/>
      <c r="M1024" s="41" t="s">
        <v>1271</v>
      </c>
      <c r="N1024" s="94">
        <f>VLOOKUP(D1024,A!B$1:L$1125,7,FALSE)</f>
        <v>0</v>
      </c>
      <c r="O1024" s="94">
        <f>VLOOKUP(D1024,A!B$1:P$1126,9,FALSE)</f>
        <v>0</v>
      </c>
      <c r="P1024" s="10">
        <v>6</v>
      </c>
      <c r="Q1024" s="10">
        <v>5.95</v>
      </c>
      <c r="R1024" s="10">
        <f t="shared" si="140"/>
        <v>0</v>
      </c>
      <c r="S1024" s="10">
        <f t="shared" si="141"/>
        <v>0</v>
      </c>
      <c r="T1024" s="29" t="s">
        <v>97</v>
      </c>
      <c r="U1024" s="115">
        <v>0.35</v>
      </c>
      <c r="V1024" s="10">
        <f>VLOOKUP(D1024,A!B$1:T$1125,17,FALSE)</f>
        <v>0</v>
      </c>
      <c r="W1024" s="10">
        <f t="shared" si="142"/>
        <v>0</v>
      </c>
      <c r="X1024" s="29"/>
      <c r="Y1024" s="29"/>
      <c r="Z1024" s="29"/>
      <c r="AA1024" s="29"/>
    </row>
    <row r="1025" spans="1:67" s="3" customFormat="1" ht="13.5" hidden="1" customHeight="1" x14ac:dyDescent="0.25">
      <c r="A1025" t="str">
        <f>IF(R1025=0,"",COUNTIF(A$13:A1024,"&gt;0")+1)</f>
        <v/>
      </c>
      <c r="B1025" s="4"/>
      <c r="C1025" s="5" t="s">
        <v>44</v>
      </c>
      <c r="D1025" s="7" t="s">
        <v>1272</v>
      </c>
      <c r="E1025" s="31"/>
      <c r="F1025" s="31"/>
      <c r="G1025" s="6" t="s">
        <v>1268</v>
      </c>
      <c r="H1025" s="7">
        <f>VLOOKUP(D1025,A!B$1:L$1126,8,FALSE)</f>
        <v>0</v>
      </c>
      <c r="I1025" s="31">
        <f>VLOOKUP(D1025,A!B$1:L$1126,8,FALSE)</f>
        <v>0</v>
      </c>
      <c r="J1025" s="92"/>
      <c r="K1025" s="63" t="str">
        <f>VLOOKUP(D1025,A!B$1:P$1126,11,FALSE)</f>
        <v/>
      </c>
      <c r="L1025" s="162"/>
      <c r="M1025" s="42" t="s">
        <v>1273</v>
      </c>
      <c r="N1025" s="94">
        <f>VLOOKUP(D1025,A!B$1:L$1125,7,FALSE)</f>
        <v>0</v>
      </c>
      <c r="O1025" s="94">
        <f>VLOOKUP(D1025,A!B$1:P$1126,9,FALSE)</f>
        <v>0</v>
      </c>
      <c r="P1025" s="10">
        <v>6</v>
      </c>
      <c r="Q1025" s="10">
        <v>5.95</v>
      </c>
      <c r="R1025" s="10">
        <f t="shared" si="140"/>
        <v>0</v>
      </c>
      <c r="S1025" s="10">
        <f t="shared" si="141"/>
        <v>0</v>
      </c>
      <c r="T1025" s="29" t="s">
        <v>97</v>
      </c>
      <c r="U1025" s="115">
        <v>0.35</v>
      </c>
      <c r="V1025" s="10">
        <f>VLOOKUP(D1025,A!B$1:T$1125,17,FALSE)</f>
        <v>0</v>
      </c>
      <c r="W1025" s="10">
        <f t="shared" si="142"/>
        <v>0</v>
      </c>
      <c r="X1025" s="29"/>
      <c r="Y1025" s="29"/>
      <c r="Z1025" s="29"/>
      <c r="AA1025" s="29"/>
    </row>
    <row r="1026" spans="1:67" s="3" customFormat="1" ht="13.5" hidden="1" customHeight="1" x14ac:dyDescent="0.25">
      <c r="A1026" t="str">
        <f>IF(R1026=0,"",COUNTIF(A$13:A1025,"&gt;0")+1)</f>
        <v/>
      </c>
      <c r="B1026" s="4"/>
      <c r="C1026" s="5" t="s">
        <v>44</v>
      </c>
      <c r="D1026" s="7" t="s">
        <v>1274</v>
      </c>
      <c r="E1026" s="31"/>
      <c r="F1026" s="31"/>
      <c r="G1026" s="6" t="s">
        <v>1275</v>
      </c>
      <c r="H1026" s="7">
        <f>VLOOKUP(D1026,A!B$1:L$1126,8,FALSE)</f>
        <v>0</v>
      </c>
      <c r="I1026" s="31">
        <f>VLOOKUP(D1026,A!B$1:L$1126,8,FALSE)</f>
        <v>0</v>
      </c>
      <c r="J1026" s="92"/>
      <c r="K1026" s="63" t="str">
        <f>VLOOKUP(D1026,A!B$1:P$1126,11,FALSE)</f>
        <v/>
      </c>
      <c r="L1026" s="162"/>
      <c r="M1026" s="43" t="s">
        <v>1276</v>
      </c>
      <c r="N1026" s="94">
        <f>VLOOKUP(D1026,A!B$1:L$1125,7,FALSE)</f>
        <v>0</v>
      </c>
      <c r="O1026" s="94">
        <f>VLOOKUP(D1026,A!B$1:P$1126,9,FALSE)</f>
        <v>0</v>
      </c>
      <c r="P1026" s="10">
        <v>6</v>
      </c>
      <c r="Q1026" s="10">
        <v>5.95</v>
      </c>
      <c r="R1026" s="10">
        <f t="shared" si="140"/>
        <v>0</v>
      </c>
      <c r="S1026" s="10">
        <f t="shared" si="141"/>
        <v>0</v>
      </c>
      <c r="T1026" s="29" t="s">
        <v>97</v>
      </c>
      <c r="U1026" s="115">
        <v>0.35</v>
      </c>
      <c r="V1026" s="10">
        <f>VLOOKUP(D1026,A!B$1:T$1125,17,FALSE)</f>
        <v>0</v>
      </c>
      <c r="W1026" s="10">
        <f t="shared" si="142"/>
        <v>0</v>
      </c>
      <c r="X1026" s="29"/>
      <c r="Y1026" s="29"/>
      <c r="Z1026" s="29"/>
      <c r="AA1026" s="29"/>
    </row>
    <row r="1027" spans="1:67" s="3" customFormat="1" ht="13.5" hidden="1" customHeight="1" x14ac:dyDescent="0.25">
      <c r="A1027" t="str">
        <f>IF(R1027=0,"",COUNTIF(A$13:A1026,"&gt;0")+1)</f>
        <v/>
      </c>
      <c r="B1027" s="4"/>
      <c r="C1027" s="5" t="s">
        <v>44</v>
      </c>
      <c r="D1027" s="7" t="s">
        <v>106</v>
      </c>
      <c r="E1027" s="31"/>
      <c r="F1027" s="31"/>
      <c r="G1027" s="6" t="s">
        <v>90</v>
      </c>
      <c r="H1027" s="7">
        <f>VLOOKUP(D1027,A!B$1:L$1126,8,FALSE)</f>
        <v>0</v>
      </c>
      <c r="I1027" s="31">
        <f>VLOOKUP(D1027,A!B$1:L$1126,8,FALSE)</f>
        <v>0</v>
      </c>
      <c r="J1027" s="92"/>
      <c r="K1027" s="63" t="str">
        <f>VLOOKUP(D1027,A!B$1:P$1126,11,FALSE)</f>
        <v/>
      </c>
      <c r="L1027" s="162"/>
      <c r="M1027" s="41" t="s">
        <v>107</v>
      </c>
      <c r="N1027" s="94">
        <f>VLOOKUP(D1027,A!B$1:L$1125,7,FALSE)</f>
        <v>0</v>
      </c>
      <c r="O1027" s="94">
        <f>VLOOKUP(D1027,A!B$1:P$1126,9,FALSE)</f>
        <v>0</v>
      </c>
      <c r="P1027" s="10">
        <v>6</v>
      </c>
      <c r="Q1027" s="10">
        <v>5.95</v>
      </c>
      <c r="R1027" s="10">
        <f t="shared" si="140"/>
        <v>0</v>
      </c>
      <c r="S1027" s="10">
        <f t="shared" si="141"/>
        <v>0</v>
      </c>
      <c r="T1027" s="29" t="s">
        <v>97</v>
      </c>
      <c r="U1027" s="115">
        <v>0.35</v>
      </c>
      <c r="V1027" s="10">
        <f>VLOOKUP(D1027,A!B$1:T$1125,17,FALSE)</f>
        <v>0</v>
      </c>
      <c r="W1027" s="10">
        <f t="shared" si="142"/>
        <v>0</v>
      </c>
      <c r="X1027" s="29"/>
      <c r="Y1027" s="29"/>
      <c r="Z1027" s="29"/>
      <c r="AA1027" s="29"/>
    </row>
    <row r="1028" spans="1:67" s="3" customFormat="1" ht="13.5" hidden="1" customHeight="1" x14ac:dyDescent="0.25">
      <c r="A1028" t="str">
        <f>IF(R1028=0,"",COUNTIF(A$13:A1027,"&gt;0")+1)</f>
        <v/>
      </c>
      <c r="B1028" s="4"/>
      <c r="C1028" s="5" t="s">
        <v>44</v>
      </c>
      <c r="D1028" s="7" t="s">
        <v>1277</v>
      </c>
      <c r="E1028" s="31"/>
      <c r="F1028" s="31"/>
      <c r="G1028" s="6" t="s">
        <v>90</v>
      </c>
      <c r="H1028" s="7">
        <f>VLOOKUP(D1028,A!B$1:L$1126,8,FALSE)</f>
        <v>0</v>
      </c>
      <c r="I1028" s="31">
        <f>VLOOKUP(D1028,A!B$1:L$1126,8,FALSE)</f>
        <v>0</v>
      </c>
      <c r="J1028" s="92"/>
      <c r="K1028" s="63" t="str">
        <f>VLOOKUP(D1028,A!B$1:P$1126,11,FALSE)</f>
        <v/>
      </c>
      <c r="L1028" s="162"/>
      <c r="M1028" s="43" t="s">
        <v>1278</v>
      </c>
      <c r="N1028" s="94">
        <f>VLOOKUP(D1028,A!B$1:L$1125,7,FALSE)</f>
        <v>0</v>
      </c>
      <c r="O1028" s="94">
        <f>VLOOKUP(D1028,A!B$1:P$1126,9,FALSE)</f>
        <v>0</v>
      </c>
      <c r="P1028" s="10">
        <v>6</v>
      </c>
      <c r="Q1028" s="10">
        <v>5.95</v>
      </c>
      <c r="R1028" s="10">
        <f t="shared" si="140"/>
        <v>0</v>
      </c>
      <c r="S1028" s="10">
        <f t="shared" si="141"/>
        <v>0</v>
      </c>
      <c r="T1028" s="29" t="s">
        <v>97</v>
      </c>
      <c r="U1028" s="115">
        <v>0.35</v>
      </c>
      <c r="V1028" s="10">
        <f>VLOOKUP(D1028,A!B$1:T$1125,17,FALSE)</f>
        <v>0</v>
      </c>
      <c r="W1028" s="10">
        <f t="shared" si="142"/>
        <v>0</v>
      </c>
      <c r="X1028" s="29"/>
      <c r="Y1028" s="29"/>
      <c r="Z1028" s="29"/>
      <c r="AA1028" s="29"/>
    </row>
    <row r="1029" spans="1:67" s="3" customFormat="1" ht="13.5" hidden="1" customHeight="1" x14ac:dyDescent="0.25">
      <c r="A1029" t="str">
        <f>IF(R1029=0,"",COUNTIF(A$13:A1028,"&gt;0")+1)</f>
        <v/>
      </c>
      <c r="B1029" s="4"/>
      <c r="C1029" s="5" t="s">
        <v>44</v>
      </c>
      <c r="D1029" s="7" t="s">
        <v>1279</v>
      </c>
      <c r="E1029" s="31"/>
      <c r="F1029" s="31"/>
      <c r="G1029" s="6" t="s">
        <v>90</v>
      </c>
      <c r="H1029" s="7">
        <f>VLOOKUP(D1029,A!B$1:L$1126,8,FALSE)</f>
        <v>0</v>
      </c>
      <c r="I1029" s="31">
        <f>VLOOKUP(D1029,A!B$1:L$1126,8,FALSE)</f>
        <v>0</v>
      </c>
      <c r="J1029" s="92"/>
      <c r="K1029" s="63" t="str">
        <f>VLOOKUP(D1029,A!B$1:P$1126,11,FALSE)</f>
        <v/>
      </c>
      <c r="L1029" s="162"/>
      <c r="M1029" s="43" t="s">
        <v>791</v>
      </c>
      <c r="N1029" s="94">
        <f>VLOOKUP(D1029,A!B$1:L$1125,7,FALSE)</f>
        <v>0</v>
      </c>
      <c r="O1029" s="94">
        <f>VLOOKUP(D1029,A!B$1:P$1126,9,FALSE)</f>
        <v>0</v>
      </c>
      <c r="P1029" s="10">
        <v>6</v>
      </c>
      <c r="Q1029" s="10">
        <v>5.95</v>
      </c>
      <c r="R1029" s="10">
        <f t="shared" si="140"/>
        <v>0</v>
      </c>
      <c r="S1029" s="10">
        <f t="shared" si="141"/>
        <v>0</v>
      </c>
      <c r="T1029" s="29" t="s">
        <v>97</v>
      </c>
      <c r="U1029" s="115">
        <v>0.35</v>
      </c>
      <c r="V1029" s="10">
        <f>VLOOKUP(D1029,A!B$1:T$1125,17,FALSE)</f>
        <v>0</v>
      </c>
      <c r="W1029" s="10">
        <f t="shared" si="142"/>
        <v>0</v>
      </c>
      <c r="X1029" s="29"/>
      <c r="Y1029" s="29"/>
      <c r="Z1029" s="29"/>
      <c r="AA1029" s="29"/>
    </row>
    <row r="1030" spans="1:67" ht="12" hidden="1" customHeight="1" x14ac:dyDescent="0.25">
      <c r="A1030" t="str">
        <f>IF(R1030=0,"",COUNTIF(A$13:A1029,"&gt;0")+1)</f>
        <v/>
      </c>
      <c r="B1030" s="4"/>
      <c r="C1030" s="5" t="s">
        <v>44</v>
      </c>
      <c r="D1030" s="7" t="s">
        <v>1280</v>
      </c>
      <c r="E1030" s="31"/>
      <c r="F1030" s="31"/>
      <c r="G1030" s="6" t="s">
        <v>90</v>
      </c>
      <c r="H1030" s="7">
        <f>VLOOKUP(D1030,A!B$1:L$1126,8,FALSE)</f>
        <v>0</v>
      </c>
      <c r="I1030" s="31">
        <f>VLOOKUP(D1030,A!B$1:L$1126,8,FALSE)</f>
        <v>0</v>
      </c>
      <c r="J1030" s="92"/>
      <c r="K1030" s="63" t="str">
        <f>VLOOKUP(D1030,A!B$1:P$1126,11,FALSE)</f>
        <v/>
      </c>
      <c r="L1030" s="162"/>
      <c r="M1030" s="43" t="s">
        <v>1281</v>
      </c>
      <c r="N1030" s="94">
        <f>VLOOKUP(D1030,A!B$1:L$1125,7,FALSE)</f>
        <v>0</v>
      </c>
      <c r="O1030" s="94">
        <f>VLOOKUP(D1030,A!B$1:P$1126,9,FALSE)</f>
        <v>0</v>
      </c>
      <c r="P1030" s="10">
        <v>6</v>
      </c>
      <c r="Q1030" s="10">
        <v>5.95</v>
      </c>
      <c r="R1030" s="10">
        <f t="shared" si="140"/>
        <v>0</v>
      </c>
      <c r="S1030" s="10">
        <f t="shared" si="141"/>
        <v>0</v>
      </c>
      <c r="T1030" s="29" t="s">
        <v>97</v>
      </c>
      <c r="U1030" s="115">
        <v>0.35</v>
      </c>
      <c r="V1030" s="10">
        <f>VLOOKUP(D1030,A!B$1:T$1125,17,FALSE)</f>
        <v>0</v>
      </c>
      <c r="W1030" s="10">
        <f t="shared" si="142"/>
        <v>0</v>
      </c>
      <c r="X1030" s="29"/>
      <c r="AC1030" s="30"/>
      <c r="AD1030" s="30"/>
      <c r="AE1030" s="115"/>
      <c r="AF1030" s="115"/>
      <c r="AG1030" s="115"/>
      <c r="AH1030" s="115"/>
      <c r="AI1030" s="115"/>
      <c r="AJ1030" s="115"/>
      <c r="AK1030" s="115"/>
      <c r="AL1030" s="115"/>
      <c r="AM1030" s="115"/>
      <c r="AN1030" s="115"/>
      <c r="AO1030" s="115"/>
      <c r="AP1030" s="115"/>
      <c r="AQ1030" s="115"/>
      <c r="AR1030" s="115"/>
      <c r="AS1030" s="115"/>
      <c r="AT1030" s="115"/>
      <c r="AU1030" s="115"/>
      <c r="AV1030" s="115"/>
      <c r="AW1030" s="115"/>
      <c r="AX1030" s="115"/>
      <c r="AY1030" s="115"/>
      <c r="AZ1030" s="115"/>
      <c r="BA1030" s="115"/>
      <c r="BB1030" s="115"/>
      <c r="BC1030" s="115"/>
      <c r="BD1030" s="115"/>
      <c r="BE1030" s="115"/>
      <c r="BF1030" s="115"/>
      <c r="BG1030" s="115"/>
      <c r="BH1030" s="115"/>
      <c r="BI1030" s="115"/>
      <c r="BJ1030" s="115"/>
      <c r="BK1030" s="115"/>
      <c r="BL1030" s="115"/>
      <c r="BM1030" s="115"/>
      <c r="BN1030" s="115"/>
      <c r="BO1030" s="115"/>
    </row>
    <row r="1031" spans="1:67" ht="12" hidden="1" customHeight="1" x14ac:dyDescent="0.25">
      <c r="A1031" t="str">
        <f>IF(R1031=0,"",COUNTIF(A$13:A1030,"&gt;0")+1)</f>
        <v/>
      </c>
      <c r="B1031" s="4"/>
      <c r="C1031" s="5" t="s">
        <v>44</v>
      </c>
      <c r="D1031" s="7" t="s">
        <v>254</v>
      </c>
      <c r="E1031" s="31"/>
      <c r="F1031" s="31"/>
      <c r="G1031" s="6" t="s">
        <v>90</v>
      </c>
      <c r="H1031" s="7">
        <f>VLOOKUP(D1031,A!B$1:L$1126,8,FALSE)</f>
        <v>0</v>
      </c>
      <c r="I1031" s="31">
        <f>VLOOKUP(D1031,A!B$1:L$1126,8,FALSE)</f>
        <v>0</v>
      </c>
      <c r="J1031" s="92"/>
      <c r="K1031" s="63" t="str">
        <f>VLOOKUP(D1031,A!B$1:P$1126,11,FALSE)</f>
        <v/>
      </c>
      <c r="L1031" s="162"/>
      <c r="M1031" s="43" t="s">
        <v>255</v>
      </c>
      <c r="N1031" s="94">
        <f>VLOOKUP(D1031,A!B$1:L$1125,7,FALSE)</f>
        <v>0</v>
      </c>
      <c r="O1031" s="94">
        <f>VLOOKUP(D1031,A!B$1:P$1126,9,FALSE)</f>
        <v>0</v>
      </c>
      <c r="P1031" s="10">
        <v>6</v>
      </c>
      <c r="Q1031" s="10">
        <v>5.95</v>
      </c>
      <c r="R1031" s="10">
        <f t="shared" si="140"/>
        <v>0</v>
      </c>
      <c r="S1031" s="10">
        <f t="shared" si="141"/>
        <v>0</v>
      </c>
      <c r="T1031" s="29" t="s">
        <v>97</v>
      </c>
      <c r="U1031" s="115">
        <v>0.35</v>
      </c>
      <c r="V1031" s="10">
        <f>VLOOKUP(D1031,A!B$1:T$1125,17,FALSE)</f>
        <v>0</v>
      </c>
      <c r="W1031" s="10">
        <f t="shared" si="142"/>
        <v>0</v>
      </c>
      <c r="X1031" s="29"/>
      <c r="AC1031" s="30"/>
      <c r="AD1031" s="30"/>
      <c r="AE1031" s="115"/>
      <c r="AF1031" s="115"/>
      <c r="AG1031" s="115"/>
      <c r="AH1031" s="115"/>
      <c r="AI1031" s="115"/>
      <c r="AJ1031" s="115"/>
      <c r="AK1031" s="115"/>
      <c r="AL1031" s="115"/>
      <c r="AM1031" s="115"/>
      <c r="AN1031" s="115"/>
      <c r="AO1031" s="115"/>
      <c r="AP1031" s="115"/>
      <c r="AQ1031" s="115"/>
      <c r="AR1031" s="115"/>
      <c r="AS1031" s="115"/>
      <c r="AT1031" s="115"/>
      <c r="AU1031" s="115"/>
      <c r="AV1031" s="115"/>
      <c r="AW1031" s="115"/>
      <c r="AX1031" s="115"/>
      <c r="AY1031" s="115"/>
      <c r="AZ1031" s="115"/>
      <c r="BA1031" s="115"/>
      <c r="BB1031" s="115"/>
      <c r="BC1031" s="115"/>
      <c r="BD1031" s="115"/>
      <c r="BE1031" s="115"/>
      <c r="BF1031" s="115"/>
      <c r="BG1031" s="115"/>
      <c r="BH1031" s="115"/>
      <c r="BI1031" s="115"/>
      <c r="BJ1031" s="115"/>
      <c r="BK1031" s="115"/>
      <c r="BL1031" s="115"/>
      <c r="BM1031" s="115"/>
      <c r="BN1031" s="115"/>
      <c r="BO1031" s="115"/>
    </row>
    <row r="1032" spans="1:67" ht="12" hidden="1" customHeight="1" x14ac:dyDescent="0.25">
      <c r="A1032" t="str">
        <f>IF(R1032=0,"",COUNTIF(A$13:A1031,"&gt;0")+1)</f>
        <v/>
      </c>
      <c r="B1032" s="4"/>
      <c r="C1032" s="5" t="s">
        <v>44</v>
      </c>
      <c r="D1032" s="7" t="s">
        <v>1282</v>
      </c>
      <c r="E1032" s="31"/>
      <c r="F1032" s="31"/>
      <c r="G1032" s="6" t="s">
        <v>90</v>
      </c>
      <c r="H1032" s="7">
        <f>VLOOKUP(D1032,A!B$1:L$1126,8,FALSE)</f>
        <v>0</v>
      </c>
      <c r="I1032" s="31">
        <f>VLOOKUP(D1032,A!B$1:L$1126,8,FALSE)</f>
        <v>0</v>
      </c>
      <c r="J1032" s="92"/>
      <c r="K1032" s="63" t="str">
        <f>VLOOKUP(D1032,A!B$1:P$1126,11,FALSE)</f>
        <v/>
      </c>
      <c r="L1032" s="162"/>
      <c r="M1032" s="43" t="s">
        <v>1283</v>
      </c>
      <c r="N1032" s="94">
        <f>VLOOKUP(D1032,A!B$1:L$1125,7,FALSE)</f>
        <v>0</v>
      </c>
      <c r="O1032" s="94">
        <f>VLOOKUP(D1032,A!B$1:P$1126,9,FALSE)</f>
        <v>0</v>
      </c>
      <c r="P1032" s="10">
        <v>6</v>
      </c>
      <c r="Q1032" s="10">
        <v>5.95</v>
      </c>
      <c r="R1032" s="10">
        <f t="shared" si="140"/>
        <v>0</v>
      </c>
      <c r="S1032" s="10">
        <f t="shared" si="141"/>
        <v>0</v>
      </c>
      <c r="T1032" s="29" t="s">
        <v>97</v>
      </c>
      <c r="U1032" s="115">
        <v>0.35</v>
      </c>
      <c r="V1032" s="10">
        <f>VLOOKUP(D1032,A!B$1:T$1125,17,FALSE)</f>
        <v>0</v>
      </c>
      <c r="W1032" s="10">
        <f t="shared" si="142"/>
        <v>0</v>
      </c>
      <c r="X1032" s="29"/>
      <c r="AC1032" s="30"/>
      <c r="AD1032" s="30"/>
      <c r="AE1032" s="115"/>
      <c r="AF1032" s="115"/>
      <c r="AG1032" s="115"/>
      <c r="AH1032" s="115"/>
      <c r="AI1032" s="115"/>
      <c r="AJ1032" s="115"/>
      <c r="AK1032" s="115"/>
      <c r="AL1032" s="115"/>
      <c r="AM1032" s="115"/>
      <c r="AN1032" s="115"/>
      <c r="AO1032" s="115"/>
      <c r="AP1032" s="115"/>
      <c r="AQ1032" s="115"/>
      <c r="AR1032" s="115"/>
      <c r="AS1032" s="115"/>
      <c r="AT1032" s="115"/>
      <c r="AU1032" s="115"/>
      <c r="AV1032" s="115"/>
      <c r="AW1032" s="115"/>
      <c r="AX1032" s="115"/>
      <c r="AY1032" s="115"/>
      <c r="AZ1032" s="115"/>
      <c r="BA1032" s="115"/>
      <c r="BB1032" s="115"/>
      <c r="BC1032" s="115"/>
      <c r="BD1032" s="115"/>
      <c r="BE1032" s="115"/>
      <c r="BF1032" s="115"/>
      <c r="BG1032" s="115"/>
      <c r="BH1032" s="115"/>
      <c r="BI1032" s="115"/>
      <c r="BJ1032" s="115"/>
      <c r="BK1032" s="115"/>
      <c r="BL1032" s="115"/>
      <c r="BM1032" s="115"/>
      <c r="BN1032" s="115"/>
      <c r="BO1032" s="115"/>
    </row>
    <row r="1033" spans="1:67" ht="12" hidden="1" customHeight="1" x14ac:dyDescent="0.25">
      <c r="A1033" t="str">
        <f>IF(R1033=0,"",COUNTIF(A$13:A1032,"&gt;0")+1)</f>
        <v/>
      </c>
      <c r="B1033" s="4"/>
      <c r="C1033" s="5" t="s">
        <v>44</v>
      </c>
      <c r="D1033" s="7" t="s">
        <v>1284</v>
      </c>
      <c r="E1033" s="31"/>
      <c r="F1033" s="31"/>
      <c r="G1033" s="6" t="s">
        <v>1285</v>
      </c>
      <c r="H1033" s="7">
        <f>VLOOKUP(D1033,A!B$1:L$1126,8,FALSE)</f>
        <v>0</v>
      </c>
      <c r="I1033" s="31">
        <f>VLOOKUP(D1033,A!B$1:L$1126,8,FALSE)</f>
        <v>0</v>
      </c>
      <c r="J1033" s="92"/>
      <c r="K1033" s="63" t="str">
        <f>VLOOKUP(D1033,A!B$1:P$1126,11,FALSE)</f>
        <v/>
      </c>
      <c r="L1033" s="162"/>
      <c r="M1033" s="43" t="s">
        <v>1286</v>
      </c>
      <c r="N1033" s="94">
        <f>VLOOKUP(D1033,A!B$1:L$1125,7,FALSE)</f>
        <v>0</v>
      </c>
      <c r="O1033" s="94">
        <f>VLOOKUP(D1033,A!B$1:P$1126,9,FALSE)</f>
        <v>0</v>
      </c>
      <c r="P1033" s="10">
        <v>6</v>
      </c>
      <c r="Q1033" s="10">
        <v>5.95</v>
      </c>
      <c r="R1033" s="10">
        <f t="shared" si="140"/>
        <v>0</v>
      </c>
      <c r="S1033" s="10">
        <f t="shared" si="141"/>
        <v>0</v>
      </c>
      <c r="T1033" s="29" t="s">
        <v>97</v>
      </c>
      <c r="U1033" s="115">
        <v>0.35</v>
      </c>
      <c r="V1033" s="10">
        <f>VLOOKUP(D1033,A!B$1:T$1125,17,FALSE)</f>
        <v>0</v>
      </c>
      <c r="W1033" s="10">
        <f t="shared" si="142"/>
        <v>0</v>
      </c>
      <c r="X1033" s="29"/>
      <c r="AC1033" s="30"/>
      <c r="AD1033" s="30"/>
      <c r="AE1033" s="115"/>
      <c r="AF1033" s="115"/>
      <c r="AG1033" s="115"/>
      <c r="AH1033" s="115"/>
      <c r="AI1033" s="115"/>
      <c r="AJ1033" s="115"/>
      <c r="AK1033" s="115"/>
      <c r="AL1033" s="115"/>
      <c r="AM1033" s="115"/>
      <c r="AN1033" s="115"/>
      <c r="AO1033" s="115"/>
      <c r="AP1033" s="115"/>
      <c r="AQ1033" s="115"/>
      <c r="AR1033" s="115"/>
      <c r="AS1033" s="115"/>
      <c r="AT1033" s="115"/>
      <c r="AU1033" s="115"/>
      <c r="AV1033" s="115"/>
      <c r="AW1033" s="115"/>
      <c r="AX1033" s="115"/>
      <c r="AY1033" s="115"/>
      <c r="AZ1033" s="115"/>
      <c r="BA1033" s="115"/>
      <c r="BB1033" s="115"/>
      <c r="BC1033" s="115"/>
      <c r="BD1033" s="115"/>
      <c r="BE1033" s="115"/>
      <c r="BF1033" s="115"/>
      <c r="BG1033" s="115"/>
      <c r="BH1033" s="115"/>
      <c r="BI1033" s="115"/>
      <c r="BJ1033" s="115"/>
      <c r="BK1033" s="115"/>
      <c r="BL1033" s="115"/>
      <c r="BM1033" s="115"/>
      <c r="BN1033" s="115"/>
      <c r="BO1033" s="115"/>
    </row>
    <row r="1034" spans="1:67" ht="12" hidden="1" customHeight="1" x14ac:dyDescent="0.25">
      <c r="A1034" t="str">
        <f>IF(R1034=0,"",COUNTIF(A$13:A1033,"&gt;0")+1)</f>
        <v/>
      </c>
      <c r="B1034" s="4"/>
      <c r="C1034" s="5" t="s">
        <v>44</v>
      </c>
      <c r="D1034" s="7" t="s">
        <v>1287</v>
      </c>
      <c r="E1034" s="31"/>
      <c r="F1034" s="31"/>
      <c r="G1034" s="6" t="s">
        <v>143</v>
      </c>
      <c r="H1034" s="7">
        <f>VLOOKUP(D1034,A!B$1:L$1126,8,FALSE)</f>
        <v>0</v>
      </c>
      <c r="I1034" s="31">
        <f>VLOOKUP(D1034,A!B$1:L$1126,8,FALSE)</f>
        <v>0</v>
      </c>
      <c r="J1034" s="92"/>
      <c r="K1034" s="63" t="str">
        <f>VLOOKUP(D1034,A!B$1:P$1126,11,FALSE)</f>
        <v/>
      </c>
      <c r="L1034" s="162"/>
      <c r="M1034" s="41" t="s">
        <v>1288</v>
      </c>
      <c r="N1034" s="94">
        <f>VLOOKUP(D1034,A!B$1:L$1125,7,FALSE)</f>
        <v>0</v>
      </c>
      <c r="O1034" s="94">
        <f>VLOOKUP(D1034,A!B$1:P$1126,9,FALSE)</f>
        <v>0</v>
      </c>
      <c r="P1034" s="10">
        <v>6</v>
      </c>
      <c r="Q1034" s="10">
        <v>5.95</v>
      </c>
      <c r="R1034" s="10">
        <f t="shared" si="140"/>
        <v>0</v>
      </c>
      <c r="S1034" s="10">
        <f t="shared" si="141"/>
        <v>0</v>
      </c>
      <c r="T1034" s="29" t="s">
        <v>97</v>
      </c>
      <c r="U1034" s="115">
        <v>0.35</v>
      </c>
      <c r="V1034" s="10">
        <f>VLOOKUP(D1034,A!B$1:T$1125,17,FALSE)</f>
        <v>0</v>
      </c>
      <c r="W1034" s="10">
        <f t="shared" si="142"/>
        <v>0</v>
      </c>
      <c r="X1034" s="29"/>
      <c r="AC1034" s="30"/>
      <c r="AD1034" s="30"/>
      <c r="AE1034" s="115"/>
      <c r="AF1034" s="115"/>
      <c r="AG1034" s="115"/>
      <c r="AH1034" s="115"/>
      <c r="AI1034" s="115"/>
      <c r="AJ1034" s="115"/>
      <c r="AK1034" s="115"/>
      <c r="AL1034" s="115"/>
      <c r="AM1034" s="115"/>
      <c r="AN1034" s="115"/>
      <c r="AO1034" s="115"/>
      <c r="AP1034" s="115"/>
      <c r="AQ1034" s="115"/>
      <c r="AR1034" s="115"/>
      <c r="AS1034" s="115"/>
      <c r="AT1034" s="115"/>
      <c r="AU1034" s="115"/>
      <c r="AV1034" s="115"/>
      <c r="AW1034" s="115"/>
      <c r="AX1034" s="115"/>
      <c r="AY1034" s="115"/>
      <c r="AZ1034" s="115"/>
      <c r="BA1034" s="115"/>
      <c r="BB1034" s="115"/>
      <c r="BC1034" s="115"/>
      <c r="BD1034" s="115"/>
      <c r="BE1034" s="115"/>
      <c r="BF1034" s="115"/>
      <c r="BG1034" s="115"/>
      <c r="BH1034" s="115"/>
      <c r="BI1034" s="115"/>
      <c r="BJ1034" s="115"/>
      <c r="BK1034" s="115"/>
      <c r="BL1034" s="115"/>
      <c r="BM1034" s="115"/>
      <c r="BN1034" s="115"/>
      <c r="BO1034" s="115"/>
    </row>
    <row r="1035" spans="1:67" ht="12" hidden="1" customHeight="1" x14ac:dyDescent="0.25">
      <c r="A1035" t="str">
        <f>IF(R1035=0,"",COUNTIF(A$13:A1034,"&gt;0")+1)</f>
        <v/>
      </c>
      <c r="B1035" s="4"/>
      <c r="C1035" s="5" t="s">
        <v>44</v>
      </c>
      <c r="D1035" s="7" t="s">
        <v>1289</v>
      </c>
      <c r="E1035" s="31"/>
      <c r="F1035" s="31"/>
      <c r="G1035" s="6" t="s">
        <v>143</v>
      </c>
      <c r="H1035" s="7">
        <f>VLOOKUP(D1035,A!B$1:L$1126,8,FALSE)</f>
        <v>0</v>
      </c>
      <c r="I1035" s="31">
        <f>VLOOKUP(D1035,A!B$1:L$1126,8,FALSE)</f>
        <v>0</v>
      </c>
      <c r="J1035" s="92"/>
      <c r="K1035" s="63" t="str">
        <f>VLOOKUP(D1035,A!B$1:P$1126,11,FALSE)</f>
        <v/>
      </c>
      <c r="L1035" s="162"/>
      <c r="M1035" s="43" t="s">
        <v>1290</v>
      </c>
      <c r="N1035" s="94">
        <f>VLOOKUP(D1035,A!B$1:L$1125,7,FALSE)</f>
        <v>0</v>
      </c>
      <c r="O1035" s="94">
        <f>VLOOKUP(D1035,A!B$1:P$1126,9,FALSE)</f>
        <v>0</v>
      </c>
      <c r="P1035" s="10">
        <v>6</v>
      </c>
      <c r="Q1035" s="10">
        <v>5.95</v>
      </c>
      <c r="R1035" s="10">
        <f t="shared" si="140"/>
        <v>0</v>
      </c>
      <c r="S1035" s="10">
        <f t="shared" si="141"/>
        <v>0</v>
      </c>
      <c r="T1035" s="29" t="s">
        <v>97</v>
      </c>
      <c r="U1035" s="115">
        <v>0.35</v>
      </c>
      <c r="V1035" s="10">
        <f>VLOOKUP(D1035,A!B$1:T$1125,17,FALSE)</f>
        <v>0</v>
      </c>
      <c r="W1035" s="10">
        <f t="shared" si="142"/>
        <v>0</v>
      </c>
      <c r="X1035" s="29"/>
      <c r="AC1035" s="30"/>
      <c r="AD1035" s="30"/>
      <c r="AE1035" s="115"/>
      <c r="AF1035" s="115"/>
      <c r="AG1035" s="115"/>
      <c r="AH1035" s="115"/>
      <c r="AI1035" s="115"/>
      <c r="AJ1035" s="115"/>
      <c r="AK1035" s="115"/>
      <c r="AL1035" s="115"/>
      <c r="AM1035" s="115"/>
      <c r="AN1035" s="115"/>
      <c r="AO1035" s="115"/>
      <c r="AP1035" s="115"/>
      <c r="AQ1035" s="115"/>
      <c r="AR1035" s="115"/>
      <c r="AS1035" s="115"/>
      <c r="AT1035" s="115"/>
      <c r="AU1035" s="115"/>
      <c r="AV1035" s="115"/>
      <c r="AW1035" s="115"/>
      <c r="AX1035" s="115"/>
      <c r="AY1035" s="115"/>
      <c r="AZ1035" s="115"/>
      <c r="BA1035" s="115"/>
      <c r="BB1035" s="115"/>
      <c r="BC1035" s="115"/>
      <c r="BD1035" s="115"/>
      <c r="BE1035" s="115"/>
      <c r="BF1035" s="115"/>
      <c r="BG1035" s="115"/>
      <c r="BH1035" s="115"/>
      <c r="BI1035" s="115"/>
      <c r="BJ1035" s="115"/>
      <c r="BK1035" s="115"/>
      <c r="BL1035" s="115"/>
      <c r="BM1035" s="115"/>
      <c r="BN1035" s="115"/>
      <c r="BO1035" s="115"/>
    </row>
    <row r="1036" spans="1:67" ht="12" hidden="1" customHeight="1" x14ac:dyDescent="0.25">
      <c r="A1036" t="str">
        <f>IF(R1036=0,"",COUNTIF(A$13:A1035,"&gt;0")+1)</f>
        <v/>
      </c>
      <c r="B1036" s="4"/>
      <c r="C1036" s="5" t="s">
        <v>44</v>
      </c>
      <c r="D1036" s="7" t="s">
        <v>142</v>
      </c>
      <c r="E1036" s="31"/>
      <c r="F1036" s="31"/>
      <c r="G1036" s="6" t="s">
        <v>143</v>
      </c>
      <c r="H1036" s="7">
        <f>VLOOKUP(D1036,A!B$1:L$1126,8,FALSE)</f>
        <v>0</v>
      </c>
      <c r="I1036" s="31">
        <f>VLOOKUP(D1036,A!B$1:L$1126,8,FALSE)</f>
        <v>0</v>
      </c>
      <c r="J1036" s="92"/>
      <c r="K1036" s="63" t="str">
        <f>VLOOKUP(D1036,A!B$1:P$1126,11,FALSE)</f>
        <v/>
      </c>
      <c r="L1036" s="162"/>
      <c r="M1036" s="42" t="s">
        <v>144</v>
      </c>
      <c r="N1036" s="94">
        <f>VLOOKUP(D1036,A!B$1:L$1125,7,FALSE)</f>
        <v>0</v>
      </c>
      <c r="O1036" s="94">
        <f>VLOOKUP(D1036,A!B$1:P$1126,9,FALSE)</f>
        <v>0</v>
      </c>
      <c r="P1036" s="10">
        <v>6</v>
      </c>
      <c r="Q1036" s="10">
        <v>5.95</v>
      </c>
      <c r="R1036" s="10">
        <f t="shared" si="140"/>
        <v>0</v>
      </c>
      <c r="S1036" s="10">
        <f t="shared" si="141"/>
        <v>0</v>
      </c>
      <c r="T1036" s="29" t="s">
        <v>97</v>
      </c>
      <c r="U1036" s="115">
        <v>0.35</v>
      </c>
      <c r="V1036" s="10">
        <f>VLOOKUP(D1036,A!B$1:T$1125,17,FALSE)</f>
        <v>0</v>
      </c>
      <c r="W1036" s="10">
        <f t="shared" si="142"/>
        <v>0</v>
      </c>
      <c r="X1036" s="29"/>
      <c r="AC1036" s="30"/>
      <c r="AD1036" s="30"/>
      <c r="AE1036" s="115"/>
      <c r="AF1036" s="115"/>
      <c r="AG1036" s="115"/>
      <c r="AH1036" s="115"/>
      <c r="AI1036" s="115"/>
      <c r="AJ1036" s="115"/>
      <c r="AK1036" s="115"/>
      <c r="AL1036" s="115"/>
      <c r="AM1036" s="115"/>
      <c r="AN1036" s="115"/>
      <c r="AO1036" s="115"/>
      <c r="AP1036" s="115"/>
      <c r="AQ1036" s="115"/>
      <c r="AR1036" s="115"/>
      <c r="AS1036" s="115"/>
      <c r="AT1036" s="115"/>
      <c r="AU1036" s="115"/>
      <c r="AV1036" s="115"/>
      <c r="AW1036" s="115"/>
      <c r="AX1036" s="115"/>
      <c r="AY1036" s="115"/>
      <c r="AZ1036" s="115"/>
      <c r="BA1036" s="115"/>
      <c r="BB1036" s="115"/>
      <c r="BC1036" s="115"/>
      <c r="BD1036" s="115"/>
      <c r="BE1036" s="115"/>
      <c r="BF1036" s="115"/>
      <c r="BG1036" s="115"/>
      <c r="BH1036" s="115"/>
      <c r="BI1036" s="115"/>
      <c r="BJ1036" s="115"/>
      <c r="BK1036" s="115"/>
      <c r="BL1036" s="115"/>
      <c r="BM1036" s="115"/>
      <c r="BN1036" s="115"/>
      <c r="BO1036" s="115"/>
    </row>
    <row r="1037" spans="1:67" ht="12" hidden="1" customHeight="1" x14ac:dyDescent="0.25">
      <c r="A1037" t="str">
        <f>IF(R1037=0,"",COUNTIF(A$13:A1036,"&gt;0")+1)</f>
        <v/>
      </c>
      <c r="B1037" s="4"/>
      <c r="C1037" s="5" t="s">
        <v>44</v>
      </c>
      <c r="D1037" s="7" t="s">
        <v>1291</v>
      </c>
      <c r="E1037" s="31"/>
      <c r="F1037" s="31"/>
      <c r="G1037" s="6" t="s">
        <v>1292</v>
      </c>
      <c r="H1037" s="7">
        <f>VLOOKUP(D1037,A!B$1:L$1126,8,FALSE)</f>
        <v>0</v>
      </c>
      <c r="I1037" s="31">
        <f>VLOOKUP(D1037,A!B$1:L$1126,8,FALSE)</f>
        <v>0</v>
      </c>
      <c r="J1037" s="92"/>
      <c r="K1037" s="63" t="str">
        <f>VLOOKUP(D1037,A!B$1:P$1126,11,FALSE)</f>
        <v/>
      </c>
      <c r="L1037" s="162"/>
      <c r="M1037" s="43" t="s">
        <v>1293</v>
      </c>
      <c r="N1037" s="94">
        <f>VLOOKUP(D1037,A!B$1:L$1125,7,FALSE)</f>
        <v>0</v>
      </c>
      <c r="O1037" s="94">
        <f>VLOOKUP(D1037,A!B$1:P$1126,9,FALSE)</f>
        <v>0</v>
      </c>
      <c r="P1037" s="10">
        <v>6</v>
      </c>
      <c r="Q1037" s="10">
        <v>5.95</v>
      </c>
      <c r="R1037" s="10">
        <f t="shared" si="140"/>
        <v>0</v>
      </c>
      <c r="S1037" s="10">
        <f t="shared" si="141"/>
        <v>0</v>
      </c>
      <c r="T1037" s="29" t="s">
        <v>97</v>
      </c>
      <c r="U1037" s="115">
        <v>0.35</v>
      </c>
      <c r="V1037" s="10">
        <f>VLOOKUP(D1037,A!B$1:T$1125,17,FALSE)</f>
        <v>0</v>
      </c>
      <c r="W1037" s="10">
        <f t="shared" si="142"/>
        <v>0</v>
      </c>
      <c r="X1037" s="29"/>
      <c r="AC1037" s="30"/>
      <c r="AD1037" s="30"/>
      <c r="AE1037" s="115"/>
      <c r="AF1037" s="115"/>
      <c r="AG1037" s="115"/>
      <c r="AH1037" s="115"/>
      <c r="AI1037" s="115"/>
      <c r="AJ1037" s="115"/>
      <c r="AK1037" s="115"/>
      <c r="AL1037" s="115"/>
      <c r="AM1037" s="115"/>
      <c r="AN1037" s="115"/>
      <c r="AO1037" s="115"/>
      <c r="AP1037" s="115"/>
      <c r="AQ1037" s="115"/>
      <c r="AR1037" s="115"/>
      <c r="AS1037" s="115"/>
      <c r="AT1037" s="115"/>
      <c r="AU1037" s="115"/>
      <c r="AV1037" s="115"/>
      <c r="AW1037" s="115"/>
      <c r="AX1037" s="115"/>
      <c r="AY1037" s="115"/>
      <c r="AZ1037" s="115"/>
      <c r="BA1037" s="115"/>
      <c r="BB1037" s="115"/>
      <c r="BC1037" s="115"/>
      <c r="BD1037" s="115"/>
      <c r="BE1037" s="115"/>
      <c r="BF1037" s="115"/>
      <c r="BG1037" s="115"/>
      <c r="BH1037" s="115"/>
      <c r="BI1037" s="115"/>
      <c r="BJ1037" s="115"/>
      <c r="BK1037" s="115"/>
      <c r="BL1037" s="115"/>
      <c r="BM1037" s="115"/>
      <c r="BN1037" s="115"/>
      <c r="BO1037" s="115"/>
    </row>
    <row r="1038" spans="1:67" ht="12" hidden="1" customHeight="1" x14ac:dyDescent="0.25">
      <c r="A1038" t="str">
        <f>IF(R1038=0,"",COUNTIF(A$13:A1037,"&gt;0")+1)</f>
        <v/>
      </c>
      <c r="B1038" s="4"/>
      <c r="C1038" s="5" t="s">
        <v>44</v>
      </c>
      <c r="D1038" s="7" t="s">
        <v>1294</v>
      </c>
      <c r="E1038" s="31"/>
      <c r="F1038" s="31"/>
      <c r="G1038" s="6" t="s">
        <v>1295</v>
      </c>
      <c r="H1038" s="7">
        <f>VLOOKUP(D1038,A!B$1:L$1126,8,FALSE)</f>
        <v>0</v>
      </c>
      <c r="I1038" s="31">
        <f>VLOOKUP(D1038,A!B$1:L$1126,8,FALSE)</f>
        <v>0</v>
      </c>
      <c r="J1038" s="92"/>
      <c r="K1038" s="63" t="str">
        <f>VLOOKUP(D1038,A!B$1:P$1126,11,FALSE)</f>
        <v/>
      </c>
      <c r="L1038" s="162"/>
      <c r="M1038" s="43" t="s">
        <v>1296</v>
      </c>
      <c r="N1038" s="94">
        <f>VLOOKUP(D1038,A!B$1:L$1125,7,FALSE)</f>
        <v>0</v>
      </c>
      <c r="O1038" s="94">
        <f>VLOOKUP(D1038,A!B$1:P$1126,9,FALSE)</f>
        <v>0</v>
      </c>
      <c r="P1038" s="10">
        <v>6</v>
      </c>
      <c r="Q1038" s="10">
        <v>5.95</v>
      </c>
      <c r="R1038" s="10">
        <f t="shared" si="140"/>
        <v>0</v>
      </c>
      <c r="S1038" s="10">
        <f t="shared" si="141"/>
        <v>0</v>
      </c>
      <c r="T1038" s="29" t="s">
        <v>97</v>
      </c>
      <c r="U1038" s="115">
        <v>0.35</v>
      </c>
      <c r="V1038" s="10">
        <f>VLOOKUP(D1038,A!B$1:T$1125,17,FALSE)</f>
        <v>0</v>
      </c>
      <c r="W1038" s="10">
        <f t="shared" si="142"/>
        <v>0</v>
      </c>
      <c r="X1038" s="29"/>
      <c r="AC1038" s="30"/>
      <c r="AD1038" s="30"/>
      <c r="AE1038" s="115"/>
      <c r="AF1038" s="115"/>
      <c r="AG1038" s="115"/>
      <c r="AH1038" s="115"/>
      <c r="AI1038" s="115"/>
      <c r="AJ1038" s="115"/>
      <c r="AK1038" s="115"/>
      <c r="AL1038" s="115"/>
      <c r="AM1038" s="115"/>
      <c r="AN1038" s="115"/>
      <c r="AO1038" s="115"/>
      <c r="AP1038" s="115"/>
      <c r="AQ1038" s="115"/>
      <c r="AR1038" s="115"/>
      <c r="AS1038" s="115"/>
      <c r="AT1038" s="115"/>
      <c r="AU1038" s="115"/>
      <c r="AV1038" s="115"/>
      <c r="AW1038" s="115"/>
      <c r="AX1038" s="115"/>
      <c r="AY1038" s="115"/>
      <c r="AZ1038" s="115"/>
      <c r="BA1038" s="115"/>
      <c r="BB1038" s="115"/>
      <c r="BC1038" s="115"/>
      <c r="BD1038" s="115"/>
      <c r="BE1038" s="115"/>
      <c r="BF1038" s="115"/>
      <c r="BG1038" s="115"/>
      <c r="BH1038" s="115"/>
      <c r="BI1038" s="115"/>
      <c r="BJ1038" s="115"/>
      <c r="BK1038" s="115"/>
      <c r="BL1038" s="115"/>
      <c r="BM1038" s="115"/>
      <c r="BN1038" s="115"/>
      <c r="BO1038" s="115"/>
    </row>
    <row r="1039" spans="1:67" ht="12" hidden="1" customHeight="1" x14ac:dyDescent="0.25">
      <c r="A1039" t="str">
        <f>IF(R1039=0,"",COUNTIF(A$13:A1038,"&gt;0")+1)</f>
        <v/>
      </c>
      <c r="B1039" s="4"/>
      <c r="C1039" s="5" t="s">
        <v>44</v>
      </c>
      <c r="D1039" s="7" t="s">
        <v>1297</v>
      </c>
      <c r="E1039" s="31"/>
      <c r="F1039" s="31"/>
      <c r="G1039" s="6" t="s">
        <v>856</v>
      </c>
      <c r="H1039" s="7">
        <f>VLOOKUP(D1039,A!B$1:L$1126,8,FALSE)</f>
        <v>0</v>
      </c>
      <c r="I1039" s="31">
        <f>VLOOKUP(D1039,A!B$1:L$1126,8,FALSE)</f>
        <v>0</v>
      </c>
      <c r="J1039" s="92"/>
      <c r="K1039" s="63" t="str">
        <f>VLOOKUP(D1039,A!B$1:P$1126,11,FALSE)</f>
        <v/>
      </c>
      <c r="L1039" s="162"/>
      <c r="M1039" s="41" t="s">
        <v>1298</v>
      </c>
      <c r="N1039" s="94">
        <f>VLOOKUP(D1039,A!B$1:L$1125,7,FALSE)</f>
        <v>0</v>
      </c>
      <c r="O1039" s="94">
        <f>VLOOKUP(D1039,A!B$1:P$1126,9,FALSE)</f>
        <v>0</v>
      </c>
      <c r="P1039" s="10">
        <v>6</v>
      </c>
      <c r="Q1039" s="10">
        <v>5.95</v>
      </c>
      <c r="R1039" s="10">
        <f t="shared" si="140"/>
        <v>0</v>
      </c>
      <c r="S1039" s="10">
        <f t="shared" si="141"/>
        <v>0</v>
      </c>
      <c r="T1039" s="29" t="s">
        <v>97</v>
      </c>
      <c r="U1039" s="115">
        <v>0.35</v>
      </c>
      <c r="V1039" s="10">
        <f>VLOOKUP(D1039,A!B$1:T$1125,17,FALSE)</f>
        <v>0</v>
      </c>
      <c r="W1039" s="10">
        <f t="shared" si="142"/>
        <v>0</v>
      </c>
      <c r="X1039" s="29"/>
      <c r="AC1039" s="30"/>
      <c r="AD1039" s="30"/>
      <c r="AE1039" s="115"/>
      <c r="AF1039" s="115"/>
      <c r="AG1039" s="115"/>
      <c r="AH1039" s="115"/>
      <c r="AI1039" s="115"/>
      <c r="AJ1039" s="115"/>
      <c r="AK1039" s="115"/>
      <c r="AL1039" s="115"/>
      <c r="AM1039" s="115"/>
      <c r="AN1039" s="115"/>
      <c r="AO1039" s="115"/>
      <c r="AP1039" s="115"/>
      <c r="AQ1039" s="115"/>
      <c r="AR1039" s="115"/>
      <c r="AS1039" s="115"/>
      <c r="AT1039" s="115"/>
      <c r="AU1039" s="115"/>
      <c r="AV1039" s="115"/>
      <c r="AW1039" s="115"/>
      <c r="AX1039" s="115"/>
      <c r="AY1039" s="115"/>
      <c r="AZ1039" s="115"/>
      <c r="BA1039" s="115"/>
      <c r="BB1039" s="115"/>
      <c r="BC1039" s="115"/>
      <c r="BD1039" s="115"/>
      <c r="BE1039" s="115"/>
      <c r="BF1039" s="115"/>
      <c r="BG1039" s="115"/>
      <c r="BH1039" s="115"/>
      <c r="BI1039" s="115"/>
      <c r="BJ1039" s="115"/>
      <c r="BK1039" s="115"/>
      <c r="BL1039" s="115"/>
      <c r="BM1039" s="115"/>
      <c r="BN1039" s="115"/>
      <c r="BO1039" s="115"/>
    </row>
    <row r="1040" spans="1:67" ht="12" hidden="1" customHeight="1" x14ac:dyDescent="0.25">
      <c r="A1040" t="str">
        <f>IF(R1040=0,"",COUNTIF(A$13:A1039,"&gt;0")+1)</f>
        <v/>
      </c>
      <c r="B1040" s="4"/>
      <c r="C1040" s="5" t="s">
        <v>44</v>
      </c>
      <c r="D1040" s="7" t="s">
        <v>1299</v>
      </c>
      <c r="E1040" s="31"/>
      <c r="F1040" s="31"/>
      <c r="G1040" s="6" t="s">
        <v>856</v>
      </c>
      <c r="H1040" s="7">
        <f>VLOOKUP(D1040,A!B$1:L$1126,8,FALSE)</f>
        <v>0</v>
      </c>
      <c r="I1040" s="31">
        <f>VLOOKUP(D1040,A!B$1:L$1126,8,FALSE)</f>
        <v>0</v>
      </c>
      <c r="J1040" s="92"/>
      <c r="K1040" s="63" t="str">
        <f>VLOOKUP(D1040,A!B$1:P$1126,11,FALSE)</f>
        <v/>
      </c>
      <c r="L1040" s="162"/>
      <c r="M1040" s="43" t="s">
        <v>1300</v>
      </c>
      <c r="N1040" s="94">
        <f>VLOOKUP(D1040,A!B$1:L$1125,7,FALSE)</f>
        <v>0</v>
      </c>
      <c r="O1040" s="94">
        <f>VLOOKUP(D1040,A!B$1:P$1126,9,FALSE)</f>
        <v>0</v>
      </c>
      <c r="P1040" s="10">
        <v>6</v>
      </c>
      <c r="Q1040" s="10">
        <v>5.95</v>
      </c>
      <c r="R1040" s="10">
        <f t="shared" si="140"/>
        <v>0</v>
      </c>
      <c r="S1040" s="10">
        <f t="shared" si="141"/>
        <v>0</v>
      </c>
      <c r="T1040" s="29" t="s">
        <v>97</v>
      </c>
      <c r="U1040" s="115">
        <v>0.35</v>
      </c>
      <c r="V1040" s="10">
        <f>VLOOKUP(D1040,A!B$1:T$1125,17,FALSE)</f>
        <v>0</v>
      </c>
      <c r="W1040" s="10">
        <f t="shared" si="142"/>
        <v>0</v>
      </c>
      <c r="X1040" s="29"/>
      <c r="AC1040" s="30"/>
      <c r="AD1040" s="30"/>
      <c r="AE1040" s="115"/>
      <c r="AF1040" s="115"/>
      <c r="AG1040" s="115"/>
      <c r="AH1040" s="115"/>
      <c r="AI1040" s="115"/>
      <c r="AJ1040" s="115"/>
      <c r="AK1040" s="115"/>
      <c r="AL1040" s="115"/>
      <c r="AM1040" s="115"/>
      <c r="AN1040" s="115"/>
      <c r="AO1040" s="115"/>
      <c r="AP1040" s="115"/>
      <c r="AQ1040" s="115"/>
      <c r="AR1040" s="115"/>
      <c r="AS1040" s="115"/>
      <c r="AT1040" s="115"/>
      <c r="AU1040" s="115"/>
      <c r="AV1040" s="115"/>
      <c r="AW1040" s="115"/>
      <c r="AX1040" s="115"/>
      <c r="AY1040" s="115"/>
      <c r="AZ1040" s="115"/>
      <c r="BA1040" s="115"/>
      <c r="BB1040" s="115"/>
      <c r="BC1040" s="115"/>
      <c r="BD1040" s="115"/>
      <c r="BE1040" s="115"/>
      <c r="BF1040" s="115"/>
      <c r="BG1040" s="115"/>
      <c r="BH1040" s="115"/>
      <c r="BI1040" s="115"/>
      <c r="BJ1040" s="115"/>
      <c r="BK1040" s="115"/>
      <c r="BL1040" s="115"/>
      <c r="BM1040" s="115"/>
      <c r="BN1040" s="115"/>
      <c r="BO1040" s="115"/>
    </row>
    <row r="1041" spans="1:67" s="3" customFormat="1" ht="13.5" hidden="1" customHeight="1" x14ac:dyDescent="0.25">
      <c r="A1041" t="str">
        <f>IF(R1041=0,"",COUNTIF(A$13:A1040,"&gt;0")+1)</f>
        <v/>
      </c>
      <c r="B1041" s="4"/>
      <c r="C1041" s="5" t="s">
        <v>44</v>
      </c>
      <c r="D1041" s="7" t="s">
        <v>313</v>
      </c>
      <c r="E1041" s="31"/>
      <c r="F1041" s="31"/>
      <c r="G1041" s="6" t="s">
        <v>135</v>
      </c>
      <c r="H1041" s="7">
        <f>VLOOKUP(D1041,A!B$1:L$1126,8,FALSE)</f>
        <v>0</v>
      </c>
      <c r="I1041" s="31">
        <f>VLOOKUP(D1041,A!B$1:L$1126,8,FALSE)</f>
        <v>0</v>
      </c>
      <c r="J1041" s="92"/>
      <c r="K1041" s="63" t="str">
        <f>VLOOKUP(D1041,A!B$1:P$1126,11,FALSE)</f>
        <v/>
      </c>
      <c r="L1041" s="2"/>
      <c r="M1041" s="41" t="s">
        <v>138</v>
      </c>
      <c r="N1041" s="94">
        <f>VLOOKUP(D1041,A!B$1:L$1125,7,FALSE)</f>
        <v>0</v>
      </c>
      <c r="O1041" s="94">
        <f>VLOOKUP(D1041,A!B$1:P$1126,9,FALSE)</f>
        <v>0</v>
      </c>
      <c r="P1041" s="10">
        <v>6</v>
      </c>
      <c r="Q1041" s="10">
        <v>5.95</v>
      </c>
      <c r="R1041" s="10">
        <f t="shared" si="140"/>
        <v>0</v>
      </c>
      <c r="S1041" s="10">
        <f t="shared" si="141"/>
        <v>0</v>
      </c>
      <c r="T1041" s="29" t="s">
        <v>97</v>
      </c>
      <c r="U1041" s="115">
        <v>0.35</v>
      </c>
      <c r="V1041" s="10">
        <f>VLOOKUP(D1041,A!B$1:T$1125,17,FALSE)</f>
        <v>0</v>
      </c>
      <c r="W1041" s="10">
        <f t="shared" si="142"/>
        <v>0</v>
      </c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</row>
    <row r="1042" spans="1:67" s="3" customFormat="1" ht="12" hidden="1" customHeight="1" x14ac:dyDescent="0.25">
      <c r="A1042" t="str">
        <f>IF(R1042=0,"",COUNTIF(A$13:A1041,"&gt;0")+1)</f>
        <v/>
      </c>
      <c r="B1042" s="4"/>
      <c r="C1042" s="5" t="s">
        <v>44</v>
      </c>
      <c r="D1042" s="7" t="s">
        <v>314</v>
      </c>
      <c r="E1042" s="31"/>
      <c r="F1042" s="31"/>
      <c r="G1042" s="6" t="s">
        <v>135</v>
      </c>
      <c r="H1042" s="7">
        <f>VLOOKUP(D1042,A!B$1:L$1126,8,FALSE)</f>
        <v>0</v>
      </c>
      <c r="I1042" s="31">
        <f>VLOOKUP(D1042,A!B$1:L$1126,8,FALSE)</f>
        <v>0</v>
      </c>
      <c r="J1042" s="92"/>
      <c r="K1042" s="63" t="str">
        <f>VLOOKUP(D1042,A!B$1:P$1126,11,FALSE)</f>
        <v/>
      </c>
      <c r="L1042" s="162"/>
      <c r="M1042" s="41" t="s">
        <v>139</v>
      </c>
      <c r="N1042" s="94">
        <f>VLOOKUP(D1042,A!B$1:L$1125,7,FALSE)</f>
        <v>0</v>
      </c>
      <c r="O1042" s="94">
        <f>VLOOKUP(D1042,A!B$1:P$1126,9,FALSE)</f>
        <v>0</v>
      </c>
      <c r="P1042" s="10">
        <v>6</v>
      </c>
      <c r="Q1042" s="10">
        <v>5.95</v>
      </c>
      <c r="R1042" s="10">
        <f t="shared" si="140"/>
        <v>0</v>
      </c>
      <c r="S1042" s="10">
        <f t="shared" si="141"/>
        <v>0</v>
      </c>
      <c r="T1042" s="29" t="s">
        <v>97</v>
      </c>
      <c r="U1042" s="115">
        <v>0.35</v>
      </c>
      <c r="V1042" s="10">
        <f>VLOOKUP(D1042,A!B$1:T$1125,17,FALSE)</f>
        <v>0</v>
      </c>
      <c r="W1042" s="10">
        <f t="shared" si="142"/>
        <v>0</v>
      </c>
      <c r="X1042" s="29"/>
      <c r="Y1042" s="10"/>
      <c r="Z1042" s="10"/>
      <c r="AA1042" s="10"/>
      <c r="AB1042" s="10"/>
      <c r="AC1042" s="10"/>
      <c r="AD1042" s="10"/>
      <c r="AE1042" s="10"/>
      <c r="AF1042" s="10"/>
      <c r="AG1042" s="10"/>
      <c r="AH1042" s="10"/>
      <c r="AI1042" s="10"/>
      <c r="AJ1042" s="10"/>
      <c r="AK1042" s="10"/>
      <c r="AL1042" s="10"/>
      <c r="AM1042" s="10"/>
      <c r="AN1042" s="10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</row>
    <row r="1043" spans="1:67" s="1" customFormat="1" ht="13.5" customHeight="1" x14ac:dyDescent="0.25">
      <c r="A1043" t="str">
        <f>IF(R1043=0,"",COUNTIF(A$13:A1042,"&gt;0")+1)</f>
        <v/>
      </c>
      <c r="B1043" s="82">
        <f>SUM(B845:B1042)</f>
        <v>0</v>
      </c>
      <c r="C1043" s="5" t="s">
        <v>44</v>
      </c>
      <c r="D1043" s="24" t="s">
        <v>36</v>
      </c>
      <c r="E1043" s="88"/>
      <c r="F1043" s="96"/>
      <c r="G1043" s="84"/>
      <c r="H1043" s="84"/>
      <c r="I1043" s="84"/>
      <c r="J1043" s="84"/>
      <c r="K1043" s="84"/>
      <c r="L1043" s="84"/>
      <c r="M1043" s="84"/>
      <c r="N1043" s="100"/>
      <c r="O1043" s="100"/>
      <c r="P1043" s="10">
        <v>6</v>
      </c>
      <c r="Q1043" s="151"/>
      <c r="R1043" s="10">
        <f t="shared" si="129"/>
        <v>0</v>
      </c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</row>
    <row r="1044" spans="1:67" ht="15" customHeight="1" x14ac:dyDescent="0.25">
      <c r="A1044" t="str">
        <f>IF(R1044=0,"",COUNTIF(A$13:A1043,"&gt;0")+1)</f>
        <v/>
      </c>
      <c r="N1044" s="102"/>
      <c r="O1044" s="102"/>
      <c r="P1044" s="115"/>
      <c r="Q1044" s="115"/>
      <c r="R1044" s="115"/>
      <c r="S1044" s="115"/>
      <c r="T1044" s="115"/>
      <c r="U1044" s="115"/>
      <c r="V1044" s="115"/>
      <c r="W1044" s="115"/>
      <c r="X1044" s="115"/>
      <c r="Y1044" s="115"/>
      <c r="Z1044" s="115"/>
      <c r="AA1044" s="115"/>
      <c r="AB1044" s="115"/>
      <c r="AC1044" s="115"/>
      <c r="AD1044" s="115"/>
      <c r="AE1044" s="115"/>
      <c r="AF1044" s="115"/>
      <c r="AG1044" s="115"/>
      <c r="AH1044" s="115"/>
      <c r="AI1044" s="115"/>
      <c r="AJ1044" s="115"/>
      <c r="AK1044" s="115"/>
      <c r="AL1044" s="115"/>
      <c r="AM1044" s="115"/>
      <c r="AN1044" s="115"/>
      <c r="AO1044" s="115"/>
      <c r="AP1044" s="115"/>
      <c r="AQ1044" s="115"/>
      <c r="AR1044" s="115"/>
      <c r="AS1044" s="115"/>
      <c r="AT1044" s="115"/>
      <c r="AU1044" s="115"/>
      <c r="AV1044" s="115"/>
      <c r="AW1044" s="115"/>
      <c r="AX1044" s="115"/>
      <c r="AY1044" s="115"/>
      <c r="AZ1044" s="115"/>
      <c r="BA1044" s="115"/>
      <c r="BB1044" s="115"/>
      <c r="BC1044" s="115"/>
      <c r="BD1044" s="115"/>
      <c r="BE1044" s="115"/>
      <c r="BF1044" s="115"/>
      <c r="BG1044" s="115"/>
      <c r="BH1044" s="115"/>
      <c r="BI1044" s="115"/>
      <c r="BJ1044" s="115"/>
      <c r="BK1044" s="115"/>
      <c r="BL1044" s="115"/>
      <c r="BM1044" s="115"/>
      <c r="BN1044" s="115"/>
      <c r="BO1044" s="115"/>
    </row>
    <row r="1045" spans="1:67" ht="21" customHeight="1" x14ac:dyDescent="0.25">
      <c r="A1045" t="str">
        <f>IF(R1045=0,"",COUNTIF(A$13:A1044,"&gt;0")+1)</f>
        <v/>
      </c>
      <c r="B1045" s="234" t="s">
        <v>178</v>
      </c>
      <c r="C1045" s="235"/>
      <c r="D1045" s="235"/>
      <c r="E1045" s="83"/>
      <c r="F1045" s="239" t="s">
        <v>124</v>
      </c>
      <c r="G1045" s="240"/>
      <c r="H1045" s="123"/>
      <c r="I1045" s="124"/>
      <c r="J1045" s="137"/>
      <c r="K1045" s="137"/>
      <c r="L1045" s="137" t="s">
        <v>74</v>
      </c>
      <c r="M1045" s="27">
        <v>5.2</v>
      </c>
      <c r="S1045" s="10"/>
      <c r="AC1045" s="30"/>
      <c r="AD1045" s="30"/>
      <c r="AE1045" s="115"/>
      <c r="AF1045" s="115"/>
      <c r="AG1045" s="115"/>
      <c r="AH1045" s="115"/>
      <c r="AI1045" s="115"/>
      <c r="AJ1045" s="115"/>
      <c r="AK1045" s="115"/>
      <c r="AL1045" s="115"/>
      <c r="AM1045" s="115"/>
      <c r="AN1045" s="115"/>
      <c r="AO1045" s="115"/>
      <c r="AP1045" s="115"/>
      <c r="AQ1045" s="115"/>
      <c r="AR1045" s="115"/>
      <c r="AS1045" s="115"/>
      <c r="AT1045" s="115"/>
      <c r="AU1045" s="115"/>
      <c r="AV1045" s="115"/>
      <c r="AW1045" s="115"/>
      <c r="AX1045" s="115"/>
      <c r="AY1045" s="115"/>
      <c r="AZ1045" s="115"/>
      <c r="BA1045" s="115"/>
      <c r="BB1045" s="115"/>
      <c r="BC1045" s="115"/>
      <c r="BD1045" s="115"/>
      <c r="BE1045" s="115"/>
      <c r="BF1045" s="115"/>
      <c r="BG1045" s="115"/>
      <c r="BH1045" s="115"/>
      <c r="BI1045" s="115"/>
      <c r="BJ1045" s="115"/>
      <c r="BK1045" s="115"/>
      <c r="BL1045" s="115"/>
      <c r="BM1045" s="115"/>
      <c r="BN1045" s="115"/>
      <c r="BO1045" s="115"/>
    </row>
    <row r="1046" spans="1:67" ht="12" customHeight="1" x14ac:dyDescent="0.25">
      <c r="A1046" t="str">
        <f>IF(R1046=0,"",COUNTIF(A$13:A1045,"&gt;0")+1)</f>
        <v/>
      </c>
      <c r="B1046" s="237" t="s">
        <v>18</v>
      </c>
      <c r="C1046" s="238"/>
      <c r="D1046" s="16" t="s">
        <v>19</v>
      </c>
      <c r="E1046" s="86"/>
      <c r="F1046" s="86"/>
      <c r="G1046" s="17" t="s">
        <v>20</v>
      </c>
      <c r="H1046" s="118"/>
      <c r="I1046" s="117"/>
      <c r="J1046" s="117"/>
      <c r="K1046" s="122" t="s">
        <v>17</v>
      </c>
      <c r="L1046" s="119">
        <v>5021353013719</v>
      </c>
      <c r="M1046" s="120" t="s">
        <v>21</v>
      </c>
      <c r="S1046" s="10"/>
      <c r="AC1046" s="30"/>
      <c r="AD1046" s="30"/>
      <c r="AE1046" s="115"/>
      <c r="AF1046" s="115"/>
      <c r="AG1046" s="115"/>
      <c r="AH1046" s="115"/>
      <c r="AI1046" s="115"/>
      <c r="AJ1046" s="115"/>
      <c r="AK1046" s="115"/>
      <c r="AL1046" s="115"/>
      <c r="AM1046" s="115"/>
      <c r="AN1046" s="115"/>
      <c r="AO1046" s="115"/>
      <c r="AP1046" s="115"/>
      <c r="AQ1046" s="115"/>
      <c r="AR1046" s="115"/>
      <c r="AS1046" s="115"/>
      <c r="AT1046" s="115"/>
      <c r="AU1046" s="115"/>
      <c r="AV1046" s="115"/>
      <c r="AW1046" s="115"/>
      <c r="AX1046" s="115"/>
      <c r="AY1046" s="115"/>
      <c r="AZ1046" s="115"/>
      <c r="BA1046" s="115"/>
      <c r="BB1046" s="115"/>
      <c r="BC1046" s="115"/>
      <c r="BD1046" s="115"/>
      <c r="BE1046" s="115"/>
      <c r="BF1046" s="115"/>
      <c r="BG1046" s="115"/>
      <c r="BH1046" s="115"/>
      <c r="BI1046" s="115"/>
      <c r="BJ1046" s="115"/>
      <c r="BK1046" s="115"/>
      <c r="BL1046" s="115"/>
      <c r="BM1046" s="115"/>
      <c r="BN1046" s="115"/>
      <c r="BO1046" s="115"/>
    </row>
    <row r="1047" spans="1:67" s="8" customFormat="1" ht="13.5" customHeight="1" x14ac:dyDescent="0.25">
      <c r="A1047" t="str">
        <f>IF(R1047=0,"",COUNTIF(A$13:A1046,"&gt;0")+1)</f>
        <v/>
      </c>
      <c r="B1047" s="4"/>
      <c r="C1047" s="5" t="s">
        <v>44</v>
      </c>
      <c r="D1047" s="7" t="s">
        <v>58</v>
      </c>
      <c r="E1047" s="31"/>
      <c r="F1047" s="31"/>
      <c r="G1047" s="23" t="s">
        <v>59</v>
      </c>
      <c r="H1047" s="7">
        <f>VLOOKUP(D1047,A!B$1:L$1126,8,FALSE)</f>
        <v>2</v>
      </c>
      <c r="I1047" s="31">
        <f>VLOOKUP(D1047,A!B$1:L$1126,8,FALSE)</f>
        <v>2</v>
      </c>
      <c r="J1047" s="92"/>
      <c r="K1047" s="63" t="str">
        <f>VLOOKUP(D1047,A!B$1:P$1126,11,FALSE)</f>
        <v/>
      </c>
      <c r="L1047" s="31"/>
      <c r="M1047" s="39" t="s">
        <v>60</v>
      </c>
      <c r="N1047" s="94" t="str">
        <f>VLOOKUP(D1047,A!B$1:L$1125,7,FALSE)</f>
        <v>y</v>
      </c>
      <c r="O1047" s="94">
        <f>VLOOKUP(D1047,A!B$1:P$1126,9,FALSE)</f>
        <v>1</v>
      </c>
      <c r="P1047" s="10">
        <v>6</v>
      </c>
      <c r="Q1047" s="10">
        <v>5.2</v>
      </c>
      <c r="R1047" s="10">
        <f>B1047*P1047</f>
        <v>0</v>
      </c>
      <c r="S1047" s="10">
        <f>R1047*Q1047</f>
        <v>0</v>
      </c>
      <c r="T1047" s="10" t="s">
        <v>178</v>
      </c>
      <c r="U1047" s="115">
        <v>0.35</v>
      </c>
      <c r="V1047" s="10">
        <f>VLOOKUP(D1047,A!B$1:T$1125,17,FALSE)</f>
        <v>0</v>
      </c>
      <c r="W1047" s="10">
        <f t="shared" ref="W1047" si="143">U1047*B1047</f>
        <v>0</v>
      </c>
      <c r="X1047" s="10"/>
      <c r="Y1047" s="10"/>
      <c r="Z1047" s="10"/>
      <c r="AA1047" s="10"/>
      <c r="AB1047" s="10"/>
      <c r="AC1047" s="10"/>
      <c r="AD1047" s="10"/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  <c r="BE1047" s="10"/>
      <c r="BF1047" s="10"/>
      <c r="BG1047" s="10"/>
      <c r="BH1047" s="10"/>
      <c r="BI1047" s="10"/>
      <c r="BJ1047" s="10"/>
      <c r="BK1047" s="10"/>
      <c r="BL1047" s="10"/>
      <c r="BM1047" s="10"/>
      <c r="BN1047" s="10"/>
      <c r="BO1047" s="10"/>
    </row>
    <row r="1048" spans="1:67" s="3" customFormat="1" ht="13.5" hidden="1" customHeight="1" x14ac:dyDescent="0.25">
      <c r="A1048" t="str">
        <f>IF(R1048=0,"",COUNTIF(A$13:A1047,"&gt;0")+1)</f>
        <v/>
      </c>
      <c r="B1048" s="4"/>
      <c r="C1048" s="5" t="s">
        <v>44</v>
      </c>
      <c r="D1048" s="22" t="s">
        <v>688</v>
      </c>
      <c r="E1048" s="89"/>
      <c r="F1048" s="89"/>
      <c r="G1048" s="25" t="s">
        <v>49</v>
      </c>
      <c r="H1048" s="7">
        <f>VLOOKUP(D1048,A!B$1:L$1126,8,FALSE)</f>
        <v>0</v>
      </c>
      <c r="I1048" s="31">
        <f>VLOOKUP(D1048,A!B$1:L$1126,8,FALSE)</f>
        <v>0</v>
      </c>
      <c r="J1048" s="92"/>
      <c r="K1048" s="63" t="str">
        <f>VLOOKUP(D1048,A!B$1:P$1126,11,FALSE)</f>
        <v/>
      </c>
      <c r="L1048" s="162"/>
      <c r="M1048" s="44" t="s">
        <v>689</v>
      </c>
      <c r="N1048" s="94">
        <f>VLOOKUP(D1048,A!B$1:L$1125,7,FALSE)</f>
        <v>0</v>
      </c>
      <c r="O1048" s="94">
        <f>VLOOKUP(D1048,A!B$1:P$1126,9,FALSE)</f>
        <v>0</v>
      </c>
      <c r="P1048" s="10">
        <v>6</v>
      </c>
      <c r="Q1048" s="10">
        <v>5.2</v>
      </c>
      <c r="R1048" s="10">
        <f t="shared" ref="R1048:R1075" si="144">B1048*P1048</f>
        <v>0</v>
      </c>
      <c r="S1048" s="10">
        <f t="shared" ref="S1048:S1075" si="145">R1048*Q1048</f>
        <v>0</v>
      </c>
      <c r="T1048" s="10" t="s">
        <v>178</v>
      </c>
      <c r="U1048" s="115">
        <v>0.35</v>
      </c>
      <c r="V1048" s="10">
        <f>VLOOKUP(D1048,A!B$1:T$1125,17,FALSE)</f>
        <v>0</v>
      </c>
      <c r="W1048" s="10">
        <f t="shared" ref="W1048:W1075" si="146">U1048*B1048</f>
        <v>0</v>
      </c>
      <c r="X1048" s="29"/>
      <c r="Y1048" s="29"/>
      <c r="Z1048" s="29"/>
      <c r="AA1048" s="29"/>
    </row>
    <row r="1049" spans="1:67" s="3" customFormat="1" ht="13.5" hidden="1" customHeight="1" x14ac:dyDescent="0.25">
      <c r="A1049" t="str">
        <f>IF(R1049=0,"",COUNTIF(A$13:A1048,"&gt;0")+1)</f>
        <v/>
      </c>
      <c r="B1049" s="4"/>
      <c r="C1049" s="5" t="s">
        <v>44</v>
      </c>
      <c r="D1049" s="7" t="s">
        <v>690</v>
      </c>
      <c r="E1049" s="31"/>
      <c r="F1049" s="31"/>
      <c r="G1049" s="6" t="s">
        <v>49</v>
      </c>
      <c r="H1049" s="7">
        <f>VLOOKUP(D1049,A!B$1:L$1126,8,FALSE)</f>
        <v>0</v>
      </c>
      <c r="I1049" s="31">
        <f>VLOOKUP(D1049,A!B$1:L$1126,8,FALSE)</f>
        <v>0</v>
      </c>
      <c r="J1049" s="92"/>
      <c r="K1049" s="63" t="str">
        <f>VLOOKUP(D1049,A!B$1:P$1126,11,FALSE)</f>
        <v/>
      </c>
      <c r="L1049" s="162"/>
      <c r="M1049" s="43" t="s">
        <v>691</v>
      </c>
      <c r="N1049" s="94">
        <f>VLOOKUP(D1049,A!B$1:L$1125,7,FALSE)</f>
        <v>0</v>
      </c>
      <c r="O1049" s="94">
        <f>VLOOKUP(D1049,A!B$1:P$1126,9,FALSE)</f>
        <v>0</v>
      </c>
      <c r="P1049" s="10">
        <v>6</v>
      </c>
      <c r="Q1049" s="10">
        <v>5.2</v>
      </c>
      <c r="R1049" s="10">
        <f t="shared" si="144"/>
        <v>0</v>
      </c>
      <c r="S1049" s="10">
        <f t="shared" si="145"/>
        <v>0</v>
      </c>
      <c r="T1049" s="10" t="s">
        <v>178</v>
      </c>
      <c r="U1049" s="115">
        <v>0.35</v>
      </c>
      <c r="V1049" s="10">
        <f>VLOOKUP(D1049,A!B$1:T$1125,17,FALSE)</f>
        <v>0</v>
      </c>
      <c r="W1049" s="10">
        <f t="shared" si="146"/>
        <v>0</v>
      </c>
      <c r="X1049" s="29"/>
      <c r="Y1049" s="29"/>
      <c r="Z1049" s="29"/>
      <c r="AA1049" s="29"/>
    </row>
    <row r="1050" spans="1:67" s="3" customFormat="1" ht="13.5" hidden="1" customHeight="1" x14ac:dyDescent="0.25">
      <c r="A1050" t="str">
        <f>IF(R1050=0,"",COUNTIF(A$13:A1049,"&gt;0")+1)</f>
        <v/>
      </c>
      <c r="B1050" s="4"/>
      <c r="C1050" s="5" t="s">
        <v>44</v>
      </c>
      <c r="D1050" s="7" t="s">
        <v>692</v>
      </c>
      <c r="E1050" s="31"/>
      <c r="F1050" s="31"/>
      <c r="G1050" s="6" t="s">
        <v>49</v>
      </c>
      <c r="H1050" s="7">
        <f>VLOOKUP(D1050,A!B$1:L$1126,8,FALSE)</f>
        <v>0</v>
      </c>
      <c r="I1050" s="31">
        <f>VLOOKUP(D1050,A!B$1:L$1126,8,FALSE)</f>
        <v>0</v>
      </c>
      <c r="J1050" s="92"/>
      <c r="K1050" s="63" t="str">
        <f>VLOOKUP(D1050,A!B$1:P$1126,11,FALSE)</f>
        <v/>
      </c>
      <c r="L1050" s="162"/>
      <c r="M1050" s="43" t="s">
        <v>693</v>
      </c>
      <c r="N1050" s="94">
        <f>VLOOKUP(D1050,A!B$1:L$1125,7,FALSE)</f>
        <v>0</v>
      </c>
      <c r="O1050" s="94">
        <f>VLOOKUP(D1050,A!B$1:P$1126,9,FALSE)</f>
        <v>0</v>
      </c>
      <c r="P1050" s="10">
        <v>6</v>
      </c>
      <c r="Q1050" s="10">
        <v>5.2</v>
      </c>
      <c r="R1050" s="10">
        <f t="shared" si="144"/>
        <v>0</v>
      </c>
      <c r="S1050" s="10">
        <f t="shared" si="145"/>
        <v>0</v>
      </c>
      <c r="T1050" s="10" t="s">
        <v>178</v>
      </c>
      <c r="U1050" s="115">
        <v>0.35</v>
      </c>
      <c r="V1050" s="10">
        <f>VLOOKUP(D1050,A!B$1:T$1125,17,FALSE)</f>
        <v>0</v>
      </c>
      <c r="W1050" s="10">
        <f t="shared" si="146"/>
        <v>0</v>
      </c>
      <c r="X1050" s="29"/>
      <c r="Y1050" s="29"/>
      <c r="Z1050" s="29"/>
      <c r="AA1050" s="29"/>
    </row>
    <row r="1051" spans="1:67" s="3" customFormat="1" ht="13.5" hidden="1" customHeight="1" x14ac:dyDescent="0.25">
      <c r="A1051" t="str">
        <f>IF(R1051=0,"",COUNTIF(A$13:A1050,"&gt;0")+1)</f>
        <v/>
      </c>
      <c r="B1051" s="4"/>
      <c r="C1051" s="5" t="s">
        <v>44</v>
      </c>
      <c r="D1051" s="22" t="s">
        <v>694</v>
      </c>
      <c r="E1051" s="89"/>
      <c r="F1051" s="89"/>
      <c r="G1051" s="25" t="s">
        <v>49</v>
      </c>
      <c r="H1051" s="7">
        <f>VLOOKUP(D1051,A!B$1:L$1126,8,FALSE)</f>
        <v>0</v>
      </c>
      <c r="I1051" s="31">
        <f>VLOOKUP(D1051,A!B$1:L$1126,8,FALSE)</f>
        <v>0</v>
      </c>
      <c r="J1051" s="92"/>
      <c r="K1051" s="63" t="str">
        <f>VLOOKUP(D1051,A!B$1:P$1126,11,FALSE)</f>
        <v/>
      </c>
      <c r="L1051" s="162"/>
      <c r="M1051" s="44" t="s">
        <v>695</v>
      </c>
      <c r="N1051" s="94">
        <f>VLOOKUP(D1051,A!B$1:L$1125,7,FALSE)</f>
        <v>0</v>
      </c>
      <c r="O1051" s="94">
        <f>VLOOKUP(D1051,A!B$1:P$1126,9,FALSE)</f>
        <v>0</v>
      </c>
      <c r="P1051" s="10">
        <v>6</v>
      </c>
      <c r="Q1051" s="10">
        <v>5.2</v>
      </c>
      <c r="R1051" s="10">
        <f t="shared" si="144"/>
        <v>0</v>
      </c>
      <c r="S1051" s="10">
        <f t="shared" si="145"/>
        <v>0</v>
      </c>
      <c r="T1051" s="10" t="s">
        <v>178</v>
      </c>
      <c r="U1051" s="115">
        <v>0.35</v>
      </c>
      <c r="V1051" s="10">
        <f>VLOOKUP(D1051,A!B$1:T$1125,17,FALSE)</f>
        <v>0</v>
      </c>
      <c r="W1051" s="10">
        <f t="shared" si="146"/>
        <v>0</v>
      </c>
      <c r="X1051" s="29"/>
      <c r="Y1051" s="29"/>
      <c r="Z1051" s="29"/>
      <c r="AA1051" s="29"/>
    </row>
    <row r="1052" spans="1:67" s="3" customFormat="1" ht="13.5" hidden="1" customHeight="1" x14ac:dyDescent="0.25">
      <c r="A1052" t="str">
        <f>IF(R1052=0,"",COUNTIF(A$13:A1051,"&gt;0")+1)</f>
        <v/>
      </c>
      <c r="B1052" s="4"/>
      <c r="C1052" s="5" t="s">
        <v>44</v>
      </c>
      <c r="D1052" s="7" t="s">
        <v>696</v>
      </c>
      <c r="E1052" s="31"/>
      <c r="F1052" s="31"/>
      <c r="G1052" s="6" t="s">
        <v>49</v>
      </c>
      <c r="H1052" s="7">
        <f>VLOOKUP(D1052,A!B$1:L$1126,8,FALSE)</f>
        <v>0</v>
      </c>
      <c r="I1052" s="31">
        <f>VLOOKUP(D1052,A!B$1:L$1126,8,FALSE)</f>
        <v>0</v>
      </c>
      <c r="J1052" s="92"/>
      <c r="K1052" s="63" t="str">
        <f>VLOOKUP(D1052,A!B$1:P$1126,11,FALSE)</f>
        <v/>
      </c>
      <c r="L1052" s="162"/>
      <c r="M1052" s="43" t="s">
        <v>697</v>
      </c>
      <c r="N1052" s="94">
        <f>VLOOKUP(D1052,A!B$1:L$1125,7,FALSE)</f>
        <v>0</v>
      </c>
      <c r="O1052" s="94">
        <f>VLOOKUP(D1052,A!B$1:P$1126,9,FALSE)</f>
        <v>0</v>
      </c>
      <c r="P1052" s="10">
        <v>6</v>
      </c>
      <c r="Q1052" s="10">
        <v>5.2</v>
      </c>
      <c r="R1052" s="10">
        <f t="shared" si="144"/>
        <v>0</v>
      </c>
      <c r="S1052" s="10">
        <f t="shared" si="145"/>
        <v>0</v>
      </c>
      <c r="T1052" s="10" t="s">
        <v>178</v>
      </c>
      <c r="U1052" s="115">
        <v>0.35</v>
      </c>
      <c r="V1052" s="10">
        <f>VLOOKUP(D1052,A!B$1:T$1125,17,FALSE)</f>
        <v>0</v>
      </c>
      <c r="W1052" s="10">
        <f t="shared" si="146"/>
        <v>0</v>
      </c>
      <c r="X1052" s="29"/>
      <c r="Y1052" s="29"/>
      <c r="Z1052" s="29"/>
      <c r="AA1052" s="29"/>
    </row>
    <row r="1053" spans="1:67" s="3" customFormat="1" ht="13.5" hidden="1" customHeight="1" x14ac:dyDescent="0.25">
      <c r="A1053" t="str">
        <f>IF(R1053=0,"",COUNTIF(A$13:A1052,"&gt;0")+1)</f>
        <v/>
      </c>
      <c r="B1053" s="4"/>
      <c r="C1053" s="5" t="s">
        <v>44</v>
      </c>
      <c r="D1053" s="22" t="s">
        <v>698</v>
      </c>
      <c r="E1053" s="89"/>
      <c r="F1053" s="89"/>
      <c r="G1053" s="25" t="s">
        <v>49</v>
      </c>
      <c r="H1053" s="7">
        <f>VLOOKUP(D1053,A!B$1:L$1126,8,FALSE)</f>
        <v>0</v>
      </c>
      <c r="I1053" s="31">
        <f>VLOOKUP(D1053,A!B$1:L$1126,8,FALSE)</f>
        <v>0</v>
      </c>
      <c r="J1053" s="92"/>
      <c r="K1053" s="63" t="str">
        <f>VLOOKUP(D1053,A!B$1:P$1126,11,FALSE)</f>
        <v/>
      </c>
      <c r="L1053" s="162"/>
      <c r="M1053" s="39" t="s">
        <v>699</v>
      </c>
      <c r="N1053" s="94">
        <f>VLOOKUP(D1053,A!B$1:L$1125,7,FALSE)</f>
        <v>0</v>
      </c>
      <c r="O1053" s="94">
        <f>VLOOKUP(D1053,A!B$1:P$1126,9,FALSE)</f>
        <v>0</v>
      </c>
      <c r="P1053" s="10">
        <v>6</v>
      </c>
      <c r="Q1053" s="10">
        <v>5.2</v>
      </c>
      <c r="R1053" s="10">
        <f t="shared" si="144"/>
        <v>0</v>
      </c>
      <c r="S1053" s="10">
        <f t="shared" si="145"/>
        <v>0</v>
      </c>
      <c r="T1053" s="10" t="s">
        <v>178</v>
      </c>
      <c r="U1053" s="115">
        <v>0.35</v>
      </c>
      <c r="V1053" s="10">
        <f>VLOOKUP(D1053,A!B$1:T$1125,17,FALSE)</f>
        <v>0</v>
      </c>
      <c r="W1053" s="10">
        <f t="shared" si="146"/>
        <v>0</v>
      </c>
      <c r="X1053" s="29"/>
      <c r="Y1053" s="29"/>
      <c r="Z1053" s="29"/>
      <c r="AA1053" s="29"/>
    </row>
    <row r="1054" spans="1:67" s="3" customFormat="1" ht="13.5" hidden="1" customHeight="1" x14ac:dyDescent="0.25">
      <c r="A1054" t="str">
        <f>IF(R1054=0,"",COUNTIF(A$13:A1053,"&gt;0")+1)</f>
        <v/>
      </c>
      <c r="B1054" s="4"/>
      <c r="C1054" s="5" t="s">
        <v>44</v>
      </c>
      <c r="D1054" s="7" t="s">
        <v>700</v>
      </c>
      <c r="E1054" s="31"/>
      <c r="F1054" s="31"/>
      <c r="G1054" s="6" t="s">
        <v>49</v>
      </c>
      <c r="H1054" s="7">
        <f>VLOOKUP(D1054,A!B$1:L$1126,8,FALSE)</f>
        <v>0</v>
      </c>
      <c r="I1054" s="31">
        <f>VLOOKUP(D1054,A!B$1:L$1126,8,FALSE)</f>
        <v>0</v>
      </c>
      <c r="J1054" s="92"/>
      <c r="K1054" s="63" t="str">
        <f>VLOOKUP(D1054,A!B$1:P$1126,11,FALSE)</f>
        <v/>
      </c>
      <c r="L1054" s="162"/>
      <c r="M1054" s="43" t="s">
        <v>701</v>
      </c>
      <c r="N1054" s="94">
        <f>VLOOKUP(D1054,A!B$1:L$1125,7,FALSE)</f>
        <v>0</v>
      </c>
      <c r="O1054" s="94">
        <f>VLOOKUP(D1054,A!B$1:P$1126,9,FALSE)</f>
        <v>0</v>
      </c>
      <c r="P1054" s="10">
        <v>6</v>
      </c>
      <c r="Q1054" s="10">
        <v>5.2</v>
      </c>
      <c r="R1054" s="10">
        <f t="shared" si="144"/>
        <v>0</v>
      </c>
      <c r="S1054" s="10">
        <f t="shared" si="145"/>
        <v>0</v>
      </c>
      <c r="T1054" s="10" t="s">
        <v>178</v>
      </c>
      <c r="U1054" s="115">
        <v>0.35</v>
      </c>
      <c r="V1054" s="10">
        <f>VLOOKUP(D1054,A!B$1:T$1125,17,FALSE)</f>
        <v>0</v>
      </c>
      <c r="W1054" s="10">
        <f t="shared" si="146"/>
        <v>0</v>
      </c>
      <c r="X1054" s="29"/>
      <c r="Y1054" s="29"/>
      <c r="Z1054" s="29"/>
      <c r="AA1054" s="29"/>
    </row>
    <row r="1055" spans="1:67" s="3" customFormat="1" ht="13.5" hidden="1" customHeight="1" x14ac:dyDescent="0.25">
      <c r="A1055" t="str">
        <f>IF(R1055=0,"",COUNTIF(A$13:A1054,"&gt;0")+1)</f>
        <v/>
      </c>
      <c r="B1055" s="4"/>
      <c r="C1055" s="5" t="s">
        <v>44</v>
      </c>
      <c r="D1055" s="22" t="s">
        <v>702</v>
      </c>
      <c r="E1055" s="89"/>
      <c r="F1055" s="89"/>
      <c r="G1055" s="25" t="s">
        <v>49</v>
      </c>
      <c r="H1055" s="7">
        <f>VLOOKUP(D1055,A!B$1:L$1126,8,FALSE)</f>
        <v>0</v>
      </c>
      <c r="I1055" s="31">
        <f>VLOOKUP(D1055,A!B$1:L$1126,8,FALSE)</f>
        <v>0</v>
      </c>
      <c r="J1055" s="92"/>
      <c r="K1055" s="63" t="str">
        <f>VLOOKUP(D1055,A!B$1:P$1126,11,FALSE)</f>
        <v/>
      </c>
      <c r="L1055" s="162"/>
      <c r="M1055" s="44" t="s">
        <v>703</v>
      </c>
      <c r="N1055" s="94">
        <f>VLOOKUP(D1055,A!B$1:L$1125,7,FALSE)</f>
        <v>0</v>
      </c>
      <c r="O1055" s="94">
        <f>VLOOKUP(D1055,A!B$1:P$1126,9,FALSE)</f>
        <v>0</v>
      </c>
      <c r="P1055" s="10">
        <v>6</v>
      </c>
      <c r="Q1055" s="10">
        <v>5.2</v>
      </c>
      <c r="R1055" s="10">
        <f t="shared" si="144"/>
        <v>0</v>
      </c>
      <c r="S1055" s="10">
        <f t="shared" si="145"/>
        <v>0</v>
      </c>
      <c r="T1055" s="10" t="s">
        <v>178</v>
      </c>
      <c r="U1055" s="115">
        <v>0.35</v>
      </c>
      <c r="V1055" s="10">
        <f>VLOOKUP(D1055,A!B$1:T$1125,17,FALSE)</f>
        <v>0</v>
      </c>
      <c r="W1055" s="10">
        <f t="shared" si="146"/>
        <v>0</v>
      </c>
      <c r="X1055" s="29"/>
      <c r="Y1055" s="29"/>
      <c r="Z1055" s="29"/>
      <c r="AA1055" s="29"/>
    </row>
    <row r="1056" spans="1:67" s="3" customFormat="1" ht="13.5" customHeight="1" x14ac:dyDescent="0.25">
      <c r="A1056" t="str">
        <f>IF(R1056=0,"",COUNTIF(A$13:A1055,"&gt;0")+1)</f>
        <v/>
      </c>
      <c r="B1056" s="4"/>
      <c r="C1056" s="5" t="s">
        <v>44</v>
      </c>
      <c r="D1056" s="22" t="s">
        <v>259</v>
      </c>
      <c r="E1056" s="89"/>
      <c r="F1056" s="89"/>
      <c r="G1056" s="25" t="s">
        <v>49</v>
      </c>
      <c r="H1056" s="7">
        <f>VLOOKUP(D1056,A!B$1:L$1126,8,FALSE)</f>
        <v>1</v>
      </c>
      <c r="I1056" s="31">
        <f>VLOOKUP(D1056,A!B$1:L$1126,8,FALSE)</f>
        <v>1</v>
      </c>
      <c r="J1056" s="92"/>
      <c r="K1056" s="63" t="str">
        <f>VLOOKUP(D1056,A!B$1:P$1126,11,FALSE)</f>
        <v/>
      </c>
      <c r="L1056" s="162"/>
      <c r="M1056" s="42" t="s">
        <v>161</v>
      </c>
      <c r="N1056" s="94" t="str">
        <f>VLOOKUP(D1056,A!B$1:L$1125,7,FALSE)</f>
        <v>y</v>
      </c>
      <c r="O1056" s="94">
        <f>VLOOKUP(D1056,A!B$1:P$1126,9,FALSE)</f>
        <v>0</v>
      </c>
      <c r="P1056" s="10">
        <v>6</v>
      </c>
      <c r="Q1056" s="10">
        <v>5.2</v>
      </c>
      <c r="R1056" s="10">
        <f t="shared" si="144"/>
        <v>0</v>
      </c>
      <c r="S1056" s="10">
        <f t="shared" si="145"/>
        <v>0</v>
      </c>
      <c r="T1056" s="10" t="s">
        <v>178</v>
      </c>
      <c r="U1056" s="115">
        <v>0.35</v>
      </c>
      <c r="V1056" s="10">
        <f>VLOOKUP(D1056,A!B$1:T$1125,17,FALSE)</f>
        <v>0</v>
      </c>
      <c r="W1056" s="10">
        <f t="shared" si="146"/>
        <v>0</v>
      </c>
      <c r="X1056" s="29"/>
      <c r="Y1056" s="29"/>
      <c r="Z1056" s="29"/>
      <c r="AA1056" s="29"/>
    </row>
    <row r="1057" spans="1:27" s="3" customFormat="1" ht="13.5" hidden="1" customHeight="1" x14ac:dyDescent="0.25">
      <c r="A1057" t="str">
        <f>IF(R1057=0,"",COUNTIF(A$13:A1056,"&gt;0")+1)</f>
        <v/>
      </c>
      <c r="B1057" s="4"/>
      <c r="C1057" s="5" t="s">
        <v>44</v>
      </c>
      <c r="D1057" s="22" t="s">
        <v>704</v>
      </c>
      <c r="E1057" s="89"/>
      <c r="F1057" s="89"/>
      <c r="G1057" s="25" t="s">
        <v>49</v>
      </c>
      <c r="H1057" s="7">
        <f>VLOOKUP(D1057,A!B$1:L$1126,8,FALSE)</f>
        <v>0</v>
      </c>
      <c r="I1057" s="31">
        <f>VLOOKUP(D1057,A!B$1:L$1126,8,FALSE)</f>
        <v>0</v>
      </c>
      <c r="J1057" s="92"/>
      <c r="K1057" s="63" t="str">
        <f>VLOOKUP(D1057,A!B$1:P$1126,11,FALSE)</f>
        <v/>
      </c>
      <c r="L1057" s="162"/>
      <c r="M1057" s="42" t="s">
        <v>705</v>
      </c>
      <c r="N1057" s="94">
        <f>VLOOKUP(D1057,A!B$1:L$1125,7,FALSE)</f>
        <v>0</v>
      </c>
      <c r="O1057" s="94">
        <f>VLOOKUP(D1057,A!B$1:P$1126,9,FALSE)</f>
        <v>0</v>
      </c>
      <c r="P1057" s="10">
        <v>6</v>
      </c>
      <c r="Q1057" s="10">
        <v>5.2</v>
      </c>
      <c r="R1057" s="10">
        <f t="shared" si="144"/>
        <v>0</v>
      </c>
      <c r="S1057" s="10">
        <f t="shared" si="145"/>
        <v>0</v>
      </c>
      <c r="T1057" s="10" t="s">
        <v>178</v>
      </c>
      <c r="U1057" s="115">
        <v>0.35</v>
      </c>
      <c r="V1057" s="10">
        <f>VLOOKUP(D1057,A!B$1:T$1125,17,FALSE)</f>
        <v>0</v>
      </c>
      <c r="W1057" s="10">
        <f t="shared" si="146"/>
        <v>0</v>
      </c>
      <c r="X1057" s="29"/>
      <c r="Y1057" s="29"/>
      <c r="Z1057" s="29"/>
      <c r="AA1057" s="29"/>
    </row>
    <row r="1058" spans="1:27" s="3" customFormat="1" ht="13.5" hidden="1" customHeight="1" x14ac:dyDescent="0.25">
      <c r="A1058" t="str">
        <f>IF(R1058=0,"",COUNTIF(A$13:A1057,"&gt;0")+1)</f>
        <v/>
      </c>
      <c r="B1058" s="4"/>
      <c r="C1058" s="5" t="s">
        <v>44</v>
      </c>
      <c r="D1058" s="22" t="s">
        <v>706</v>
      </c>
      <c r="E1058" s="89"/>
      <c r="F1058" s="89"/>
      <c r="G1058" s="25" t="s">
        <v>49</v>
      </c>
      <c r="H1058" s="7">
        <f>VLOOKUP(D1058,A!B$1:L$1126,8,FALSE)</f>
        <v>0</v>
      </c>
      <c r="I1058" s="31">
        <f>VLOOKUP(D1058,A!B$1:L$1126,8,FALSE)</f>
        <v>0</v>
      </c>
      <c r="J1058" s="92"/>
      <c r="K1058" s="63" t="str">
        <f>VLOOKUP(D1058,A!B$1:P$1126,11,FALSE)</f>
        <v/>
      </c>
      <c r="L1058" s="162"/>
      <c r="M1058" s="44" t="s">
        <v>707</v>
      </c>
      <c r="N1058" s="94">
        <f>VLOOKUP(D1058,A!B$1:L$1125,7,FALSE)</f>
        <v>0</v>
      </c>
      <c r="O1058" s="94">
        <f>VLOOKUP(D1058,A!B$1:P$1126,9,FALSE)</f>
        <v>0</v>
      </c>
      <c r="P1058" s="10">
        <v>6</v>
      </c>
      <c r="Q1058" s="10">
        <v>5.2</v>
      </c>
      <c r="R1058" s="10">
        <f t="shared" si="144"/>
        <v>0</v>
      </c>
      <c r="S1058" s="10">
        <f t="shared" si="145"/>
        <v>0</v>
      </c>
      <c r="T1058" s="10" t="s">
        <v>178</v>
      </c>
      <c r="U1058" s="115">
        <v>0.35</v>
      </c>
      <c r="V1058" s="10">
        <f>VLOOKUP(D1058,A!B$1:T$1125,17,FALSE)</f>
        <v>0</v>
      </c>
      <c r="W1058" s="10">
        <f t="shared" si="146"/>
        <v>0</v>
      </c>
      <c r="X1058" s="29"/>
      <c r="Y1058" s="29"/>
      <c r="Z1058" s="29"/>
      <c r="AA1058" s="29"/>
    </row>
    <row r="1059" spans="1:27" s="3" customFormat="1" ht="13.5" hidden="1" customHeight="1" x14ac:dyDescent="0.25">
      <c r="A1059" t="str">
        <f>IF(R1059=0,"",COUNTIF(A$13:A1058,"&gt;0")+1)</f>
        <v/>
      </c>
      <c r="B1059" s="4"/>
      <c r="C1059" s="5" t="s">
        <v>44</v>
      </c>
      <c r="D1059" s="7" t="s">
        <v>708</v>
      </c>
      <c r="E1059" s="31"/>
      <c r="F1059" s="31"/>
      <c r="G1059" s="6" t="s">
        <v>49</v>
      </c>
      <c r="H1059" s="7">
        <f>VLOOKUP(D1059,A!B$1:L$1126,8,FALSE)</f>
        <v>0</v>
      </c>
      <c r="I1059" s="31">
        <f>VLOOKUP(D1059,A!B$1:L$1126,8,FALSE)</f>
        <v>0</v>
      </c>
      <c r="J1059" s="92"/>
      <c r="K1059" s="63" t="str">
        <f>VLOOKUP(D1059,A!B$1:P$1126,11,FALSE)</f>
        <v/>
      </c>
      <c r="L1059" s="162"/>
      <c r="M1059" s="43" t="s">
        <v>709</v>
      </c>
      <c r="N1059" s="94">
        <f>VLOOKUP(D1059,A!B$1:L$1125,7,FALSE)</f>
        <v>0</v>
      </c>
      <c r="O1059" s="94">
        <f>VLOOKUP(D1059,A!B$1:P$1126,9,FALSE)</f>
        <v>0</v>
      </c>
      <c r="P1059" s="10">
        <v>6</v>
      </c>
      <c r="Q1059" s="10">
        <v>5.2</v>
      </c>
      <c r="R1059" s="10">
        <f t="shared" si="144"/>
        <v>0</v>
      </c>
      <c r="S1059" s="10">
        <f t="shared" si="145"/>
        <v>0</v>
      </c>
      <c r="T1059" s="10" t="s">
        <v>178</v>
      </c>
      <c r="U1059" s="115">
        <v>0.35</v>
      </c>
      <c r="V1059" s="10">
        <f>VLOOKUP(D1059,A!B$1:T$1125,17,FALSE)</f>
        <v>0</v>
      </c>
      <c r="W1059" s="10">
        <f t="shared" si="146"/>
        <v>0</v>
      </c>
      <c r="X1059" s="29"/>
      <c r="Y1059" s="29"/>
      <c r="Z1059" s="29"/>
      <c r="AA1059" s="29"/>
    </row>
    <row r="1060" spans="1:27" s="3" customFormat="1" ht="13.5" hidden="1" customHeight="1" x14ac:dyDescent="0.25">
      <c r="A1060" t="str">
        <f>IF(R1060=0,"",COUNTIF(A$13:A1059,"&gt;0")+1)</f>
        <v/>
      </c>
      <c r="B1060" s="4"/>
      <c r="C1060" s="5" t="s">
        <v>44</v>
      </c>
      <c r="D1060" s="22" t="s">
        <v>710</v>
      </c>
      <c r="E1060" s="89"/>
      <c r="F1060" s="89"/>
      <c r="G1060" s="25" t="s">
        <v>49</v>
      </c>
      <c r="H1060" s="7">
        <f>VLOOKUP(D1060,A!B$1:L$1126,8,FALSE)</f>
        <v>0</v>
      </c>
      <c r="I1060" s="31">
        <f>VLOOKUP(D1060,A!B$1:L$1126,8,FALSE)</f>
        <v>0</v>
      </c>
      <c r="J1060" s="92"/>
      <c r="K1060" s="63" t="str">
        <f>VLOOKUP(D1060,A!B$1:P$1126,11,FALSE)</f>
        <v/>
      </c>
      <c r="L1060" s="162"/>
      <c r="M1060" s="44" t="s">
        <v>711</v>
      </c>
      <c r="N1060" s="94">
        <f>VLOOKUP(D1060,A!B$1:L$1125,7,FALSE)</f>
        <v>0</v>
      </c>
      <c r="O1060" s="94">
        <f>VLOOKUP(D1060,A!B$1:P$1126,9,FALSE)</f>
        <v>0</v>
      </c>
      <c r="P1060" s="10">
        <v>6</v>
      </c>
      <c r="Q1060" s="10">
        <v>5.2</v>
      </c>
      <c r="R1060" s="10">
        <f t="shared" si="144"/>
        <v>0</v>
      </c>
      <c r="S1060" s="10">
        <f t="shared" si="145"/>
        <v>0</v>
      </c>
      <c r="T1060" s="10" t="s">
        <v>178</v>
      </c>
      <c r="U1060" s="115">
        <v>0.35</v>
      </c>
      <c r="V1060" s="10">
        <f>VLOOKUP(D1060,A!B$1:T$1125,17,FALSE)</f>
        <v>0</v>
      </c>
      <c r="W1060" s="10">
        <f t="shared" si="146"/>
        <v>0</v>
      </c>
      <c r="X1060" s="29"/>
      <c r="Y1060" s="29"/>
      <c r="Z1060" s="29"/>
      <c r="AA1060" s="29"/>
    </row>
    <row r="1061" spans="1:27" s="3" customFormat="1" ht="13.5" hidden="1" customHeight="1" x14ac:dyDescent="0.25">
      <c r="A1061" t="str">
        <f>IF(R1061=0,"",COUNTIF(A$13:A1060,"&gt;0")+1)</f>
        <v/>
      </c>
      <c r="B1061" s="4"/>
      <c r="C1061" s="5" t="s">
        <v>44</v>
      </c>
      <c r="D1061" s="7" t="s">
        <v>712</v>
      </c>
      <c r="E1061" s="31"/>
      <c r="F1061" s="31"/>
      <c r="G1061" s="6" t="s">
        <v>49</v>
      </c>
      <c r="H1061" s="7">
        <f>VLOOKUP(D1061,A!B$1:L$1126,8,FALSE)</f>
        <v>0</v>
      </c>
      <c r="I1061" s="31">
        <f>VLOOKUP(D1061,A!B$1:L$1126,8,FALSE)</f>
        <v>0</v>
      </c>
      <c r="J1061" s="92"/>
      <c r="K1061" s="63" t="str">
        <f>VLOOKUP(D1061,A!B$1:P$1126,11,FALSE)</f>
        <v/>
      </c>
      <c r="L1061" s="162"/>
      <c r="M1061" s="43" t="s">
        <v>713</v>
      </c>
      <c r="N1061" s="94">
        <f>VLOOKUP(D1061,A!B$1:L$1125,7,FALSE)</f>
        <v>0</v>
      </c>
      <c r="O1061" s="94">
        <f>VLOOKUP(D1061,A!B$1:P$1126,9,FALSE)</f>
        <v>0</v>
      </c>
      <c r="P1061" s="10">
        <v>6</v>
      </c>
      <c r="Q1061" s="10">
        <v>5.2</v>
      </c>
      <c r="R1061" s="10">
        <f t="shared" si="144"/>
        <v>0</v>
      </c>
      <c r="S1061" s="10">
        <f t="shared" si="145"/>
        <v>0</v>
      </c>
      <c r="T1061" s="10" t="s">
        <v>178</v>
      </c>
      <c r="U1061" s="115">
        <v>0.35</v>
      </c>
      <c r="V1061" s="10">
        <f>VLOOKUP(D1061,A!B$1:T$1125,17,FALSE)</f>
        <v>0</v>
      </c>
      <c r="W1061" s="10">
        <f t="shared" si="146"/>
        <v>0</v>
      </c>
      <c r="X1061" s="29"/>
      <c r="Y1061" s="29"/>
      <c r="Z1061" s="29"/>
      <c r="AA1061" s="29"/>
    </row>
    <row r="1062" spans="1:27" s="3" customFormat="1" ht="13.5" hidden="1" customHeight="1" x14ac:dyDescent="0.25">
      <c r="A1062" t="str">
        <f>IF(R1062=0,"",COUNTIF(A$13:A1061,"&gt;0")+1)</f>
        <v/>
      </c>
      <c r="B1062" s="4"/>
      <c r="C1062" s="5" t="s">
        <v>44</v>
      </c>
      <c r="D1062" s="7" t="s">
        <v>714</v>
      </c>
      <c r="E1062" s="31"/>
      <c r="F1062" s="31"/>
      <c r="G1062" s="6" t="s">
        <v>49</v>
      </c>
      <c r="H1062" s="7">
        <f>VLOOKUP(D1062,A!B$1:L$1126,8,FALSE)</f>
        <v>0</v>
      </c>
      <c r="I1062" s="31">
        <f>VLOOKUP(D1062,A!B$1:L$1126,8,FALSE)</f>
        <v>0</v>
      </c>
      <c r="J1062" s="92"/>
      <c r="K1062" s="63" t="str">
        <f>VLOOKUP(D1062,A!B$1:P$1126,11,FALSE)</f>
        <v/>
      </c>
      <c r="L1062" s="162"/>
      <c r="M1062" s="43" t="s">
        <v>715</v>
      </c>
      <c r="N1062" s="94">
        <f>VLOOKUP(D1062,A!B$1:L$1125,7,FALSE)</f>
        <v>0</v>
      </c>
      <c r="O1062" s="94">
        <f>VLOOKUP(D1062,A!B$1:P$1126,9,FALSE)</f>
        <v>0</v>
      </c>
      <c r="P1062" s="10">
        <v>6</v>
      </c>
      <c r="Q1062" s="10">
        <v>5.2</v>
      </c>
      <c r="R1062" s="10">
        <f t="shared" si="144"/>
        <v>0</v>
      </c>
      <c r="S1062" s="10">
        <f t="shared" si="145"/>
        <v>0</v>
      </c>
      <c r="T1062" s="10" t="s">
        <v>178</v>
      </c>
      <c r="U1062" s="115">
        <v>0.35</v>
      </c>
      <c r="V1062" s="10">
        <f>VLOOKUP(D1062,A!B$1:T$1125,17,FALSE)</f>
        <v>0</v>
      </c>
      <c r="W1062" s="10">
        <f t="shared" si="146"/>
        <v>0</v>
      </c>
      <c r="X1062" s="29"/>
      <c r="Y1062" s="29"/>
      <c r="Z1062" s="29"/>
      <c r="AA1062" s="29"/>
    </row>
    <row r="1063" spans="1:27" s="3" customFormat="1" ht="13.5" hidden="1" customHeight="1" x14ac:dyDescent="0.25">
      <c r="A1063" t="str">
        <f>IF(R1063=0,"",COUNTIF(A$13:A1062,"&gt;0")+1)</f>
        <v/>
      </c>
      <c r="B1063" s="4"/>
      <c r="C1063" s="5" t="s">
        <v>44</v>
      </c>
      <c r="D1063" s="7" t="s">
        <v>716</v>
      </c>
      <c r="E1063" s="31"/>
      <c r="F1063" s="31"/>
      <c r="G1063" s="6" t="s">
        <v>49</v>
      </c>
      <c r="H1063" s="7">
        <f>VLOOKUP(D1063,A!B$1:L$1126,8,FALSE)</f>
        <v>0</v>
      </c>
      <c r="I1063" s="31">
        <f>VLOOKUP(D1063,A!B$1:L$1126,8,FALSE)</f>
        <v>0</v>
      </c>
      <c r="J1063" s="92"/>
      <c r="K1063" s="63" t="str">
        <f>VLOOKUP(D1063,A!B$1:P$1126,11,FALSE)</f>
        <v/>
      </c>
      <c r="L1063" s="162"/>
      <c r="M1063" s="43" t="s">
        <v>260</v>
      </c>
      <c r="N1063" s="94">
        <f>VLOOKUP(D1063,A!B$1:L$1125,7,FALSE)</f>
        <v>0</v>
      </c>
      <c r="O1063" s="94">
        <f>VLOOKUP(D1063,A!B$1:P$1126,9,FALSE)</f>
        <v>0</v>
      </c>
      <c r="P1063" s="10">
        <v>6</v>
      </c>
      <c r="Q1063" s="10">
        <v>5.2</v>
      </c>
      <c r="R1063" s="10">
        <f t="shared" si="144"/>
        <v>0</v>
      </c>
      <c r="S1063" s="10">
        <f t="shared" si="145"/>
        <v>0</v>
      </c>
      <c r="T1063" s="10" t="s">
        <v>178</v>
      </c>
      <c r="U1063" s="115">
        <v>0.35</v>
      </c>
      <c r="V1063" s="10">
        <f>VLOOKUP(D1063,A!B$1:T$1125,17,FALSE)</f>
        <v>0</v>
      </c>
      <c r="W1063" s="10">
        <f t="shared" si="146"/>
        <v>0</v>
      </c>
      <c r="X1063" s="29"/>
      <c r="Y1063" s="29"/>
      <c r="Z1063" s="29"/>
      <c r="AA1063" s="29"/>
    </row>
    <row r="1064" spans="1:27" s="3" customFormat="1" ht="13.5" customHeight="1" x14ac:dyDescent="0.25">
      <c r="A1064" t="str">
        <f>IF(R1064=0,"",COUNTIF(A$13:A1063,"&gt;0")+1)</f>
        <v/>
      </c>
      <c r="B1064" s="4"/>
      <c r="C1064" s="5" t="s">
        <v>44</v>
      </c>
      <c r="D1064" s="7" t="s">
        <v>717</v>
      </c>
      <c r="E1064" s="31"/>
      <c r="F1064" s="31"/>
      <c r="G1064" s="6" t="s">
        <v>49</v>
      </c>
      <c r="H1064" s="7">
        <f>VLOOKUP(D1064,A!B$1:L$1126,8,FALSE)</f>
        <v>1</v>
      </c>
      <c r="I1064" s="31">
        <f>VLOOKUP(D1064,A!B$1:L$1126,8,FALSE)</f>
        <v>1</v>
      </c>
      <c r="J1064" s="92"/>
      <c r="K1064" s="63" t="str">
        <f>VLOOKUP(D1064,A!B$1:P$1126,11,FALSE)</f>
        <v/>
      </c>
      <c r="L1064" s="162"/>
      <c r="M1064" s="43" t="s">
        <v>718</v>
      </c>
      <c r="N1064" s="94" t="str">
        <f>VLOOKUP(D1064,A!B$1:L$1125,7,FALSE)</f>
        <v>y</v>
      </c>
      <c r="O1064" s="94">
        <f>VLOOKUP(D1064,A!B$1:P$1126,9,FALSE)</f>
        <v>0</v>
      </c>
      <c r="P1064" s="10">
        <v>6</v>
      </c>
      <c r="Q1064" s="10">
        <v>5.2</v>
      </c>
      <c r="R1064" s="10">
        <f t="shared" si="144"/>
        <v>0</v>
      </c>
      <c r="S1064" s="10">
        <f t="shared" si="145"/>
        <v>0</v>
      </c>
      <c r="T1064" s="10" t="s">
        <v>178</v>
      </c>
      <c r="U1064" s="115">
        <v>0.35</v>
      </c>
      <c r="V1064" s="10">
        <f>VLOOKUP(D1064,A!B$1:T$1125,17,FALSE)</f>
        <v>0</v>
      </c>
      <c r="W1064" s="10">
        <f t="shared" si="146"/>
        <v>0</v>
      </c>
      <c r="X1064" s="29"/>
      <c r="Y1064" s="29"/>
      <c r="Z1064" s="29"/>
      <c r="AA1064" s="29"/>
    </row>
    <row r="1065" spans="1:27" s="3" customFormat="1" ht="13.5" hidden="1" customHeight="1" x14ac:dyDescent="0.25">
      <c r="A1065" t="str">
        <f>IF(R1065=0,"",COUNTIF(A$13:A1064,"&gt;0")+1)</f>
        <v/>
      </c>
      <c r="B1065" s="4"/>
      <c r="C1065" s="5" t="s">
        <v>44</v>
      </c>
      <c r="D1065" s="7" t="s">
        <v>719</v>
      </c>
      <c r="E1065" s="31"/>
      <c r="F1065" s="31"/>
      <c r="G1065" s="6" t="s">
        <v>49</v>
      </c>
      <c r="H1065" s="7">
        <f>VLOOKUP(D1065,A!B$1:L$1126,8,FALSE)</f>
        <v>0</v>
      </c>
      <c r="I1065" s="31">
        <f>VLOOKUP(D1065,A!B$1:L$1126,8,FALSE)</f>
        <v>0</v>
      </c>
      <c r="J1065" s="92"/>
      <c r="K1065" s="63" t="str">
        <f>VLOOKUP(D1065,A!B$1:P$1126,11,FALSE)</f>
        <v/>
      </c>
      <c r="L1065" s="162"/>
      <c r="M1065" s="43" t="s">
        <v>720</v>
      </c>
      <c r="N1065" s="94">
        <f>VLOOKUP(D1065,A!B$1:L$1125,7,FALSE)</f>
        <v>0</v>
      </c>
      <c r="O1065" s="94">
        <f>VLOOKUP(D1065,A!B$1:P$1126,9,FALSE)</f>
        <v>0</v>
      </c>
      <c r="P1065" s="10">
        <v>6</v>
      </c>
      <c r="Q1065" s="10">
        <v>5.2</v>
      </c>
      <c r="R1065" s="10">
        <f t="shared" si="144"/>
        <v>0</v>
      </c>
      <c r="S1065" s="10">
        <f t="shared" si="145"/>
        <v>0</v>
      </c>
      <c r="T1065" s="10" t="s">
        <v>178</v>
      </c>
      <c r="U1065" s="115">
        <v>0.35</v>
      </c>
      <c r="V1065" s="10">
        <f>VLOOKUP(D1065,A!B$1:T$1125,17,FALSE)</f>
        <v>0</v>
      </c>
      <c r="W1065" s="10">
        <f t="shared" si="146"/>
        <v>0</v>
      </c>
      <c r="X1065" s="29"/>
      <c r="Y1065" s="29"/>
      <c r="Z1065" s="29"/>
      <c r="AA1065" s="29"/>
    </row>
    <row r="1066" spans="1:27" s="3" customFormat="1" ht="13.5" hidden="1" customHeight="1" x14ac:dyDescent="0.25">
      <c r="A1066" t="str">
        <f>IF(R1066=0,"",COUNTIF(A$13:A1065,"&gt;0")+1)</f>
        <v/>
      </c>
      <c r="B1066" s="4"/>
      <c r="C1066" s="5" t="s">
        <v>44</v>
      </c>
      <c r="D1066" s="7" t="s">
        <v>207</v>
      </c>
      <c r="E1066" s="31"/>
      <c r="F1066" s="31"/>
      <c r="G1066" s="6" t="s">
        <v>49</v>
      </c>
      <c r="H1066" s="7">
        <f>VLOOKUP(D1066,A!B$1:L$1126,8,FALSE)</f>
        <v>0</v>
      </c>
      <c r="I1066" s="31">
        <f>VLOOKUP(D1066,A!B$1:L$1126,8,FALSE)</f>
        <v>0</v>
      </c>
      <c r="J1066" s="92"/>
      <c r="K1066" s="63" t="str">
        <f>VLOOKUP(D1066,A!B$1:P$1126,11,FALSE)</f>
        <v/>
      </c>
      <c r="L1066" s="162"/>
      <c r="M1066" s="43" t="s">
        <v>208</v>
      </c>
      <c r="N1066" s="94">
        <f>VLOOKUP(D1066,A!B$1:L$1125,7,FALSE)</f>
        <v>0</v>
      </c>
      <c r="O1066" s="94">
        <f>VLOOKUP(D1066,A!B$1:P$1126,9,FALSE)</f>
        <v>0</v>
      </c>
      <c r="P1066" s="10">
        <v>6</v>
      </c>
      <c r="Q1066" s="10">
        <v>5.2</v>
      </c>
      <c r="R1066" s="10">
        <f t="shared" si="144"/>
        <v>0</v>
      </c>
      <c r="S1066" s="10">
        <f t="shared" si="145"/>
        <v>0</v>
      </c>
      <c r="T1066" s="10" t="s">
        <v>178</v>
      </c>
      <c r="U1066" s="115">
        <v>0.35</v>
      </c>
      <c r="V1066" s="10">
        <f>VLOOKUP(D1066,A!B$1:T$1125,17,FALSE)</f>
        <v>0</v>
      </c>
      <c r="W1066" s="10">
        <f t="shared" si="146"/>
        <v>0</v>
      </c>
      <c r="X1066" s="29"/>
      <c r="Y1066" s="29"/>
      <c r="Z1066" s="29"/>
      <c r="AA1066" s="29"/>
    </row>
    <row r="1067" spans="1:27" s="3" customFormat="1" ht="13.5" hidden="1" customHeight="1" x14ac:dyDescent="0.25">
      <c r="A1067" t="str">
        <f>IF(R1067=0,"",COUNTIF(A$13:A1066,"&gt;0")+1)</f>
        <v/>
      </c>
      <c r="B1067" s="4"/>
      <c r="C1067" s="5" t="s">
        <v>44</v>
      </c>
      <c r="D1067" s="7" t="s">
        <v>261</v>
      </c>
      <c r="E1067" s="31"/>
      <c r="F1067" s="31"/>
      <c r="G1067" s="6" t="s">
        <v>49</v>
      </c>
      <c r="H1067" s="7">
        <f>VLOOKUP(D1067,A!B$1:L$1126,8,FALSE)</f>
        <v>0</v>
      </c>
      <c r="I1067" s="31">
        <f>VLOOKUP(D1067,A!B$1:L$1126,8,FALSE)</f>
        <v>0</v>
      </c>
      <c r="J1067" s="92"/>
      <c r="K1067" s="63" t="str">
        <f>VLOOKUP(D1067,A!B$1:P$1126,11,FALSE)</f>
        <v/>
      </c>
      <c r="L1067" s="162"/>
      <c r="M1067" s="42" t="s">
        <v>721</v>
      </c>
      <c r="N1067" s="94">
        <f>VLOOKUP(D1067,A!B$1:L$1125,7,FALSE)</f>
        <v>0</v>
      </c>
      <c r="O1067" s="94">
        <f>VLOOKUP(D1067,A!B$1:P$1126,9,FALSE)</f>
        <v>0</v>
      </c>
      <c r="P1067" s="10">
        <v>6</v>
      </c>
      <c r="Q1067" s="10">
        <v>5.2</v>
      </c>
      <c r="R1067" s="10">
        <f t="shared" si="144"/>
        <v>0</v>
      </c>
      <c r="S1067" s="10">
        <f t="shared" si="145"/>
        <v>0</v>
      </c>
      <c r="T1067" s="10" t="s">
        <v>178</v>
      </c>
      <c r="U1067" s="115">
        <v>0.35</v>
      </c>
      <c r="V1067" s="10">
        <f>VLOOKUP(D1067,A!B$1:T$1125,17,FALSE)</f>
        <v>0</v>
      </c>
      <c r="W1067" s="10">
        <f t="shared" si="146"/>
        <v>0</v>
      </c>
      <c r="X1067" s="29"/>
      <c r="Y1067" s="29"/>
      <c r="Z1067" s="29"/>
      <c r="AA1067" s="29"/>
    </row>
    <row r="1068" spans="1:27" s="3" customFormat="1" ht="13.5" hidden="1" customHeight="1" x14ac:dyDescent="0.25">
      <c r="A1068" t="str">
        <f>IF(R1068=0,"",COUNTIF(A$13:A1067,"&gt;0")+1)</f>
        <v/>
      </c>
      <c r="B1068" s="4"/>
      <c r="C1068" s="5" t="s">
        <v>44</v>
      </c>
      <c r="D1068" s="7" t="s">
        <v>722</v>
      </c>
      <c r="E1068" s="31"/>
      <c r="F1068" s="31"/>
      <c r="G1068" s="6" t="s">
        <v>49</v>
      </c>
      <c r="H1068" s="7">
        <f>VLOOKUP(D1068,A!B$1:L$1126,8,FALSE)</f>
        <v>0</v>
      </c>
      <c r="I1068" s="31">
        <f>VLOOKUP(D1068,A!B$1:L$1126,8,FALSE)</f>
        <v>0</v>
      </c>
      <c r="J1068" s="92"/>
      <c r="K1068" s="63" t="str">
        <f>VLOOKUP(D1068,A!B$1:P$1126,11,FALSE)</f>
        <v/>
      </c>
      <c r="L1068" s="162"/>
      <c r="M1068" s="43" t="s">
        <v>155</v>
      </c>
      <c r="N1068" s="94">
        <f>VLOOKUP(D1068,A!B$1:L$1125,7,FALSE)</f>
        <v>0</v>
      </c>
      <c r="O1068" s="94">
        <f>VLOOKUP(D1068,A!B$1:P$1126,9,FALSE)</f>
        <v>0</v>
      </c>
      <c r="P1068" s="10">
        <v>6</v>
      </c>
      <c r="Q1068" s="10">
        <v>5.2</v>
      </c>
      <c r="R1068" s="10">
        <f t="shared" si="144"/>
        <v>0</v>
      </c>
      <c r="S1068" s="10">
        <f t="shared" si="145"/>
        <v>0</v>
      </c>
      <c r="T1068" s="10" t="s">
        <v>178</v>
      </c>
      <c r="U1068" s="115">
        <v>0.35</v>
      </c>
      <c r="V1068" s="10">
        <f>VLOOKUP(D1068,A!B$1:T$1125,17,FALSE)</f>
        <v>0</v>
      </c>
      <c r="W1068" s="10">
        <f t="shared" si="146"/>
        <v>0</v>
      </c>
      <c r="X1068" s="29"/>
      <c r="Y1068" s="29"/>
      <c r="Z1068" s="29"/>
      <c r="AA1068" s="29"/>
    </row>
    <row r="1069" spans="1:27" s="3" customFormat="1" ht="13.5" hidden="1" customHeight="1" x14ac:dyDescent="0.25">
      <c r="A1069" t="str">
        <f>IF(R1069=0,"",COUNTIF(A$13:A1068,"&gt;0")+1)</f>
        <v/>
      </c>
      <c r="B1069" s="4"/>
      <c r="C1069" s="5" t="s">
        <v>44</v>
      </c>
      <c r="D1069" s="7" t="s">
        <v>723</v>
      </c>
      <c r="E1069" s="31"/>
      <c r="F1069" s="31"/>
      <c r="G1069" s="6" t="s">
        <v>49</v>
      </c>
      <c r="H1069" s="7">
        <f>VLOOKUP(D1069,A!B$1:L$1126,8,FALSE)</f>
        <v>0</v>
      </c>
      <c r="I1069" s="31">
        <f>VLOOKUP(D1069,A!B$1:L$1126,8,FALSE)</f>
        <v>0</v>
      </c>
      <c r="J1069" s="92"/>
      <c r="K1069" s="63" t="str">
        <f>VLOOKUP(D1069,A!B$1:P$1126,11,FALSE)</f>
        <v/>
      </c>
      <c r="L1069" s="162"/>
      <c r="M1069" s="43" t="s">
        <v>724</v>
      </c>
      <c r="N1069" s="94">
        <f>VLOOKUP(D1069,A!B$1:L$1125,7,FALSE)</f>
        <v>0</v>
      </c>
      <c r="O1069" s="94">
        <f>VLOOKUP(D1069,A!B$1:P$1126,9,FALSE)</f>
        <v>0</v>
      </c>
      <c r="P1069" s="10">
        <v>6</v>
      </c>
      <c r="Q1069" s="10">
        <v>5.2</v>
      </c>
      <c r="R1069" s="10">
        <f t="shared" si="144"/>
        <v>0</v>
      </c>
      <c r="S1069" s="10">
        <f t="shared" si="145"/>
        <v>0</v>
      </c>
      <c r="T1069" s="10" t="s">
        <v>178</v>
      </c>
      <c r="U1069" s="115">
        <v>0.35</v>
      </c>
      <c r="V1069" s="10">
        <f>VLOOKUP(D1069,A!B$1:T$1125,17,FALSE)</f>
        <v>0</v>
      </c>
      <c r="W1069" s="10">
        <f t="shared" si="146"/>
        <v>0</v>
      </c>
      <c r="X1069" s="29"/>
      <c r="Y1069" s="29"/>
      <c r="Z1069" s="29"/>
      <c r="AA1069" s="29"/>
    </row>
    <row r="1070" spans="1:27" s="3" customFormat="1" ht="13.5" hidden="1" customHeight="1" x14ac:dyDescent="0.25">
      <c r="A1070" t="str">
        <f>IF(R1070=0,"",COUNTIF(A$13:A1069,"&gt;0")+1)</f>
        <v/>
      </c>
      <c r="B1070" s="4"/>
      <c r="C1070" s="5" t="s">
        <v>44</v>
      </c>
      <c r="D1070" s="7" t="s">
        <v>153</v>
      </c>
      <c r="E1070" s="31"/>
      <c r="F1070" s="31"/>
      <c r="G1070" s="6" t="s">
        <v>49</v>
      </c>
      <c r="H1070" s="7">
        <f>VLOOKUP(D1070,A!B$1:L$1126,8,FALSE)</f>
        <v>0</v>
      </c>
      <c r="I1070" s="31">
        <f>VLOOKUP(D1070,A!B$1:L$1126,8,FALSE)</f>
        <v>0</v>
      </c>
      <c r="J1070" s="92"/>
      <c r="K1070" s="63" t="str">
        <f>VLOOKUP(D1070,A!B$1:P$1126,11,FALSE)</f>
        <v/>
      </c>
      <c r="L1070" s="162"/>
      <c r="M1070" s="43" t="s">
        <v>154</v>
      </c>
      <c r="N1070" s="94">
        <f>VLOOKUP(D1070,A!B$1:L$1125,7,FALSE)</f>
        <v>0</v>
      </c>
      <c r="O1070" s="94">
        <f>VLOOKUP(D1070,A!B$1:P$1126,9,FALSE)</f>
        <v>0</v>
      </c>
      <c r="P1070" s="10">
        <v>6</v>
      </c>
      <c r="Q1070" s="10">
        <v>5.2</v>
      </c>
      <c r="R1070" s="10">
        <f t="shared" si="144"/>
        <v>0</v>
      </c>
      <c r="S1070" s="10">
        <f t="shared" si="145"/>
        <v>0</v>
      </c>
      <c r="T1070" s="10" t="s">
        <v>178</v>
      </c>
      <c r="U1070" s="115">
        <v>0.35</v>
      </c>
      <c r="V1070" s="10">
        <f>VLOOKUP(D1070,A!B$1:T$1125,17,FALSE)</f>
        <v>0</v>
      </c>
      <c r="W1070" s="10">
        <f t="shared" si="146"/>
        <v>0</v>
      </c>
      <c r="X1070" s="29"/>
      <c r="Y1070" s="29"/>
      <c r="Z1070" s="29"/>
      <c r="AA1070" s="29"/>
    </row>
    <row r="1071" spans="1:27" s="3" customFormat="1" ht="13.5" hidden="1" customHeight="1" x14ac:dyDescent="0.25">
      <c r="A1071" t="str">
        <f>IF(R1071=0,"",COUNTIF(A$13:A1070,"&gt;0")+1)</f>
        <v/>
      </c>
      <c r="B1071" s="4"/>
      <c r="C1071" s="5" t="s">
        <v>44</v>
      </c>
      <c r="D1071" s="7" t="s">
        <v>273</v>
      </c>
      <c r="E1071" s="31"/>
      <c r="F1071" s="31"/>
      <c r="G1071" s="6" t="s">
        <v>49</v>
      </c>
      <c r="H1071" s="7">
        <f>VLOOKUP(D1071,A!B$1:L$1126,8,FALSE)</f>
        <v>0</v>
      </c>
      <c r="I1071" s="31">
        <f>VLOOKUP(D1071,A!B$1:L$1126,8,FALSE)</f>
        <v>0</v>
      </c>
      <c r="J1071" s="92"/>
      <c r="K1071" s="63" t="str">
        <f>VLOOKUP(D1071,A!B$1:P$1126,11,FALSE)</f>
        <v/>
      </c>
      <c r="L1071" s="162"/>
      <c r="M1071" s="43" t="s">
        <v>725</v>
      </c>
      <c r="N1071" s="94">
        <f>VLOOKUP(D1071,A!B$1:L$1125,7,FALSE)</f>
        <v>0</v>
      </c>
      <c r="O1071" s="94">
        <f>VLOOKUP(D1071,A!B$1:P$1126,9,FALSE)</f>
        <v>0</v>
      </c>
      <c r="P1071" s="10">
        <v>6</v>
      </c>
      <c r="Q1071" s="10">
        <v>5.2</v>
      </c>
      <c r="R1071" s="10">
        <f t="shared" si="144"/>
        <v>0</v>
      </c>
      <c r="S1071" s="10">
        <f t="shared" si="145"/>
        <v>0</v>
      </c>
      <c r="T1071" s="10" t="s">
        <v>178</v>
      </c>
      <c r="U1071" s="115">
        <v>0.35</v>
      </c>
      <c r="V1071" s="10">
        <f>VLOOKUP(D1071,A!B$1:T$1125,17,FALSE)</f>
        <v>0</v>
      </c>
      <c r="W1071" s="10">
        <f t="shared" si="146"/>
        <v>0</v>
      </c>
      <c r="X1071" s="29"/>
      <c r="Y1071" s="29"/>
      <c r="Z1071" s="29"/>
      <c r="AA1071" s="29"/>
    </row>
    <row r="1072" spans="1:27" s="3" customFormat="1" ht="13.5" hidden="1" customHeight="1" x14ac:dyDescent="0.25">
      <c r="A1072" t="str">
        <f>IF(R1072=0,"",COUNTIF(A$13:A1071,"&gt;0")+1)</f>
        <v/>
      </c>
      <c r="B1072" s="4"/>
      <c r="C1072" s="5" t="s">
        <v>44</v>
      </c>
      <c r="D1072" s="7" t="s">
        <v>726</v>
      </c>
      <c r="E1072" s="31"/>
      <c r="F1072" s="31"/>
      <c r="G1072" s="6" t="s">
        <v>49</v>
      </c>
      <c r="H1072" s="7">
        <f>VLOOKUP(D1072,A!B$1:L$1126,8,FALSE)</f>
        <v>0</v>
      </c>
      <c r="I1072" s="31">
        <f>VLOOKUP(D1072,A!B$1:L$1126,8,FALSE)</f>
        <v>0</v>
      </c>
      <c r="J1072" s="92"/>
      <c r="K1072" s="63" t="str">
        <f>VLOOKUP(D1072,A!B$1:P$1126,11,FALSE)</f>
        <v/>
      </c>
      <c r="L1072" s="162"/>
      <c r="M1072" s="43" t="s">
        <v>727</v>
      </c>
      <c r="N1072" s="94">
        <f>VLOOKUP(D1072,A!B$1:L$1125,7,FALSE)</f>
        <v>0</v>
      </c>
      <c r="O1072" s="94">
        <f>VLOOKUP(D1072,A!B$1:P$1126,9,FALSE)</f>
        <v>0</v>
      </c>
      <c r="P1072" s="10">
        <v>6</v>
      </c>
      <c r="Q1072" s="10">
        <v>5.2</v>
      </c>
      <c r="R1072" s="10">
        <f t="shared" si="144"/>
        <v>0</v>
      </c>
      <c r="S1072" s="10">
        <f t="shared" si="145"/>
        <v>0</v>
      </c>
      <c r="T1072" s="10" t="s">
        <v>178</v>
      </c>
      <c r="U1072" s="115">
        <v>0.35</v>
      </c>
      <c r="V1072" s="10">
        <f>VLOOKUP(D1072,A!B$1:T$1125,17,FALSE)</f>
        <v>0</v>
      </c>
      <c r="W1072" s="10">
        <f t="shared" si="146"/>
        <v>0</v>
      </c>
      <c r="X1072" s="29"/>
      <c r="Y1072" s="29"/>
      <c r="Z1072" s="29"/>
      <c r="AA1072" s="29"/>
    </row>
    <row r="1073" spans="1:27" s="3" customFormat="1" ht="13.5" hidden="1" customHeight="1" x14ac:dyDescent="0.25">
      <c r="A1073" t="str">
        <f>IF(R1073=0,"",COUNTIF(A$13:A1072,"&gt;0")+1)</f>
        <v/>
      </c>
      <c r="B1073" s="4"/>
      <c r="C1073" s="5" t="s">
        <v>44</v>
      </c>
      <c r="D1073" s="7" t="s">
        <v>156</v>
      </c>
      <c r="E1073" s="31"/>
      <c r="F1073" s="31"/>
      <c r="G1073" s="6" t="s">
        <v>49</v>
      </c>
      <c r="H1073" s="7">
        <f>VLOOKUP(D1073,A!B$1:L$1126,8,FALSE)</f>
        <v>0</v>
      </c>
      <c r="I1073" s="31">
        <f>VLOOKUP(D1073,A!B$1:L$1126,8,FALSE)</f>
        <v>0</v>
      </c>
      <c r="J1073" s="92"/>
      <c r="K1073" s="63" t="str">
        <f>VLOOKUP(D1073,A!B$1:P$1126,11,FALSE)</f>
        <v/>
      </c>
      <c r="L1073" s="162"/>
      <c r="M1073" s="43" t="s">
        <v>728</v>
      </c>
      <c r="N1073" s="94">
        <f>VLOOKUP(D1073,A!B$1:L$1125,7,FALSE)</f>
        <v>0</v>
      </c>
      <c r="O1073" s="94">
        <f>VLOOKUP(D1073,A!B$1:P$1126,9,FALSE)</f>
        <v>0</v>
      </c>
      <c r="P1073" s="10">
        <v>6</v>
      </c>
      <c r="Q1073" s="10">
        <v>5.2</v>
      </c>
      <c r="R1073" s="10">
        <f t="shared" si="144"/>
        <v>0</v>
      </c>
      <c r="S1073" s="10">
        <f t="shared" si="145"/>
        <v>0</v>
      </c>
      <c r="T1073" s="10" t="s">
        <v>178</v>
      </c>
      <c r="U1073" s="115">
        <v>0.35</v>
      </c>
      <c r="V1073" s="10">
        <f>VLOOKUP(D1073,A!B$1:T$1125,17,FALSE)</f>
        <v>0</v>
      </c>
      <c r="W1073" s="10">
        <f t="shared" si="146"/>
        <v>0</v>
      </c>
      <c r="X1073" s="29"/>
      <c r="Y1073" s="29"/>
      <c r="Z1073" s="29"/>
      <c r="AA1073" s="29"/>
    </row>
    <row r="1074" spans="1:27" s="3" customFormat="1" ht="13.5" hidden="1" customHeight="1" x14ac:dyDescent="0.25">
      <c r="A1074" t="str">
        <f>IF(R1074=0,"",COUNTIF(A$13:A1073,"&gt;0")+1)</f>
        <v/>
      </c>
      <c r="B1074" s="4"/>
      <c r="C1074" s="5" t="s">
        <v>44</v>
      </c>
      <c r="D1074" s="7" t="s">
        <v>729</v>
      </c>
      <c r="E1074" s="31"/>
      <c r="F1074" s="31"/>
      <c r="G1074" s="6" t="s">
        <v>49</v>
      </c>
      <c r="H1074" s="7">
        <f>VLOOKUP(D1074,A!B$1:L$1126,8,FALSE)</f>
        <v>0</v>
      </c>
      <c r="I1074" s="31">
        <f>VLOOKUP(D1074,A!B$1:L$1126,8,FALSE)</f>
        <v>0</v>
      </c>
      <c r="J1074" s="92"/>
      <c r="K1074" s="63" t="str">
        <f>VLOOKUP(D1074,A!B$1:P$1126,11,FALSE)</f>
        <v/>
      </c>
      <c r="L1074" s="162"/>
      <c r="M1074" s="43" t="s">
        <v>730</v>
      </c>
      <c r="N1074" s="94">
        <f>VLOOKUP(D1074,A!B$1:L$1125,7,FALSE)</f>
        <v>0</v>
      </c>
      <c r="O1074" s="94">
        <f>VLOOKUP(D1074,A!B$1:P$1126,9,FALSE)</f>
        <v>0</v>
      </c>
      <c r="P1074" s="10">
        <v>6</v>
      </c>
      <c r="Q1074" s="10">
        <v>5.2</v>
      </c>
      <c r="R1074" s="10">
        <f t="shared" si="144"/>
        <v>0</v>
      </c>
      <c r="S1074" s="10">
        <f t="shared" si="145"/>
        <v>0</v>
      </c>
      <c r="T1074" s="10" t="s">
        <v>178</v>
      </c>
      <c r="U1074" s="115">
        <v>0.35</v>
      </c>
      <c r="V1074" s="10">
        <f>VLOOKUP(D1074,A!B$1:T$1125,17,FALSE)</f>
        <v>0</v>
      </c>
      <c r="W1074" s="10">
        <f t="shared" si="146"/>
        <v>0</v>
      </c>
      <c r="X1074" s="29"/>
      <c r="Y1074" s="29"/>
      <c r="Z1074" s="29"/>
      <c r="AA1074" s="29"/>
    </row>
    <row r="1075" spans="1:27" s="3" customFormat="1" ht="13.5" hidden="1" customHeight="1" x14ac:dyDescent="0.25">
      <c r="A1075" t="str">
        <f>IF(R1075=0,"",COUNTIF(A$13:A1074,"&gt;0")+1)</f>
        <v/>
      </c>
      <c r="B1075" s="4"/>
      <c r="C1075" s="5" t="s">
        <v>44</v>
      </c>
      <c r="D1075" s="7" t="s">
        <v>731</v>
      </c>
      <c r="E1075" s="31"/>
      <c r="F1075" s="31"/>
      <c r="G1075" s="6" t="s">
        <v>49</v>
      </c>
      <c r="H1075" s="7">
        <f>VLOOKUP(D1075,A!B$1:L$1126,8,FALSE)</f>
        <v>0</v>
      </c>
      <c r="I1075" s="31">
        <f>VLOOKUP(D1075,A!B$1:L$1126,8,FALSE)</f>
        <v>0</v>
      </c>
      <c r="J1075" s="92"/>
      <c r="K1075" s="63" t="str">
        <f>VLOOKUP(D1075,A!B$1:P$1126,11,FALSE)</f>
        <v/>
      </c>
      <c r="L1075" s="162"/>
      <c r="M1075" s="43" t="s">
        <v>732</v>
      </c>
      <c r="N1075" s="94">
        <f>VLOOKUP(D1075,A!B$1:L$1125,7,FALSE)</f>
        <v>0</v>
      </c>
      <c r="O1075" s="94">
        <f>VLOOKUP(D1075,A!B$1:P$1126,9,FALSE)</f>
        <v>0</v>
      </c>
      <c r="P1075" s="10">
        <v>6</v>
      </c>
      <c r="Q1075" s="10">
        <v>5.2</v>
      </c>
      <c r="R1075" s="10">
        <f t="shared" si="144"/>
        <v>0</v>
      </c>
      <c r="S1075" s="10">
        <f t="shared" si="145"/>
        <v>0</v>
      </c>
      <c r="T1075" s="10" t="s">
        <v>178</v>
      </c>
      <c r="U1075" s="115">
        <v>0.35</v>
      </c>
      <c r="V1075" s="10">
        <f>VLOOKUP(D1075,A!B$1:T$1125,17,FALSE)</f>
        <v>0</v>
      </c>
      <c r="W1075" s="10">
        <f t="shared" si="146"/>
        <v>0</v>
      </c>
      <c r="X1075" s="29"/>
      <c r="Y1075" s="29"/>
      <c r="Z1075" s="29"/>
      <c r="AA1075" s="29"/>
    </row>
    <row r="1076" spans="1:27" s="3" customFormat="1" ht="13.5" hidden="1" customHeight="1" x14ac:dyDescent="0.25">
      <c r="A1076" t="str">
        <f>IF(R1076=0,"",COUNTIF(A$13:A1075,"&gt;0")+1)</f>
        <v/>
      </c>
      <c r="B1076" s="4"/>
      <c r="C1076" s="5" t="s">
        <v>44</v>
      </c>
      <c r="D1076" s="7" t="s">
        <v>733</v>
      </c>
      <c r="E1076" s="31"/>
      <c r="F1076" s="31"/>
      <c r="G1076" s="6" t="s">
        <v>49</v>
      </c>
      <c r="H1076" s="7">
        <f>VLOOKUP(D1076,A!B$1:L$1126,8,FALSE)</f>
        <v>0</v>
      </c>
      <c r="I1076" s="31">
        <f>VLOOKUP(D1076,A!B$1:L$1126,8,FALSE)</f>
        <v>0</v>
      </c>
      <c r="J1076" s="92"/>
      <c r="K1076" s="63" t="str">
        <f>VLOOKUP(D1076,A!B$1:P$1126,11,FALSE)</f>
        <v/>
      </c>
      <c r="L1076" s="162"/>
      <c r="M1076" s="43" t="s">
        <v>734</v>
      </c>
      <c r="N1076" s="94">
        <f>VLOOKUP(D1076,A!B$1:L$1125,7,FALSE)</f>
        <v>0</v>
      </c>
      <c r="O1076" s="94">
        <f>VLOOKUP(D1076,A!B$1:P$1126,9,FALSE)</f>
        <v>0</v>
      </c>
      <c r="P1076" s="10">
        <v>6</v>
      </c>
      <c r="Q1076" s="10">
        <v>5.2</v>
      </c>
      <c r="R1076" s="10">
        <f t="shared" ref="R1076:R1101" si="147">B1076*P1076</f>
        <v>0</v>
      </c>
      <c r="S1076" s="10">
        <f t="shared" ref="S1076:S1101" si="148">R1076*Q1076</f>
        <v>0</v>
      </c>
      <c r="T1076" s="10" t="s">
        <v>178</v>
      </c>
      <c r="U1076" s="115">
        <v>0.35</v>
      </c>
      <c r="V1076" s="10">
        <f>VLOOKUP(D1076,A!B$1:T$1125,17,FALSE)</f>
        <v>0</v>
      </c>
      <c r="W1076" s="10">
        <f t="shared" ref="W1076:W1101" si="149">U1076*B1076</f>
        <v>0</v>
      </c>
      <c r="X1076" s="29"/>
      <c r="Y1076" s="29"/>
      <c r="Z1076" s="29"/>
      <c r="AA1076" s="29"/>
    </row>
    <row r="1077" spans="1:27" s="3" customFormat="1" ht="13.5" hidden="1" customHeight="1" x14ac:dyDescent="0.25">
      <c r="A1077" t="str">
        <f>IF(R1077=0,"",COUNTIF(A$13:A1076,"&gt;0")+1)</f>
        <v/>
      </c>
      <c r="B1077" s="4"/>
      <c r="C1077" s="5" t="s">
        <v>44</v>
      </c>
      <c r="D1077" s="7" t="s">
        <v>735</v>
      </c>
      <c r="E1077" s="31"/>
      <c r="F1077" s="31"/>
      <c r="G1077" s="6" t="s">
        <v>49</v>
      </c>
      <c r="H1077" s="7">
        <f>VLOOKUP(D1077,A!B$1:L$1126,8,FALSE)</f>
        <v>0</v>
      </c>
      <c r="I1077" s="31">
        <f>VLOOKUP(D1077,A!B$1:L$1126,8,FALSE)</f>
        <v>0</v>
      </c>
      <c r="J1077" s="92"/>
      <c r="K1077" s="63" t="str">
        <f>VLOOKUP(D1077,A!B$1:P$1126,11,FALSE)</f>
        <v/>
      </c>
      <c r="L1077" s="162"/>
      <c r="M1077" s="43" t="s">
        <v>736</v>
      </c>
      <c r="N1077" s="94">
        <f>VLOOKUP(D1077,A!B$1:L$1125,7,FALSE)</f>
        <v>0</v>
      </c>
      <c r="O1077" s="94">
        <f>VLOOKUP(D1077,A!B$1:P$1126,9,FALSE)</f>
        <v>0</v>
      </c>
      <c r="P1077" s="10">
        <v>6</v>
      </c>
      <c r="Q1077" s="10">
        <v>5.2</v>
      </c>
      <c r="R1077" s="10">
        <f t="shared" si="147"/>
        <v>0</v>
      </c>
      <c r="S1077" s="10">
        <f t="shared" si="148"/>
        <v>0</v>
      </c>
      <c r="T1077" s="10" t="s">
        <v>178</v>
      </c>
      <c r="U1077" s="115">
        <v>0.35</v>
      </c>
      <c r="V1077" s="10">
        <f>VLOOKUP(D1077,A!B$1:T$1125,17,FALSE)</f>
        <v>0</v>
      </c>
      <c r="W1077" s="10">
        <f t="shared" si="149"/>
        <v>0</v>
      </c>
      <c r="X1077" s="29"/>
      <c r="Y1077" s="29"/>
      <c r="Z1077" s="29"/>
      <c r="AA1077" s="29"/>
    </row>
    <row r="1078" spans="1:27" s="3" customFormat="1" ht="13.5" hidden="1" customHeight="1" x14ac:dyDescent="0.25">
      <c r="A1078" t="str">
        <f>IF(R1078=0,"",COUNTIF(A$13:A1077,"&gt;0")+1)</f>
        <v/>
      </c>
      <c r="B1078" s="4"/>
      <c r="C1078" s="5" t="s">
        <v>44</v>
      </c>
      <c r="D1078" s="7" t="s">
        <v>737</v>
      </c>
      <c r="E1078" s="31"/>
      <c r="F1078" s="31"/>
      <c r="G1078" s="6" t="s">
        <v>49</v>
      </c>
      <c r="H1078" s="7">
        <f>VLOOKUP(D1078,A!B$1:L$1126,8,FALSE)</f>
        <v>0</v>
      </c>
      <c r="I1078" s="31">
        <f>VLOOKUP(D1078,A!B$1:L$1126,8,FALSE)</f>
        <v>0</v>
      </c>
      <c r="J1078" s="92"/>
      <c r="K1078" s="63" t="str">
        <f>VLOOKUP(D1078,A!B$1:P$1126,11,FALSE)</f>
        <v/>
      </c>
      <c r="L1078" s="162"/>
      <c r="M1078" s="43" t="s">
        <v>738</v>
      </c>
      <c r="N1078" s="94">
        <f>VLOOKUP(D1078,A!B$1:L$1125,7,FALSE)</f>
        <v>0</v>
      </c>
      <c r="O1078" s="94">
        <f>VLOOKUP(D1078,A!B$1:P$1126,9,FALSE)</f>
        <v>0</v>
      </c>
      <c r="P1078" s="10">
        <v>6</v>
      </c>
      <c r="Q1078" s="10">
        <v>5.2</v>
      </c>
      <c r="R1078" s="10">
        <f t="shared" si="147"/>
        <v>0</v>
      </c>
      <c r="S1078" s="10">
        <f t="shared" si="148"/>
        <v>0</v>
      </c>
      <c r="T1078" s="10" t="s">
        <v>178</v>
      </c>
      <c r="U1078" s="115">
        <v>0.35</v>
      </c>
      <c r="V1078" s="10">
        <f>VLOOKUP(D1078,A!B$1:T$1125,17,FALSE)</f>
        <v>0</v>
      </c>
      <c r="W1078" s="10">
        <f t="shared" si="149"/>
        <v>0</v>
      </c>
      <c r="X1078" s="29"/>
      <c r="Y1078" s="29"/>
      <c r="Z1078" s="29"/>
      <c r="AA1078" s="29"/>
    </row>
    <row r="1079" spans="1:27" s="3" customFormat="1" ht="13.5" hidden="1" customHeight="1" x14ac:dyDescent="0.25">
      <c r="A1079" t="str">
        <f>IF(R1079=0,"",COUNTIF(A$13:A1078,"&gt;0")+1)</f>
        <v/>
      </c>
      <c r="B1079" s="4"/>
      <c r="C1079" s="5" t="s">
        <v>44</v>
      </c>
      <c r="D1079" s="7" t="s">
        <v>739</v>
      </c>
      <c r="E1079" s="31"/>
      <c r="F1079" s="31"/>
      <c r="G1079" s="6" t="s">
        <v>49</v>
      </c>
      <c r="H1079" s="7">
        <f>VLOOKUP(D1079,A!B$1:L$1126,8,FALSE)</f>
        <v>0</v>
      </c>
      <c r="I1079" s="31">
        <f>VLOOKUP(D1079,A!B$1:L$1126,8,FALSE)</f>
        <v>0</v>
      </c>
      <c r="J1079" s="92"/>
      <c r="K1079" s="63" t="str">
        <f>VLOOKUP(D1079,A!B$1:P$1126,11,FALSE)</f>
        <v/>
      </c>
      <c r="L1079" s="162"/>
      <c r="M1079" s="43" t="s">
        <v>740</v>
      </c>
      <c r="N1079" s="94">
        <f>VLOOKUP(D1079,A!B$1:L$1125,7,FALSE)</f>
        <v>0</v>
      </c>
      <c r="O1079" s="94">
        <f>VLOOKUP(D1079,A!B$1:P$1126,9,FALSE)</f>
        <v>0</v>
      </c>
      <c r="P1079" s="10">
        <v>6</v>
      </c>
      <c r="Q1079" s="10">
        <v>5.2</v>
      </c>
      <c r="R1079" s="10">
        <f t="shared" si="147"/>
        <v>0</v>
      </c>
      <c r="S1079" s="10">
        <f t="shared" si="148"/>
        <v>0</v>
      </c>
      <c r="T1079" s="10" t="s">
        <v>178</v>
      </c>
      <c r="U1079" s="115">
        <v>0.35</v>
      </c>
      <c r="V1079" s="10">
        <f>VLOOKUP(D1079,A!B$1:T$1125,17,FALSE)</f>
        <v>0</v>
      </c>
      <c r="W1079" s="10">
        <f t="shared" si="149"/>
        <v>0</v>
      </c>
      <c r="X1079" s="29"/>
      <c r="Y1079" s="29"/>
      <c r="Z1079" s="29"/>
      <c r="AA1079" s="29"/>
    </row>
    <row r="1080" spans="1:27" s="3" customFormat="1" ht="13.5" hidden="1" customHeight="1" x14ac:dyDescent="0.25">
      <c r="A1080" t="str">
        <f>IF(R1080=0,"",COUNTIF(A$13:A1079,"&gt;0")+1)</f>
        <v/>
      </c>
      <c r="B1080" s="4"/>
      <c r="C1080" s="5" t="s">
        <v>44</v>
      </c>
      <c r="D1080" s="7" t="s">
        <v>186</v>
      </c>
      <c r="E1080" s="31"/>
      <c r="F1080" s="31"/>
      <c r="G1080" s="6" t="s">
        <v>49</v>
      </c>
      <c r="H1080" s="7">
        <f>VLOOKUP(D1080,A!B$1:L$1126,8,FALSE)</f>
        <v>0</v>
      </c>
      <c r="I1080" s="31">
        <f>VLOOKUP(D1080,A!B$1:L$1126,8,FALSE)</f>
        <v>0</v>
      </c>
      <c r="J1080" s="92"/>
      <c r="K1080" s="63" t="str">
        <f>VLOOKUP(D1080,A!B$1:P$1126,11,FALSE)</f>
        <v/>
      </c>
      <c r="L1080" s="2"/>
      <c r="M1080" s="43" t="s">
        <v>187</v>
      </c>
      <c r="N1080" s="94">
        <f>VLOOKUP(D1080,A!B$1:L$1125,7,FALSE)</f>
        <v>0</v>
      </c>
      <c r="O1080" s="94">
        <f>VLOOKUP(D1080,A!B$1:P$1126,9,FALSE)</f>
        <v>0</v>
      </c>
      <c r="P1080" s="10">
        <v>6</v>
      </c>
      <c r="Q1080" s="10">
        <v>5.2</v>
      </c>
      <c r="R1080" s="10">
        <f t="shared" si="147"/>
        <v>0</v>
      </c>
      <c r="S1080" s="10">
        <f t="shared" si="148"/>
        <v>0</v>
      </c>
      <c r="T1080" s="10" t="s">
        <v>178</v>
      </c>
      <c r="U1080" s="115">
        <v>0.35</v>
      </c>
      <c r="V1080" s="10">
        <f>VLOOKUP(D1080,A!B$1:T$1125,17,FALSE)</f>
        <v>0</v>
      </c>
      <c r="W1080" s="10">
        <f t="shared" si="149"/>
        <v>0</v>
      </c>
      <c r="X1080" s="10"/>
      <c r="Y1080" s="29"/>
      <c r="Z1080" s="29"/>
      <c r="AA1080" s="29"/>
    </row>
    <row r="1081" spans="1:27" s="3" customFormat="1" ht="13.5" hidden="1" customHeight="1" x14ac:dyDescent="0.25">
      <c r="A1081" t="str">
        <f>IF(R1081=0,"",COUNTIF(A$13:A1080,"&gt;0")+1)</f>
        <v/>
      </c>
      <c r="B1081" s="4"/>
      <c r="C1081" s="5" t="s">
        <v>44</v>
      </c>
      <c r="D1081" s="22" t="s">
        <v>160</v>
      </c>
      <c r="E1081" s="89"/>
      <c r="F1081" s="89"/>
      <c r="G1081" s="25" t="s">
        <v>49</v>
      </c>
      <c r="H1081" s="7">
        <f>VLOOKUP(D1081,A!B$1:L$1126,8,FALSE)</f>
        <v>0</v>
      </c>
      <c r="I1081" s="31">
        <f>VLOOKUP(D1081,A!B$1:L$1126,8,FALSE)</f>
        <v>0</v>
      </c>
      <c r="J1081" s="92"/>
      <c r="K1081" s="63" t="str">
        <f>VLOOKUP(D1081,A!B$1:P$1126,11,FALSE)</f>
        <v/>
      </c>
      <c r="L1081" s="2"/>
      <c r="M1081" s="44" t="s">
        <v>1794</v>
      </c>
      <c r="N1081" s="94">
        <f>VLOOKUP(D1081,A!B$1:L$1125,7,FALSE)</f>
        <v>0</v>
      </c>
      <c r="O1081" s="94">
        <f>VLOOKUP(D1081,A!B$1:P$1126,9,FALSE)</f>
        <v>0</v>
      </c>
      <c r="P1081" s="10">
        <v>6</v>
      </c>
      <c r="Q1081" s="10">
        <v>5.2</v>
      </c>
      <c r="R1081" s="10">
        <f t="shared" si="147"/>
        <v>0</v>
      </c>
      <c r="S1081" s="10">
        <f t="shared" si="148"/>
        <v>0</v>
      </c>
      <c r="T1081" s="10" t="s">
        <v>178</v>
      </c>
      <c r="U1081" s="115">
        <v>0.35</v>
      </c>
      <c r="V1081" s="10">
        <f>VLOOKUP(D1081,A!B$1:T$1125,17,FALSE)</f>
        <v>0</v>
      </c>
      <c r="W1081" s="10">
        <f t="shared" si="149"/>
        <v>0</v>
      </c>
      <c r="X1081" s="10"/>
      <c r="Y1081" s="29"/>
      <c r="Z1081" s="29"/>
      <c r="AA1081" s="29"/>
    </row>
    <row r="1082" spans="1:27" s="3" customFormat="1" ht="13.5" hidden="1" customHeight="1" x14ac:dyDescent="0.25">
      <c r="A1082" t="str">
        <f>IF(R1082=0,"",COUNTIF(A$13:A1081,"&gt;0")+1)</f>
        <v/>
      </c>
      <c r="B1082" s="4"/>
      <c r="C1082" s="5" t="s">
        <v>44</v>
      </c>
      <c r="D1082" s="7" t="s">
        <v>741</v>
      </c>
      <c r="E1082" s="31"/>
      <c r="F1082" s="31"/>
      <c r="G1082" s="6" t="s">
        <v>49</v>
      </c>
      <c r="H1082" s="7">
        <f>VLOOKUP(D1082,A!B$1:L$1126,8,FALSE)</f>
        <v>0</v>
      </c>
      <c r="I1082" s="31">
        <f>VLOOKUP(D1082,A!B$1:L$1126,8,FALSE)</f>
        <v>0</v>
      </c>
      <c r="J1082" s="92"/>
      <c r="K1082" s="63" t="str">
        <f>VLOOKUP(D1082,A!B$1:P$1126,11,FALSE)</f>
        <v/>
      </c>
      <c r="L1082" s="162"/>
      <c r="M1082" s="43" t="s">
        <v>742</v>
      </c>
      <c r="N1082" s="94">
        <f>VLOOKUP(D1082,A!B$1:L$1125,7,FALSE)</f>
        <v>0</v>
      </c>
      <c r="O1082" s="94">
        <f>VLOOKUP(D1082,A!B$1:P$1126,9,FALSE)</f>
        <v>0</v>
      </c>
      <c r="P1082" s="10">
        <v>6</v>
      </c>
      <c r="Q1082" s="10">
        <v>5.2</v>
      </c>
      <c r="R1082" s="10">
        <f t="shared" si="147"/>
        <v>0</v>
      </c>
      <c r="S1082" s="10">
        <f t="shared" si="148"/>
        <v>0</v>
      </c>
      <c r="T1082" s="10" t="s">
        <v>178</v>
      </c>
      <c r="U1082" s="115">
        <v>0.35</v>
      </c>
      <c r="V1082" s="10">
        <f>VLOOKUP(D1082,A!B$1:T$1125,17,FALSE)</f>
        <v>0</v>
      </c>
      <c r="W1082" s="10">
        <f t="shared" si="149"/>
        <v>0</v>
      </c>
      <c r="X1082" s="29"/>
      <c r="Y1082" s="29"/>
      <c r="Z1082" s="29"/>
      <c r="AA1082" s="29"/>
    </row>
    <row r="1083" spans="1:27" s="3" customFormat="1" ht="13.5" hidden="1" customHeight="1" x14ac:dyDescent="0.25">
      <c r="A1083" t="str">
        <f>IF(R1083=0,"",COUNTIF(A$13:A1082,"&gt;0")+1)</f>
        <v/>
      </c>
      <c r="B1083" s="4"/>
      <c r="C1083" s="5" t="s">
        <v>44</v>
      </c>
      <c r="D1083" s="22" t="s">
        <v>743</v>
      </c>
      <c r="E1083" s="89"/>
      <c r="F1083" s="89"/>
      <c r="G1083" s="25" t="s">
        <v>49</v>
      </c>
      <c r="H1083" s="7">
        <f>VLOOKUP(D1083,A!B$1:L$1126,8,FALSE)</f>
        <v>0</v>
      </c>
      <c r="I1083" s="31">
        <f>VLOOKUP(D1083,A!B$1:L$1126,8,FALSE)</f>
        <v>0</v>
      </c>
      <c r="J1083" s="92"/>
      <c r="K1083" s="63" t="str">
        <f>VLOOKUP(D1083,A!B$1:P$1126,11,FALSE)</f>
        <v/>
      </c>
      <c r="L1083" s="162"/>
      <c r="M1083" s="44" t="s">
        <v>744</v>
      </c>
      <c r="N1083" s="94">
        <f>VLOOKUP(D1083,A!B$1:L$1125,7,FALSE)</f>
        <v>0</v>
      </c>
      <c r="O1083" s="94">
        <f>VLOOKUP(D1083,A!B$1:P$1126,9,FALSE)</f>
        <v>0</v>
      </c>
      <c r="P1083" s="10">
        <v>6</v>
      </c>
      <c r="Q1083" s="10">
        <v>5.2</v>
      </c>
      <c r="R1083" s="10">
        <f t="shared" si="147"/>
        <v>0</v>
      </c>
      <c r="S1083" s="10">
        <f t="shared" si="148"/>
        <v>0</v>
      </c>
      <c r="T1083" s="10" t="s">
        <v>178</v>
      </c>
      <c r="U1083" s="115">
        <v>0.35</v>
      </c>
      <c r="V1083" s="10">
        <f>VLOOKUP(D1083,A!B$1:T$1125,17,FALSE)</f>
        <v>0</v>
      </c>
      <c r="W1083" s="10">
        <f t="shared" si="149"/>
        <v>0</v>
      </c>
      <c r="X1083" s="29"/>
      <c r="Y1083" s="29"/>
      <c r="Z1083" s="29"/>
      <c r="AA1083" s="29"/>
    </row>
    <row r="1084" spans="1:27" s="3" customFormat="1" ht="13.5" hidden="1" customHeight="1" x14ac:dyDescent="0.25">
      <c r="A1084" t="str">
        <f>IF(R1084=0,"",COUNTIF(A$13:A1083,"&gt;0")+1)</f>
        <v/>
      </c>
      <c r="B1084" s="4"/>
      <c r="C1084" s="5" t="s">
        <v>44</v>
      </c>
      <c r="D1084" s="7" t="s">
        <v>745</v>
      </c>
      <c r="E1084" s="31"/>
      <c r="F1084" s="31"/>
      <c r="G1084" s="6" t="s">
        <v>49</v>
      </c>
      <c r="H1084" s="7">
        <f>VLOOKUP(D1084,A!B$1:L$1126,8,FALSE)</f>
        <v>0</v>
      </c>
      <c r="I1084" s="31">
        <f>VLOOKUP(D1084,A!B$1:L$1126,8,FALSE)</f>
        <v>0</v>
      </c>
      <c r="J1084" s="92"/>
      <c r="K1084" s="63" t="str">
        <f>VLOOKUP(D1084,A!B$1:P$1126,11,FALSE)</f>
        <v/>
      </c>
      <c r="L1084" s="162"/>
      <c r="M1084" s="43" t="s">
        <v>746</v>
      </c>
      <c r="N1084" s="94">
        <f>VLOOKUP(D1084,A!B$1:L$1125,7,FALSE)</f>
        <v>0</v>
      </c>
      <c r="O1084" s="94">
        <f>VLOOKUP(D1084,A!B$1:P$1126,9,FALSE)</f>
        <v>0</v>
      </c>
      <c r="P1084" s="10">
        <v>6</v>
      </c>
      <c r="Q1084" s="10">
        <v>5.2</v>
      </c>
      <c r="R1084" s="10">
        <f t="shared" si="147"/>
        <v>0</v>
      </c>
      <c r="S1084" s="10">
        <f t="shared" si="148"/>
        <v>0</v>
      </c>
      <c r="T1084" s="10" t="s">
        <v>178</v>
      </c>
      <c r="U1084" s="115">
        <v>0.35</v>
      </c>
      <c r="V1084" s="10">
        <f>VLOOKUP(D1084,A!B$1:T$1125,17,FALSE)</f>
        <v>0</v>
      </c>
      <c r="W1084" s="10">
        <f t="shared" si="149"/>
        <v>0</v>
      </c>
      <c r="X1084" s="29"/>
      <c r="Y1084" s="29"/>
      <c r="Z1084" s="29"/>
      <c r="AA1084" s="29"/>
    </row>
    <row r="1085" spans="1:27" s="3" customFormat="1" ht="13.5" hidden="1" customHeight="1" x14ac:dyDescent="0.25">
      <c r="A1085" t="str">
        <f>IF(R1085=0,"",COUNTIF(A$13:A1084,"&gt;0")+1)</f>
        <v/>
      </c>
      <c r="B1085" s="4"/>
      <c r="C1085" s="5" t="s">
        <v>44</v>
      </c>
      <c r="D1085" s="7" t="s">
        <v>292</v>
      </c>
      <c r="E1085" s="31"/>
      <c r="F1085" s="31"/>
      <c r="G1085" s="6" t="s">
        <v>49</v>
      </c>
      <c r="H1085" s="7">
        <f>VLOOKUP(D1085,A!B$1:L$1126,8,FALSE)</f>
        <v>0</v>
      </c>
      <c r="I1085" s="31">
        <f>VLOOKUP(D1085,A!B$1:L$1126,8,FALSE)</f>
        <v>0</v>
      </c>
      <c r="J1085" s="92"/>
      <c r="K1085" s="63" t="str">
        <f>VLOOKUP(D1085,A!B$1:P$1126,11,FALSE)</f>
        <v/>
      </c>
      <c r="L1085" s="162"/>
      <c r="M1085" s="43" t="s">
        <v>293</v>
      </c>
      <c r="N1085" s="94">
        <f>VLOOKUP(D1085,A!B$1:L$1125,7,FALSE)</f>
        <v>0</v>
      </c>
      <c r="O1085" s="94">
        <f>VLOOKUP(D1085,A!B$1:P$1126,9,FALSE)</f>
        <v>0</v>
      </c>
      <c r="P1085" s="10">
        <v>6</v>
      </c>
      <c r="Q1085" s="10">
        <v>5.2</v>
      </c>
      <c r="R1085" s="10">
        <f t="shared" si="147"/>
        <v>0</v>
      </c>
      <c r="S1085" s="10">
        <f t="shared" si="148"/>
        <v>0</v>
      </c>
      <c r="T1085" s="10" t="s">
        <v>178</v>
      </c>
      <c r="U1085" s="115">
        <v>0.35</v>
      </c>
      <c r="V1085" s="10">
        <f>VLOOKUP(D1085,A!B$1:T$1125,17,FALSE)</f>
        <v>0</v>
      </c>
      <c r="W1085" s="10">
        <f t="shared" si="149"/>
        <v>0</v>
      </c>
      <c r="X1085" s="29"/>
      <c r="Y1085" s="29"/>
      <c r="Z1085" s="29"/>
      <c r="AA1085" s="29"/>
    </row>
    <row r="1086" spans="1:27" s="3" customFormat="1" ht="13.5" hidden="1" customHeight="1" x14ac:dyDescent="0.25">
      <c r="A1086" t="str">
        <f>IF(R1086=0,"",COUNTIF(A$13:A1085,"&gt;0")+1)</f>
        <v/>
      </c>
      <c r="B1086" s="4"/>
      <c r="C1086" s="5" t="s">
        <v>44</v>
      </c>
      <c r="D1086" s="22" t="s">
        <v>747</v>
      </c>
      <c r="E1086" s="89"/>
      <c r="F1086" s="89"/>
      <c r="G1086" s="25" t="s">
        <v>49</v>
      </c>
      <c r="H1086" s="7">
        <f>VLOOKUP(D1086,A!B$1:L$1126,8,FALSE)</f>
        <v>0</v>
      </c>
      <c r="I1086" s="31">
        <f>VLOOKUP(D1086,A!B$1:L$1126,8,FALSE)</f>
        <v>0</v>
      </c>
      <c r="J1086" s="92"/>
      <c r="K1086" s="63" t="str">
        <f>VLOOKUP(D1086,A!B$1:P$1126,11,FALSE)</f>
        <v/>
      </c>
      <c r="L1086" s="162"/>
      <c r="M1086" s="44" t="s">
        <v>748</v>
      </c>
      <c r="N1086" s="94">
        <f>VLOOKUP(D1086,A!B$1:L$1125,7,FALSE)</f>
        <v>0</v>
      </c>
      <c r="O1086" s="94">
        <f>VLOOKUP(D1086,A!B$1:P$1126,9,FALSE)</f>
        <v>0</v>
      </c>
      <c r="P1086" s="10">
        <v>6</v>
      </c>
      <c r="Q1086" s="10">
        <v>5.2</v>
      </c>
      <c r="R1086" s="10">
        <f t="shared" si="147"/>
        <v>0</v>
      </c>
      <c r="S1086" s="10">
        <f t="shared" si="148"/>
        <v>0</v>
      </c>
      <c r="T1086" s="10" t="s">
        <v>178</v>
      </c>
      <c r="U1086" s="115">
        <v>0.35</v>
      </c>
      <c r="V1086" s="10">
        <f>VLOOKUP(D1086,A!B$1:T$1125,17,FALSE)</f>
        <v>0</v>
      </c>
      <c r="W1086" s="10">
        <f t="shared" si="149"/>
        <v>0</v>
      </c>
      <c r="X1086" s="29"/>
      <c r="Y1086" s="29"/>
      <c r="Z1086" s="29"/>
      <c r="AA1086" s="29"/>
    </row>
    <row r="1087" spans="1:27" s="3" customFormat="1" ht="13.5" hidden="1" customHeight="1" x14ac:dyDescent="0.25">
      <c r="A1087" t="str">
        <f>IF(R1087=0,"",COUNTIF(A$13:A1086,"&gt;0")+1)</f>
        <v/>
      </c>
      <c r="B1087" s="4"/>
      <c r="C1087" s="5" t="s">
        <v>44</v>
      </c>
      <c r="D1087" s="7" t="s">
        <v>749</v>
      </c>
      <c r="E1087" s="31"/>
      <c r="F1087" s="31"/>
      <c r="G1087" s="6" t="s">
        <v>49</v>
      </c>
      <c r="H1087" s="7">
        <f>VLOOKUP(D1087,A!B$1:L$1126,8,FALSE)</f>
        <v>0</v>
      </c>
      <c r="I1087" s="31">
        <f>VLOOKUP(D1087,A!B$1:L$1126,8,FALSE)</f>
        <v>0</v>
      </c>
      <c r="J1087" s="92"/>
      <c r="K1087" s="63" t="str">
        <f>VLOOKUP(D1087,A!B$1:P$1126,11,FALSE)</f>
        <v/>
      </c>
      <c r="L1087" s="162"/>
      <c r="M1087" s="43" t="s">
        <v>750</v>
      </c>
      <c r="N1087" s="94">
        <f>VLOOKUP(D1087,A!B$1:L$1125,7,FALSE)</f>
        <v>0</v>
      </c>
      <c r="O1087" s="94">
        <f>VLOOKUP(D1087,A!B$1:P$1126,9,FALSE)</f>
        <v>0</v>
      </c>
      <c r="P1087" s="10">
        <v>6</v>
      </c>
      <c r="Q1087" s="10">
        <v>5.2</v>
      </c>
      <c r="R1087" s="10">
        <f t="shared" si="147"/>
        <v>0</v>
      </c>
      <c r="S1087" s="10">
        <f t="shared" si="148"/>
        <v>0</v>
      </c>
      <c r="T1087" s="10" t="s">
        <v>178</v>
      </c>
      <c r="U1087" s="115">
        <v>0.35</v>
      </c>
      <c r="V1087" s="10">
        <f>VLOOKUP(D1087,A!B$1:T$1125,17,FALSE)</f>
        <v>0</v>
      </c>
      <c r="W1087" s="10">
        <f t="shared" si="149"/>
        <v>0</v>
      </c>
      <c r="X1087" s="29"/>
      <c r="Y1087" s="29"/>
      <c r="Z1087" s="29"/>
      <c r="AA1087" s="29"/>
    </row>
    <row r="1088" spans="1:27" s="3" customFormat="1" ht="13.5" hidden="1" customHeight="1" x14ac:dyDescent="0.25">
      <c r="A1088" t="str">
        <f>IF(R1088=0,"",COUNTIF(A$13:A1087,"&gt;0")+1)</f>
        <v/>
      </c>
      <c r="B1088" s="4"/>
      <c r="C1088" s="5" t="s">
        <v>44</v>
      </c>
      <c r="D1088" s="7" t="s">
        <v>751</v>
      </c>
      <c r="E1088" s="31"/>
      <c r="F1088" s="31"/>
      <c r="G1088" s="6" t="s">
        <v>49</v>
      </c>
      <c r="H1088" s="7">
        <f>VLOOKUP(D1088,A!B$1:L$1126,8,FALSE)</f>
        <v>0</v>
      </c>
      <c r="I1088" s="31">
        <f>VLOOKUP(D1088,A!B$1:L$1126,8,FALSE)</f>
        <v>0</v>
      </c>
      <c r="J1088" s="92"/>
      <c r="K1088" s="63" t="str">
        <f>VLOOKUP(D1088,A!B$1:P$1126,11,FALSE)</f>
        <v/>
      </c>
      <c r="L1088" s="162"/>
      <c r="M1088" s="174" t="s">
        <v>752</v>
      </c>
      <c r="N1088" s="94">
        <f>VLOOKUP(D1088,A!B$1:L$1125,7,FALSE)</f>
        <v>0</v>
      </c>
      <c r="O1088" s="94">
        <f>VLOOKUP(D1088,A!B$1:P$1126,9,FALSE)</f>
        <v>0</v>
      </c>
      <c r="P1088" s="10">
        <v>6</v>
      </c>
      <c r="Q1088" s="10">
        <v>5.2</v>
      </c>
      <c r="R1088" s="10">
        <f t="shared" si="147"/>
        <v>0</v>
      </c>
      <c r="S1088" s="10">
        <f t="shared" si="148"/>
        <v>0</v>
      </c>
      <c r="T1088" s="10" t="s">
        <v>178</v>
      </c>
      <c r="U1088" s="115">
        <v>0.35</v>
      </c>
      <c r="V1088" s="10">
        <f>VLOOKUP(D1088,A!B$1:T$1125,17,FALSE)</f>
        <v>0</v>
      </c>
      <c r="W1088" s="10">
        <f t="shared" si="149"/>
        <v>0</v>
      </c>
      <c r="X1088" s="29"/>
      <c r="Y1088" s="29"/>
      <c r="Z1088" s="29"/>
      <c r="AA1088" s="29"/>
    </row>
    <row r="1089" spans="1:67" s="3" customFormat="1" ht="13.5" hidden="1" customHeight="1" x14ac:dyDescent="0.25">
      <c r="A1089" t="str">
        <f>IF(R1089=0,"",COUNTIF(A$13:A1088,"&gt;0")+1)</f>
        <v/>
      </c>
      <c r="B1089" s="4"/>
      <c r="C1089" s="5" t="s">
        <v>44</v>
      </c>
      <c r="D1089" s="7" t="s">
        <v>753</v>
      </c>
      <c r="E1089" s="31"/>
      <c r="F1089" s="31"/>
      <c r="G1089" s="25" t="s">
        <v>49</v>
      </c>
      <c r="H1089" s="7">
        <f>VLOOKUP(D1089,A!B$1:L$1126,8,FALSE)</f>
        <v>0</v>
      </c>
      <c r="I1089" s="31">
        <f>VLOOKUP(D1089,A!B$1:L$1126,8,FALSE)</f>
        <v>0</v>
      </c>
      <c r="J1089" s="92"/>
      <c r="K1089" s="63" t="str">
        <f>VLOOKUP(D1089,A!B$1:P$1126,11,FALSE)</f>
        <v/>
      </c>
      <c r="L1089" s="162"/>
      <c r="M1089" s="43" t="s">
        <v>754</v>
      </c>
      <c r="N1089" s="94">
        <f>VLOOKUP(D1089,A!B$1:L$1125,7,FALSE)</f>
        <v>0</v>
      </c>
      <c r="O1089" s="94">
        <f>VLOOKUP(D1089,A!B$1:P$1126,9,FALSE)</f>
        <v>0</v>
      </c>
      <c r="P1089" s="10">
        <v>6</v>
      </c>
      <c r="Q1089" s="10">
        <v>5.2</v>
      </c>
      <c r="R1089" s="10">
        <f t="shared" si="147"/>
        <v>0</v>
      </c>
      <c r="S1089" s="10">
        <f t="shared" si="148"/>
        <v>0</v>
      </c>
      <c r="T1089" s="10" t="s">
        <v>178</v>
      </c>
      <c r="U1089" s="115">
        <v>0.35</v>
      </c>
      <c r="V1089" s="10">
        <f>VLOOKUP(D1089,A!B$1:T$1125,17,FALSE)</f>
        <v>0</v>
      </c>
      <c r="W1089" s="10">
        <f t="shared" si="149"/>
        <v>0</v>
      </c>
      <c r="X1089" s="29"/>
      <c r="Y1089" s="29"/>
      <c r="Z1089" s="29"/>
      <c r="AA1089" s="29"/>
    </row>
    <row r="1090" spans="1:67" s="3" customFormat="1" ht="13.5" hidden="1" customHeight="1" x14ac:dyDescent="0.25">
      <c r="A1090" t="str">
        <f>IF(R1090=0,"",COUNTIF(A$13:A1089,"&gt;0")+1)</f>
        <v/>
      </c>
      <c r="B1090" s="4"/>
      <c r="C1090" s="5" t="s">
        <v>44</v>
      </c>
      <c r="D1090" s="7" t="s">
        <v>755</v>
      </c>
      <c r="E1090" s="31"/>
      <c r="F1090" s="31"/>
      <c r="G1090" s="25" t="s">
        <v>49</v>
      </c>
      <c r="H1090" s="7">
        <f>VLOOKUP(D1090,A!B$1:L$1126,8,FALSE)</f>
        <v>0</v>
      </c>
      <c r="I1090" s="31">
        <f>VLOOKUP(D1090,A!B$1:L$1126,8,FALSE)</f>
        <v>0</v>
      </c>
      <c r="J1090" s="92"/>
      <c r="K1090" s="63" t="str">
        <f>VLOOKUP(D1090,A!B$1:P$1126,11,FALSE)</f>
        <v/>
      </c>
      <c r="L1090" s="162"/>
      <c r="M1090" s="43" t="s">
        <v>756</v>
      </c>
      <c r="N1090" s="94">
        <f>VLOOKUP(D1090,A!B$1:L$1125,7,FALSE)</f>
        <v>0</v>
      </c>
      <c r="O1090" s="94">
        <f>VLOOKUP(D1090,A!B$1:P$1126,9,FALSE)</f>
        <v>0</v>
      </c>
      <c r="P1090" s="10">
        <v>6</v>
      </c>
      <c r="Q1090" s="10">
        <v>5.2</v>
      </c>
      <c r="R1090" s="10">
        <f t="shared" si="147"/>
        <v>0</v>
      </c>
      <c r="S1090" s="10">
        <f t="shared" si="148"/>
        <v>0</v>
      </c>
      <c r="T1090" s="10" t="s">
        <v>178</v>
      </c>
      <c r="U1090" s="115">
        <v>0.35</v>
      </c>
      <c r="V1090" s="10">
        <f>VLOOKUP(D1090,A!B$1:T$1125,17,FALSE)</f>
        <v>0</v>
      </c>
      <c r="W1090" s="10">
        <f t="shared" si="149"/>
        <v>0</v>
      </c>
      <c r="X1090" s="29"/>
      <c r="Y1090" s="29"/>
      <c r="Z1090" s="29"/>
      <c r="AA1090" s="29"/>
    </row>
    <row r="1091" spans="1:67" s="3" customFormat="1" ht="13.5" hidden="1" customHeight="1" x14ac:dyDescent="0.25">
      <c r="A1091" t="str">
        <f>IF(R1091=0,"",COUNTIF(A$13:A1090,"&gt;0")+1)</f>
        <v/>
      </c>
      <c r="B1091" s="4"/>
      <c r="C1091" s="5" t="s">
        <v>44</v>
      </c>
      <c r="D1091" s="7" t="s">
        <v>757</v>
      </c>
      <c r="E1091" s="31"/>
      <c r="F1091" s="31"/>
      <c r="G1091" s="25" t="s">
        <v>49</v>
      </c>
      <c r="H1091" s="7">
        <f>VLOOKUP(D1091,A!B$1:L$1126,8,FALSE)</f>
        <v>0</v>
      </c>
      <c r="I1091" s="31">
        <f>VLOOKUP(D1091,A!B$1:L$1126,8,FALSE)</f>
        <v>0</v>
      </c>
      <c r="J1091" s="92"/>
      <c r="K1091" s="63" t="str">
        <f>VLOOKUP(D1091,A!B$1:P$1126,11,FALSE)</f>
        <v/>
      </c>
      <c r="L1091" s="162"/>
      <c r="M1091" s="43" t="s">
        <v>758</v>
      </c>
      <c r="N1091" s="94">
        <f>VLOOKUP(D1091,A!B$1:L$1125,7,FALSE)</f>
        <v>0</v>
      </c>
      <c r="O1091" s="94">
        <f>VLOOKUP(D1091,A!B$1:P$1126,9,FALSE)</f>
        <v>0</v>
      </c>
      <c r="P1091" s="10">
        <v>6</v>
      </c>
      <c r="Q1091" s="10">
        <v>5.2</v>
      </c>
      <c r="R1091" s="10">
        <f t="shared" si="147"/>
        <v>0</v>
      </c>
      <c r="S1091" s="10">
        <f t="shared" si="148"/>
        <v>0</v>
      </c>
      <c r="T1091" s="10" t="s">
        <v>178</v>
      </c>
      <c r="U1091" s="115">
        <v>0.35</v>
      </c>
      <c r="V1091" s="10">
        <f>VLOOKUP(D1091,A!B$1:T$1125,17,FALSE)</f>
        <v>0</v>
      </c>
      <c r="W1091" s="10">
        <f t="shared" si="149"/>
        <v>0</v>
      </c>
      <c r="X1091" s="29"/>
      <c r="Y1091" s="29"/>
      <c r="Z1091" s="29"/>
      <c r="AA1091" s="29"/>
    </row>
    <row r="1092" spans="1:67" s="3" customFormat="1" ht="13.5" hidden="1" customHeight="1" x14ac:dyDescent="0.25">
      <c r="A1092" t="str">
        <f>IF(R1092=0,"",COUNTIF(A$13:A1091,"&gt;0")+1)</f>
        <v/>
      </c>
      <c r="B1092" s="4"/>
      <c r="C1092" s="5" t="s">
        <v>44</v>
      </c>
      <c r="D1092" s="7" t="s">
        <v>759</v>
      </c>
      <c r="E1092" s="31"/>
      <c r="F1092" s="31"/>
      <c r="G1092" s="25" t="s">
        <v>49</v>
      </c>
      <c r="H1092" s="7">
        <f>VLOOKUP(D1092,A!B$1:L$1126,8,FALSE)</f>
        <v>0</v>
      </c>
      <c r="I1092" s="31">
        <f>VLOOKUP(D1092,A!B$1:L$1126,8,FALSE)</f>
        <v>0</v>
      </c>
      <c r="J1092" s="92"/>
      <c r="K1092" s="63" t="str">
        <f>VLOOKUP(D1092,A!B$1:P$1126,11,FALSE)</f>
        <v/>
      </c>
      <c r="L1092" s="162"/>
      <c r="M1092" s="43" t="s">
        <v>760</v>
      </c>
      <c r="N1092" s="94">
        <f>VLOOKUP(D1092,A!B$1:L$1125,7,FALSE)</f>
        <v>0</v>
      </c>
      <c r="O1092" s="94">
        <f>VLOOKUP(D1092,A!B$1:P$1126,9,FALSE)</f>
        <v>0</v>
      </c>
      <c r="P1092" s="10">
        <v>6</v>
      </c>
      <c r="Q1092" s="10">
        <v>5.2</v>
      </c>
      <c r="R1092" s="10">
        <f t="shared" si="147"/>
        <v>0</v>
      </c>
      <c r="S1092" s="10">
        <f t="shared" si="148"/>
        <v>0</v>
      </c>
      <c r="T1092" s="10" t="s">
        <v>178</v>
      </c>
      <c r="U1092" s="115">
        <v>0.35</v>
      </c>
      <c r="V1092" s="10">
        <f>VLOOKUP(D1092,A!B$1:T$1125,17,FALSE)</f>
        <v>0</v>
      </c>
      <c r="W1092" s="10">
        <f t="shared" si="149"/>
        <v>0</v>
      </c>
      <c r="X1092" s="29"/>
      <c r="Y1092" s="29"/>
      <c r="Z1092" s="29"/>
      <c r="AA1092" s="29"/>
    </row>
    <row r="1093" spans="1:67" s="3" customFormat="1" ht="13.5" hidden="1" customHeight="1" x14ac:dyDescent="0.25">
      <c r="A1093" t="str">
        <f>IF(R1093=0,"",COUNTIF(A$13:A1092,"&gt;0")+1)</f>
        <v/>
      </c>
      <c r="B1093" s="4"/>
      <c r="C1093" s="5" t="s">
        <v>44</v>
      </c>
      <c r="D1093" s="7" t="s">
        <v>761</v>
      </c>
      <c r="E1093" s="31"/>
      <c r="F1093" s="31"/>
      <c r="G1093" s="25" t="s">
        <v>49</v>
      </c>
      <c r="H1093" s="7">
        <f>VLOOKUP(D1093,A!B$1:L$1126,8,FALSE)</f>
        <v>0</v>
      </c>
      <c r="I1093" s="31">
        <f>VLOOKUP(D1093,A!B$1:L$1126,8,FALSE)</f>
        <v>0</v>
      </c>
      <c r="J1093" s="92"/>
      <c r="K1093" s="63" t="str">
        <f>VLOOKUP(D1093,A!B$1:P$1126,11,FALSE)</f>
        <v/>
      </c>
      <c r="L1093" s="162"/>
      <c r="M1093" s="43" t="s">
        <v>762</v>
      </c>
      <c r="N1093" s="94">
        <f>VLOOKUP(D1093,A!B$1:L$1125,7,FALSE)</f>
        <v>0</v>
      </c>
      <c r="O1093" s="94">
        <f>VLOOKUP(D1093,A!B$1:P$1126,9,FALSE)</f>
        <v>0</v>
      </c>
      <c r="P1093" s="10">
        <v>6</v>
      </c>
      <c r="Q1093" s="10">
        <v>5.2</v>
      </c>
      <c r="R1093" s="10">
        <f t="shared" si="147"/>
        <v>0</v>
      </c>
      <c r="S1093" s="10">
        <f t="shared" si="148"/>
        <v>0</v>
      </c>
      <c r="T1093" s="10" t="s">
        <v>178</v>
      </c>
      <c r="U1093" s="115">
        <v>0.35</v>
      </c>
      <c r="V1093" s="10">
        <f>VLOOKUP(D1093,A!B$1:T$1125,17,FALSE)</f>
        <v>0</v>
      </c>
      <c r="W1093" s="10">
        <f t="shared" si="149"/>
        <v>0</v>
      </c>
      <c r="X1093" s="29"/>
      <c r="Y1093" s="29"/>
      <c r="Z1093" s="29"/>
      <c r="AA1093" s="29"/>
    </row>
    <row r="1094" spans="1:67" s="3" customFormat="1" ht="13.5" hidden="1" customHeight="1" x14ac:dyDescent="0.25">
      <c r="A1094" t="str">
        <f>IF(R1094=0,"",COUNTIF(A$13:A1093,"&gt;0")+1)</f>
        <v/>
      </c>
      <c r="B1094" s="4"/>
      <c r="C1094" s="5" t="s">
        <v>44</v>
      </c>
      <c r="D1094" s="22" t="s">
        <v>763</v>
      </c>
      <c r="E1094" s="89"/>
      <c r="F1094" s="89"/>
      <c r="G1094" s="25" t="s">
        <v>49</v>
      </c>
      <c r="H1094" s="7">
        <f>VLOOKUP(D1094,A!B$1:L$1126,8,FALSE)</f>
        <v>0</v>
      </c>
      <c r="I1094" s="31">
        <f>VLOOKUP(D1094,A!B$1:L$1126,8,FALSE)</f>
        <v>0</v>
      </c>
      <c r="J1094" s="92"/>
      <c r="K1094" s="63" t="str">
        <f>VLOOKUP(D1094,A!B$1:P$1126,11,FALSE)</f>
        <v/>
      </c>
      <c r="L1094" s="162"/>
      <c r="M1094" s="44" t="s">
        <v>764</v>
      </c>
      <c r="N1094" s="94">
        <f>VLOOKUP(D1094,A!B$1:L$1125,7,FALSE)</f>
        <v>0</v>
      </c>
      <c r="O1094" s="94">
        <f>VLOOKUP(D1094,A!B$1:P$1126,9,FALSE)</f>
        <v>0</v>
      </c>
      <c r="P1094" s="10">
        <v>6</v>
      </c>
      <c r="Q1094" s="10">
        <v>5.2</v>
      </c>
      <c r="R1094" s="10">
        <f t="shared" si="147"/>
        <v>0</v>
      </c>
      <c r="S1094" s="10">
        <f t="shared" si="148"/>
        <v>0</v>
      </c>
      <c r="T1094" s="10" t="s">
        <v>178</v>
      </c>
      <c r="U1094" s="115">
        <v>0.35</v>
      </c>
      <c r="V1094" s="10">
        <f>VLOOKUP(D1094,A!B$1:T$1125,17,FALSE)</f>
        <v>0</v>
      </c>
      <c r="W1094" s="10">
        <f t="shared" si="149"/>
        <v>0</v>
      </c>
      <c r="X1094" s="29"/>
      <c r="Y1094" s="29"/>
      <c r="Z1094" s="29"/>
      <c r="AA1094" s="29"/>
    </row>
    <row r="1095" spans="1:67" s="3" customFormat="1" ht="13.5" hidden="1" customHeight="1" x14ac:dyDescent="0.25">
      <c r="A1095" t="str">
        <f>IF(R1095=0,"",COUNTIF(A$13:A1094,"&gt;0")+1)</f>
        <v/>
      </c>
      <c r="B1095" s="4"/>
      <c r="C1095" s="5" t="s">
        <v>44</v>
      </c>
      <c r="D1095" s="7" t="s">
        <v>765</v>
      </c>
      <c r="E1095" s="31"/>
      <c r="F1095" s="31"/>
      <c r="G1095" s="25" t="s">
        <v>49</v>
      </c>
      <c r="H1095" s="7">
        <f>VLOOKUP(D1095,A!B$1:L$1126,8,FALSE)</f>
        <v>0</v>
      </c>
      <c r="I1095" s="31">
        <f>VLOOKUP(D1095,A!B$1:L$1126,8,FALSE)</f>
        <v>0</v>
      </c>
      <c r="J1095" s="92"/>
      <c r="K1095" s="63" t="str">
        <f>VLOOKUP(D1095,A!B$1:P$1126,11,FALSE)</f>
        <v/>
      </c>
      <c r="L1095" s="162"/>
      <c r="M1095" s="43" t="s">
        <v>766</v>
      </c>
      <c r="N1095" s="94">
        <f>VLOOKUP(D1095,A!B$1:L$1125,7,FALSE)</f>
        <v>0</v>
      </c>
      <c r="O1095" s="94">
        <f>VLOOKUP(D1095,A!B$1:P$1126,9,FALSE)</f>
        <v>0</v>
      </c>
      <c r="P1095" s="10">
        <v>6</v>
      </c>
      <c r="Q1095" s="10">
        <v>5.2</v>
      </c>
      <c r="R1095" s="10">
        <f t="shared" si="147"/>
        <v>0</v>
      </c>
      <c r="S1095" s="10">
        <f t="shared" si="148"/>
        <v>0</v>
      </c>
      <c r="T1095" s="10" t="s">
        <v>178</v>
      </c>
      <c r="U1095" s="115">
        <v>0.35</v>
      </c>
      <c r="V1095" s="10">
        <f>VLOOKUP(D1095,A!B$1:T$1125,17,FALSE)</f>
        <v>0</v>
      </c>
      <c r="W1095" s="10">
        <f t="shared" si="149"/>
        <v>0</v>
      </c>
      <c r="X1095" s="29"/>
      <c r="Y1095" s="29"/>
      <c r="Z1095" s="29"/>
      <c r="AA1095" s="29"/>
    </row>
    <row r="1096" spans="1:67" s="3" customFormat="1" ht="13.5" hidden="1" customHeight="1" x14ac:dyDescent="0.25">
      <c r="A1096" t="str">
        <f>IF(R1096=0,"",COUNTIF(A$13:A1095,"&gt;0")+1)</f>
        <v/>
      </c>
      <c r="B1096" s="4"/>
      <c r="C1096" s="5" t="s">
        <v>44</v>
      </c>
      <c r="D1096" s="22" t="s">
        <v>767</v>
      </c>
      <c r="E1096" s="89"/>
      <c r="F1096" s="89"/>
      <c r="G1096" s="25" t="s">
        <v>49</v>
      </c>
      <c r="H1096" s="7">
        <f>VLOOKUP(D1096,A!B$1:L$1126,8,FALSE)</f>
        <v>0</v>
      </c>
      <c r="I1096" s="31">
        <f>VLOOKUP(D1096,A!B$1:L$1126,8,FALSE)</f>
        <v>0</v>
      </c>
      <c r="J1096" s="92"/>
      <c r="K1096" s="63" t="str">
        <f>VLOOKUP(D1096,A!B$1:P$1126,11,FALSE)</f>
        <v/>
      </c>
      <c r="L1096" s="162"/>
      <c r="M1096" s="44" t="s">
        <v>768</v>
      </c>
      <c r="N1096" s="94">
        <f>VLOOKUP(D1096,A!B$1:L$1125,7,FALSE)</f>
        <v>0</v>
      </c>
      <c r="O1096" s="94">
        <f>VLOOKUP(D1096,A!B$1:P$1126,9,FALSE)</f>
        <v>0</v>
      </c>
      <c r="P1096" s="10">
        <v>6</v>
      </c>
      <c r="Q1096" s="10">
        <v>5.2</v>
      </c>
      <c r="R1096" s="10">
        <f t="shared" si="147"/>
        <v>0</v>
      </c>
      <c r="S1096" s="10">
        <f t="shared" si="148"/>
        <v>0</v>
      </c>
      <c r="T1096" s="10" t="s">
        <v>178</v>
      </c>
      <c r="U1096" s="115">
        <v>0.35</v>
      </c>
      <c r="V1096" s="10">
        <f>VLOOKUP(D1096,A!B$1:T$1125,17,FALSE)</f>
        <v>0</v>
      </c>
      <c r="W1096" s="10">
        <f t="shared" si="149"/>
        <v>0</v>
      </c>
      <c r="X1096" s="29"/>
      <c r="Y1096" s="29"/>
      <c r="Z1096" s="29"/>
      <c r="AA1096" s="29"/>
    </row>
    <row r="1097" spans="1:67" s="3" customFormat="1" ht="13.5" hidden="1" customHeight="1" x14ac:dyDescent="0.25">
      <c r="A1097" t="str">
        <f>IF(R1097=0,"",COUNTIF(A$13:A1096,"&gt;0")+1)</f>
        <v/>
      </c>
      <c r="B1097" s="4"/>
      <c r="C1097" s="5" t="s">
        <v>44</v>
      </c>
      <c r="D1097" s="7" t="s">
        <v>769</v>
      </c>
      <c r="E1097" s="31"/>
      <c r="F1097" s="31"/>
      <c r="G1097" s="25" t="s">
        <v>49</v>
      </c>
      <c r="H1097" s="7">
        <f>VLOOKUP(D1097,A!B$1:L$1126,8,FALSE)</f>
        <v>0</v>
      </c>
      <c r="I1097" s="31">
        <f>VLOOKUP(D1097,A!B$1:L$1126,8,FALSE)</f>
        <v>0</v>
      </c>
      <c r="J1097" s="92"/>
      <c r="K1097" s="63" t="str">
        <f>VLOOKUP(D1097,A!B$1:P$1126,11,FALSE)</f>
        <v/>
      </c>
      <c r="L1097" s="162"/>
      <c r="M1097" s="43" t="s">
        <v>770</v>
      </c>
      <c r="N1097" s="94">
        <f>VLOOKUP(D1097,A!B$1:L$1125,7,FALSE)</f>
        <v>0</v>
      </c>
      <c r="O1097" s="94">
        <f>VLOOKUP(D1097,A!B$1:P$1126,9,FALSE)</f>
        <v>0</v>
      </c>
      <c r="P1097" s="10">
        <v>6</v>
      </c>
      <c r="Q1097" s="10">
        <v>5.2</v>
      </c>
      <c r="R1097" s="10">
        <f t="shared" si="147"/>
        <v>0</v>
      </c>
      <c r="S1097" s="10">
        <f t="shared" si="148"/>
        <v>0</v>
      </c>
      <c r="T1097" s="10" t="s">
        <v>178</v>
      </c>
      <c r="U1097" s="115">
        <v>0.35</v>
      </c>
      <c r="V1097" s="10">
        <f>VLOOKUP(D1097,A!B$1:T$1125,17,FALSE)</f>
        <v>0</v>
      </c>
      <c r="W1097" s="10">
        <f t="shared" si="149"/>
        <v>0</v>
      </c>
      <c r="X1097" s="29"/>
      <c r="Y1097" s="29"/>
      <c r="Z1097" s="29"/>
      <c r="AA1097" s="29"/>
    </row>
    <row r="1098" spans="1:67" s="3" customFormat="1" ht="13.5" hidden="1" customHeight="1" x14ac:dyDescent="0.25">
      <c r="A1098" t="str">
        <f>IF(R1098=0,"",COUNTIF(A$13:A1097,"&gt;0")+1)</f>
        <v/>
      </c>
      <c r="B1098" s="4"/>
      <c r="C1098" s="5" t="s">
        <v>44</v>
      </c>
      <c r="D1098" s="7" t="s">
        <v>50</v>
      </c>
      <c r="E1098" s="31"/>
      <c r="F1098" s="31"/>
      <c r="G1098" s="25" t="s">
        <v>49</v>
      </c>
      <c r="H1098" s="7">
        <f>VLOOKUP(D1098,A!B$1:L$1126,8,FALSE)</f>
        <v>0</v>
      </c>
      <c r="I1098" s="31">
        <f>VLOOKUP(D1098,A!B$1:L$1126,8,FALSE)</f>
        <v>0</v>
      </c>
      <c r="J1098" s="92"/>
      <c r="K1098" s="63" t="str">
        <f>VLOOKUP(D1098,A!B$1:P$1126,11,FALSE)</f>
        <v/>
      </c>
      <c r="L1098" s="162"/>
      <c r="M1098" s="43" t="s">
        <v>140</v>
      </c>
      <c r="N1098" s="94">
        <f>VLOOKUP(D1098,A!B$1:L$1125,7,FALSE)</f>
        <v>0</v>
      </c>
      <c r="O1098" s="94">
        <f>VLOOKUP(D1098,A!B$1:P$1126,9,FALSE)</f>
        <v>0</v>
      </c>
      <c r="P1098" s="10">
        <v>6</v>
      </c>
      <c r="Q1098" s="10">
        <v>5.2</v>
      </c>
      <c r="R1098" s="10">
        <f t="shared" si="147"/>
        <v>0</v>
      </c>
      <c r="S1098" s="10">
        <f t="shared" si="148"/>
        <v>0</v>
      </c>
      <c r="T1098" s="10" t="s">
        <v>178</v>
      </c>
      <c r="U1098" s="115">
        <v>0.35</v>
      </c>
      <c r="V1098" s="10">
        <f>VLOOKUP(D1098,A!B$1:T$1125,17,FALSE)</f>
        <v>0</v>
      </c>
      <c r="W1098" s="10">
        <f t="shared" si="149"/>
        <v>0</v>
      </c>
      <c r="X1098" s="29"/>
      <c r="Y1098" s="29"/>
      <c r="Z1098" s="29"/>
      <c r="AA1098" s="29"/>
    </row>
    <row r="1099" spans="1:67" s="3" customFormat="1" ht="13.5" hidden="1" customHeight="1" x14ac:dyDescent="0.25">
      <c r="A1099" t="str">
        <f>IF(R1099=0,"",COUNTIF(A$13:A1098,"&gt;0")+1)</f>
        <v/>
      </c>
      <c r="B1099" s="4"/>
      <c r="C1099" s="5" t="s">
        <v>44</v>
      </c>
      <c r="D1099" s="22" t="s">
        <v>771</v>
      </c>
      <c r="E1099" s="89"/>
      <c r="F1099" s="89"/>
      <c r="G1099" s="25" t="s">
        <v>49</v>
      </c>
      <c r="H1099" s="7">
        <f>VLOOKUP(D1099,A!B$1:L$1126,8,FALSE)</f>
        <v>0</v>
      </c>
      <c r="I1099" s="31">
        <f>VLOOKUP(D1099,A!B$1:L$1126,8,FALSE)</f>
        <v>0</v>
      </c>
      <c r="J1099" s="92"/>
      <c r="K1099" s="63" t="str">
        <f>VLOOKUP(D1099,A!B$1:P$1126,11,FALSE)</f>
        <v/>
      </c>
      <c r="L1099" s="162"/>
      <c r="M1099" s="39" t="s">
        <v>772</v>
      </c>
      <c r="N1099" s="94">
        <f>VLOOKUP(D1099,A!B$1:L$1125,7,FALSE)</f>
        <v>0</v>
      </c>
      <c r="O1099" s="94">
        <f>VLOOKUP(D1099,A!B$1:P$1126,9,FALSE)</f>
        <v>0</v>
      </c>
      <c r="P1099" s="10">
        <v>6</v>
      </c>
      <c r="Q1099" s="10">
        <v>5.2</v>
      </c>
      <c r="R1099" s="10">
        <f t="shared" si="147"/>
        <v>0</v>
      </c>
      <c r="S1099" s="10">
        <f t="shared" si="148"/>
        <v>0</v>
      </c>
      <c r="T1099" s="10" t="s">
        <v>178</v>
      </c>
      <c r="U1099" s="115">
        <v>0.35</v>
      </c>
      <c r="V1099" s="10">
        <f>VLOOKUP(D1099,A!B$1:T$1125,17,FALSE)</f>
        <v>0</v>
      </c>
      <c r="W1099" s="10">
        <f t="shared" si="149"/>
        <v>0</v>
      </c>
      <c r="X1099" s="29"/>
      <c r="Y1099" s="29"/>
      <c r="Z1099" s="29"/>
      <c r="AA1099" s="29"/>
    </row>
    <row r="1100" spans="1:67" s="8" customFormat="1" ht="13.5" hidden="1" customHeight="1" x14ac:dyDescent="0.25">
      <c r="A1100" t="str">
        <f>IF(R1100=0,"",COUNTIF(A$13:A1099,"&gt;0")+1)</f>
        <v/>
      </c>
      <c r="B1100" s="4"/>
      <c r="C1100" s="5" t="s">
        <v>44</v>
      </c>
      <c r="D1100" s="7" t="s">
        <v>157</v>
      </c>
      <c r="E1100" s="31"/>
      <c r="F1100" s="31"/>
      <c r="G1100" s="6" t="s">
        <v>49</v>
      </c>
      <c r="H1100" s="7">
        <f>VLOOKUP(D1100,A!B$1:L$1126,8,FALSE)</f>
        <v>0</v>
      </c>
      <c r="I1100" s="31">
        <f>VLOOKUP(D1100,A!B$1:L$1126,8,FALSE)</f>
        <v>0</v>
      </c>
      <c r="J1100" s="92"/>
      <c r="K1100" s="63" t="str">
        <f>VLOOKUP(D1100,A!B$1:P$1126,11,FALSE)</f>
        <v/>
      </c>
      <c r="L1100" s="162"/>
      <c r="M1100" s="43" t="s">
        <v>158</v>
      </c>
      <c r="N1100" s="94">
        <f>VLOOKUP(D1100,A!B$1:L$1125,7,FALSE)</f>
        <v>0</v>
      </c>
      <c r="O1100" s="94">
        <f>VLOOKUP(D1100,A!B$1:P$1126,9,FALSE)</f>
        <v>0</v>
      </c>
      <c r="P1100" s="10">
        <v>6</v>
      </c>
      <c r="Q1100" s="10">
        <v>5.2</v>
      </c>
      <c r="R1100" s="10">
        <f t="shared" si="147"/>
        <v>0</v>
      </c>
      <c r="S1100" s="10">
        <f t="shared" si="148"/>
        <v>0</v>
      </c>
      <c r="T1100" s="10" t="s">
        <v>178</v>
      </c>
      <c r="U1100" s="115">
        <v>0.35</v>
      </c>
      <c r="V1100" s="10">
        <f>VLOOKUP(D1100,A!B$1:T$1125,17,FALSE)</f>
        <v>0</v>
      </c>
      <c r="W1100" s="10">
        <f t="shared" si="149"/>
        <v>0</v>
      </c>
      <c r="X1100" s="29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0"/>
      <c r="AI1100" s="10"/>
      <c r="AJ1100" s="10"/>
      <c r="AK1100" s="10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  <c r="BC1100" s="10"/>
      <c r="BD1100" s="10"/>
      <c r="BE1100" s="10"/>
      <c r="BF1100" s="10"/>
      <c r="BG1100" s="10"/>
      <c r="BH1100" s="10"/>
      <c r="BI1100" s="10"/>
      <c r="BJ1100" s="10"/>
      <c r="BK1100" s="10"/>
      <c r="BL1100" s="10"/>
      <c r="BM1100" s="10"/>
      <c r="BN1100" s="10"/>
      <c r="BO1100" s="10"/>
    </row>
    <row r="1101" spans="1:67" s="8" customFormat="1" ht="13.5" hidden="1" customHeight="1" x14ac:dyDescent="0.25">
      <c r="A1101" t="str">
        <f>IF(R1101=0,"",COUNTIF(A$13:A1100,"&gt;0")+1)</f>
        <v/>
      </c>
      <c r="B1101" s="4"/>
      <c r="C1101" s="5" t="s">
        <v>44</v>
      </c>
      <c r="D1101" s="7" t="s">
        <v>773</v>
      </c>
      <c r="E1101" s="31"/>
      <c r="F1101" s="31"/>
      <c r="G1101" s="6" t="s">
        <v>49</v>
      </c>
      <c r="H1101" s="7">
        <f>VLOOKUP(D1101,A!B$1:L$1126,8,FALSE)</f>
        <v>0</v>
      </c>
      <c r="I1101" s="31">
        <f>VLOOKUP(D1101,A!B$1:L$1126,8,FALSE)</f>
        <v>0</v>
      </c>
      <c r="J1101" s="92"/>
      <c r="K1101" s="63" t="str">
        <f>VLOOKUP(D1101,A!B$1:P$1126,11,FALSE)</f>
        <v/>
      </c>
      <c r="L1101" s="162"/>
      <c r="M1101" s="43" t="s">
        <v>720</v>
      </c>
      <c r="N1101" s="94">
        <f>VLOOKUP(D1101,A!B$1:L$1125,7,FALSE)</f>
        <v>0</v>
      </c>
      <c r="O1101" s="94">
        <f>VLOOKUP(D1101,A!B$1:P$1126,9,FALSE)</f>
        <v>0</v>
      </c>
      <c r="P1101" s="10">
        <v>6</v>
      </c>
      <c r="Q1101" s="10">
        <v>5.2</v>
      </c>
      <c r="R1101" s="10">
        <f t="shared" si="147"/>
        <v>0</v>
      </c>
      <c r="S1101" s="10">
        <f t="shared" si="148"/>
        <v>0</v>
      </c>
      <c r="T1101" s="10" t="s">
        <v>178</v>
      </c>
      <c r="U1101" s="115">
        <v>0.35</v>
      </c>
      <c r="V1101" s="10">
        <f>VLOOKUP(D1101,A!B$1:T$1125,17,FALSE)</f>
        <v>0</v>
      </c>
      <c r="W1101" s="10">
        <f t="shared" si="149"/>
        <v>0</v>
      </c>
      <c r="X1101" s="29"/>
      <c r="Y1101" s="10"/>
      <c r="Z1101" s="10"/>
      <c r="AA1101" s="10"/>
      <c r="AB1101" s="10"/>
      <c r="AC1101" s="10"/>
      <c r="AD1101" s="10"/>
      <c r="AE1101" s="10"/>
      <c r="AF1101" s="10"/>
      <c r="AG1101" s="10"/>
      <c r="AH1101" s="10"/>
      <c r="AI1101" s="10"/>
      <c r="AJ1101" s="10"/>
      <c r="AK1101" s="10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/>
      <c r="BD1101" s="10"/>
      <c r="BE1101" s="10"/>
      <c r="BF1101" s="10"/>
      <c r="BG1101" s="10"/>
      <c r="BH1101" s="10"/>
      <c r="BI1101" s="10"/>
      <c r="BJ1101" s="10"/>
      <c r="BK1101" s="10"/>
      <c r="BL1101" s="10"/>
      <c r="BM1101" s="10"/>
      <c r="BN1101" s="10"/>
      <c r="BO1101" s="10"/>
    </row>
    <row r="1102" spans="1:67" s="19" customFormat="1" ht="13.5" customHeight="1" x14ac:dyDescent="0.25">
      <c r="A1102" t="str">
        <f>IF(R1102=0,"",COUNTIF(A$13:A1101,"&gt;0")+1)</f>
        <v/>
      </c>
      <c r="B1102" s="82">
        <f>SUM(B1047:B1101)</f>
        <v>0</v>
      </c>
      <c r="C1102" s="5" t="s">
        <v>44</v>
      </c>
      <c r="D1102" s="24" t="s">
        <v>36</v>
      </c>
      <c r="E1102" s="88"/>
      <c r="F1102" s="96"/>
      <c r="G1102" s="84"/>
      <c r="H1102" s="84"/>
      <c r="I1102" s="84"/>
      <c r="J1102" s="84"/>
      <c r="K1102" s="84"/>
      <c r="L1102" s="84"/>
      <c r="M1102" s="84"/>
      <c r="N1102" s="100"/>
      <c r="O1102" s="100"/>
      <c r="P1102" s="10">
        <v>6</v>
      </c>
      <c r="Q1102" s="151"/>
      <c r="R1102" s="10">
        <f>B1102*P1102</f>
        <v>0</v>
      </c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  <c r="BL1102" s="28"/>
      <c r="BM1102" s="28"/>
      <c r="BN1102" s="28"/>
      <c r="BO1102" s="28"/>
    </row>
    <row r="1103" spans="1:67" ht="15" customHeight="1" x14ac:dyDescent="0.25">
      <c r="A1103" t="str">
        <f>IF(R1103=0,"",COUNTIF(A$13:A1102,"&gt;0")+1)</f>
        <v/>
      </c>
      <c r="N1103" s="102"/>
      <c r="O1103" s="102"/>
      <c r="P1103" s="115"/>
      <c r="Q1103" s="115"/>
      <c r="R1103" s="115"/>
      <c r="S1103" s="115"/>
      <c r="T1103" s="115"/>
      <c r="U1103" s="115"/>
      <c r="V1103" s="115"/>
      <c r="W1103" s="115"/>
      <c r="X1103" s="115"/>
      <c r="Y1103" s="115"/>
      <c r="Z1103" s="115"/>
      <c r="AA1103" s="115"/>
      <c r="AB1103" s="115"/>
      <c r="AC1103" s="115"/>
      <c r="AD1103" s="115"/>
      <c r="AE1103" s="115"/>
      <c r="AF1103" s="115"/>
      <c r="AG1103" s="115"/>
      <c r="AH1103" s="115"/>
      <c r="AI1103" s="115"/>
      <c r="AJ1103" s="115"/>
      <c r="AK1103" s="115"/>
      <c r="AL1103" s="115"/>
      <c r="AM1103" s="115"/>
      <c r="AN1103" s="115"/>
      <c r="AO1103" s="115"/>
      <c r="AP1103" s="115"/>
      <c r="AQ1103" s="115"/>
      <c r="AR1103" s="115"/>
      <c r="AS1103" s="115"/>
      <c r="AT1103" s="115"/>
      <c r="AU1103" s="115"/>
      <c r="AV1103" s="115"/>
      <c r="AW1103" s="115"/>
      <c r="AX1103" s="115"/>
      <c r="AY1103" s="115"/>
      <c r="AZ1103" s="115"/>
      <c r="BA1103" s="115"/>
      <c r="BB1103" s="115"/>
      <c r="BC1103" s="115"/>
      <c r="BD1103" s="115"/>
      <c r="BE1103" s="115"/>
      <c r="BF1103" s="115"/>
      <c r="BG1103" s="115"/>
      <c r="BH1103" s="115"/>
      <c r="BI1103" s="115"/>
      <c r="BJ1103" s="115"/>
      <c r="BK1103" s="115"/>
      <c r="BL1103" s="115"/>
      <c r="BM1103" s="115"/>
      <c r="BN1103" s="115"/>
      <c r="BO1103" s="115"/>
    </row>
    <row r="1104" spans="1:67" ht="21" customHeight="1" x14ac:dyDescent="0.25">
      <c r="A1104" t="str">
        <f>IF(R1104=0,"",COUNTIF(A$13:A1103,"&gt;0")+1)</f>
        <v/>
      </c>
      <c r="B1104" s="234" t="s">
        <v>180</v>
      </c>
      <c r="C1104" s="235"/>
      <c r="D1104" s="235"/>
      <c r="E1104" s="235"/>
      <c r="F1104" s="235"/>
      <c r="G1104" s="236"/>
      <c r="H1104" s="123"/>
      <c r="I1104" s="124"/>
      <c r="J1104" s="137"/>
      <c r="K1104" s="137"/>
      <c r="L1104" s="137" t="s">
        <v>74</v>
      </c>
      <c r="M1104" s="27">
        <v>5.95</v>
      </c>
      <c r="AC1104" s="30"/>
      <c r="AD1104" s="30"/>
      <c r="AE1104" s="115"/>
      <c r="AF1104" s="115"/>
      <c r="AG1104" s="115"/>
      <c r="AH1104" s="115"/>
      <c r="AI1104" s="115"/>
      <c r="AJ1104" s="115"/>
      <c r="AK1104" s="115"/>
      <c r="AL1104" s="115"/>
      <c r="AM1104" s="115"/>
      <c r="AN1104" s="115"/>
      <c r="AO1104" s="115"/>
      <c r="AP1104" s="115"/>
      <c r="AQ1104" s="115"/>
      <c r="AR1104" s="115"/>
      <c r="AS1104" s="115"/>
      <c r="AT1104" s="115"/>
      <c r="AU1104" s="115"/>
      <c r="AV1104" s="115"/>
      <c r="AW1104" s="115"/>
      <c r="AX1104" s="115"/>
      <c r="AY1104" s="115"/>
      <c r="AZ1104" s="115"/>
      <c r="BA1104" s="115"/>
      <c r="BB1104" s="115"/>
      <c r="BC1104" s="115"/>
      <c r="BD1104" s="115"/>
      <c r="BE1104" s="115"/>
      <c r="BF1104" s="115"/>
      <c r="BG1104" s="115"/>
      <c r="BH1104" s="115"/>
      <c r="BI1104" s="115"/>
      <c r="BJ1104" s="115"/>
      <c r="BK1104" s="115"/>
      <c r="BL1104" s="115"/>
      <c r="BM1104" s="115"/>
      <c r="BN1104" s="115"/>
      <c r="BO1104" s="115"/>
    </row>
    <row r="1105" spans="1:67" s="8" customFormat="1" ht="12" customHeight="1" x14ac:dyDescent="0.25">
      <c r="A1105" t="str">
        <f>IF(R1105=0,"",COUNTIF(A$13:A1104,"&gt;0")+1)</f>
        <v/>
      </c>
      <c r="B1105" s="237" t="s">
        <v>18</v>
      </c>
      <c r="C1105" s="238"/>
      <c r="D1105" s="16" t="s">
        <v>19</v>
      </c>
      <c r="E1105" s="86"/>
      <c r="F1105" s="86"/>
      <c r="G1105" s="17" t="s">
        <v>20</v>
      </c>
      <c r="H1105" s="118"/>
      <c r="I1105" s="117"/>
      <c r="J1105" s="117"/>
      <c r="K1105" s="122" t="s">
        <v>17</v>
      </c>
      <c r="L1105" s="119">
        <v>5021353014303</v>
      </c>
      <c r="M1105" s="120" t="s">
        <v>21</v>
      </c>
      <c r="N1105" s="93"/>
      <c r="O1105" s="93"/>
      <c r="P1105" s="30"/>
      <c r="Q1105" s="30"/>
      <c r="R1105" s="3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0"/>
      <c r="AI1105" s="10"/>
      <c r="AJ1105" s="10"/>
      <c r="AK1105" s="10"/>
      <c r="AL1105" s="10"/>
      <c r="AM1105" s="10"/>
      <c r="AN1105" s="10"/>
      <c r="AO1105" s="10"/>
      <c r="AP1105" s="10"/>
      <c r="AQ1105" s="10"/>
      <c r="AR1105" s="10"/>
      <c r="AS1105" s="10"/>
      <c r="AT1105" s="10"/>
      <c r="AU1105" s="10"/>
      <c r="AV1105" s="10"/>
      <c r="AW1105" s="10"/>
      <c r="AX1105" s="10"/>
      <c r="AY1105" s="10"/>
      <c r="AZ1105" s="10"/>
      <c r="BA1105" s="10"/>
      <c r="BB1105" s="10"/>
      <c r="BC1105" s="10"/>
      <c r="BD1105" s="10"/>
      <c r="BE1105" s="10"/>
      <c r="BF1105" s="10"/>
      <c r="BG1105" s="10"/>
      <c r="BH1105" s="10"/>
      <c r="BI1105" s="10"/>
      <c r="BJ1105" s="10"/>
      <c r="BK1105" s="10"/>
      <c r="BL1105" s="10"/>
      <c r="BM1105" s="10"/>
      <c r="BN1105" s="10"/>
      <c r="BO1105" s="10"/>
    </row>
    <row r="1106" spans="1:67" s="3" customFormat="1" ht="13.5" customHeight="1" x14ac:dyDescent="0.25">
      <c r="A1106" t="str">
        <f>IF(R1106=0,"",COUNTIF(A$13:A1105,"&gt;0")+1)</f>
        <v/>
      </c>
      <c r="B1106" s="4"/>
      <c r="C1106" s="5" t="s">
        <v>44</v>
      </c>
      <c r="D1106" s="7" t="s">
        <v>128</v>
      </c>
      <c r="E1106" s="31"/>
      <c r="F1106" s="31"/>
      <c r="G1106" s="23" t="s">
        <v>129</v>
      </c>
      <c r="H1106" s="7">
        <f>VLOOKUP(D1106,A!B$1:L$1126,8,FALSE)</f>
        <v>0</v>
      </c>
      <c r="I1106" s="31">
        <f>VLOOKUP(D1106,A!B$1:L$1126,8,FALSE)</f>
        <v>0</v>
      </c>
      <c r="J1106" s="92"/>
      <c r="K1106" s="63" t="str">
        <f>VLOOKUP(D1106,A!B$1:P$1126,11,FALSE)</f>
        <v/>
      </c>
      <c r="L1106" s="31"/>
      <c r="M1106" s="39" t="s">
        <v>60</v>
      </c>
      <c r="N1106" s="94">
        <f>VLOOKUP(D1106,A!B$1:L$1125,7,FALSE)</f>
        <v>0</v>
      </c>
      <c r="O1106" s="94">
        <f>VLOOKUP(D1106,A!B$1:P$1126,9,FALSE)</f>
        <v>0</v>
      </c>
      <c r="P1106" s="10">
        <v>6</v>
      </c>
      <c r="Q1106" s="10">
        <v>5.95</v>
      </c>
      <c r="R1106" s="10">
        <f>B1106*P1106</f>
        <v>0</v>
      </c>
      <c r="S1106" s="10">
        <f>R1106*Q1106</f>
        <v>0</v>
      </c>
      <c r="T1106" s="10" t="s">
        <v>328</v>
      </c>
      <c r="U1106" s="115">
        <v>0.35</v>
      </c>
      <c r="V1106" s="10">
        <f>VLOOKUP(D1106,A!B$1:T$1125,17,FALSE)</f>
        <v>0</v>
      </c>
      <c r="W1106" s="10">
        <f t="shared" ref="W1106" si="150">U1106*B1106</f>
        <v>0</v>
      </c>
      <c r="X1106" s="10"/>
      <c r="Y1106" s="10"/>
      <c r="Z1106" s="10"/>
      <c r="AA1106" s="10"/>
      <c r="AB1106" s="10"/>
      <c r="AC1106" s="10"/>
      <c r="AD1106" s="10"/>
      <c r="AE1106" s="10"/>
      <c r="AF1106" s="10"/>
      <c r="AG1106" s="10"/>
      <c r="AH1106" s="10"/>
      <c r="AI1106" s="10"/>
      <c r="AJ1106" s="10"/>
      <c r="AK1106" s="10"/>
      <c r="AL1106" s="10"/>
      <c r="AM1106" s="10"/>
      <c r="AN1106" s="10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</row>
    <row r="1107" spans="1:67" s="3" customFormat="1" ht="13.5" hidden="1" customHeight="1" x14ac:dyDescent="0.25">
      <c r="A1107" t="str">
        <f>IF(R1107=0,"",COUNTIF(A$13:A1106,"&gt;0")+1)</f>
        <v/>
      </c>
      <c r="B1107" s="4"/>
      <c r="C1107" s="5" t="s">
        <v>44</v>
      </c>
      <c r="D1107" s="7" t="s">
        <v>358</v>
      </c>
      <c r="E1107" s="31"/>
      <c r="F1107" s="31"/>
      <c r="G1107" s="6" t="s">
        <v>359</v>
      </c>
      <c r="H1107" s="7">
        <f>VLOOKUP(D1107,A!B$1:L$1126,8,FALSE)</f>
        <v>0</v>
      </c>
      <c r="I1107" s="31">
        <f>VLOOKUP(D1107,A!B$1:L$1126,8,FALSE)</f>
        <v>0</v>
      </c>
      <c r="J1107" s="92"/>
      <c r="K1107" s="63" t="str">
        <f>VLOOKUP(D1107,A!B$1:P$1126,11,FALSE)</f>
        <v/>
      </c>
      <c r="L1107" s="162"/>
      <c r="M1107" s="41" t="s">
        <v>360</v>
      </c>
      <c r="N1107" s="94">
        <f>VLOOKUP(D1107,A!B$1:L$1125,7,FALSE)</f>
        <v>0</v>
      </c>
      <c r="O1107" s="94">
        <f>VLOOKUP(D1107,A!B$1:P$1126,9,FALSE)</f>
        <v>0</v>
      </c>
      <c r="P1107" s="10">
        <v>6</v>
      </c>
      <c r="Q1107" s="10">
        <v>5.95</v>
      </c>
      <c r="R1107" s="10">
        <f t="shared" ref="R1107:R1131" si="151">B1107*P1107</f>
        <v>0</v>
      </c>
      <c r="S1107" s="10">
        <f t="shared" ref="S1107:S1131" si="152">R1107*Q1107</f>
        <v>0</v>
      </c>
      <c r="T1107" s="10" t="s">
        <v>328</v>
      </c>
      <c r="U1107" s="115">
        <v>0.35</v>
      </c>
      <c r="V1107" s="10">
        <f>VLOOKUP(D1107,A!B$1:T$1125,17,FALSE)</f>
        <v>0</v>
      </c>
      <c r="W1107" s="10">
        <f t="shared" ref="W1107:W1131" si="153">U1107*B1107</f>
        <v>0</v>
      </c>
      <c r="X1107" s="29"/>
      <c r="Y1107" s="29"/>
      <c r="Z1107" s="29"/>
      <c r="AA1107" s="29"/>
    </row>
    <row r="1108" spans="1:67" s="3" customFormat="1" ht="13.5" hidden="1" customHeight="1" x14ac:dyDescent="0.25">
      <c r="A1108" t="str">
        <f>IF(R1108=0,"",COUNTIF(A$13:A1107,"&gt;0")+1)</f>
        <v/>
      </c>
      <c r="B1108" s="4"/>
      <c r="C1108" s="5" t="s">
        <v>44</v>
      </c>
      <c r="D1108" s="7" t="s">
        <v>361</v>
      </c>
      <c r="E1108" s="31"/>
      <c r="F1108" s="31"/>
      <c r="G1108" s="6" t="s">
        <v>359</v>
      </c>
      <c r="H1108" s="7">
        <f>VLOOKUP(D1108,A!B$1:L$1126,8,FALSE)</f>
        <v>0</v>
      </c>
      <c r="I1108" s="31">
        <f>VLOOKUP(D1108,A!B$1:L$1126,8,FALSE)</f>
        <v>0</v>
      </c>
      <c r="J1108" s="92"/>
      <c r="K1108" s="63" t="str">
        <f>VLOOKUP(D1108,A!B$1:P$1126,11,FALSE)</f>
        <v/>
      </c>
      <c r="L1108" s="162"/>
      <c r="M1108" s="41" t="s">
        <v>362</v>
      </c>
      <c r="N1108" s="94">
        <f>VLOOKUP(D1108,A!B$1:L$1125,7,FALSE)</f>
        <v>0</v>
      </c>
      <c r="O1108" s="94">
        <f>VLOOKUP(D1108,A!B$1:P$1126,9,FALSE)</f>
        <v>0</v>
      </c>
      <c r="P1108" s="10">
        <v>6</v>
      </c>
      <c r="Q1108" s="10">
        <v>5.95</v>
      </c>
      <c r="R1108" s="10">
        <f t="shared" si="151"/>
        <v>0</v>
      </c>
      <c r="S1108" s="10">
        <f t="shared" si="152"/>
        <v>0</v>
      </c>
      <c r="T1108" s="10" t="s">
        <v>328</v>
      </c>
      <c r="U1108" s="115">
        <v>0.35</v>
      </c>
      <c r="V1108" s="10">
        <f>VLOOKUP(D1108,A!B$1:T$1125,17,FALSE)</f>
        <v>0</v>
      </c>
      <c r="W1108" s="10">
        <f t="shared" si="153"/>
        <v>0</v>
      </c>
      <c r="X1108" s="29"/>
      <c r="Y1108" s="29"/>
      <c r="Z1108" s="29"/>
      <c r="AA1108" s="29"/>
    </row>
    <row r="1109" spans="1:67" s="3" customFormat="1" ht="13.5" hidden="1" customHeight="1" x14ac:dyDescent="0.25">
      <c r="A1109" t="str">
        <f>IF(R1109=0,"",COUNTIF(A$13:A1108,"&gt;0")+1)</f>
        <v/>
      </c>
      <c r="B1109" s="4"/>
      <c r="C1109" s="5" t="s">
        <v>44</v>
      </c>
      <c r="D1109" s="7" t="s">
        <v>363</v>
      </c>
      <c r="E1109" s="31"/>
      <c r="F1109" s="31"/>
      <c r="G1109" s="6" t="s">
        <v>364</v>
      </c>
      <c r="H1109" s="7">
        <f>VLOOKUP(D1109,A!B$1:L$1126,8,FALSE)</f>
        <v>0</v>
      </c>
      <c r="I1109" s="31">
        <f>VLOOKUP(D1109,A!B$1:L$1126,8,FALSE)</f>
        <v>0</v>
      </c>
      <c r="J1109" s="92"/>
      <c r="K1109" s="63" t="str">
        <f>VLOOKUP(D1109,A!B$1:P$1126,11,FALSE)</f>
        <v/>
      </c>
      <c r="L1109" s="162"/>
      <c r="M1109" s="43" t="s">
        <v>365</v>
      </c>
      <c r="N1109" s="94">
        <f>VLOOKUP(D1109,A!B$1:L$1125,7,FALSE)</f>
        <v>0</v>
      </c>
      <c r="O1109" s="94">
        <f>VLOOKUP(D1109,A!B$1:P$1126,9,FALSE)</f>
        <v>0</v>
      </c>
      <c r="P1109" s="10">
        <v>6</v>
      </c>
      <c r="Q1109" s="10">
        <v>5.95</v>
      </c>
      <c r="R1109" s="10">
        <f t="shared" si="151"/>
        <v>0</v>
      </c>
      <c r="S1109" s="10">
        <f t="shared" si="152"/>
        <v>0</v>
      </c>
      <c r="T1109" s="10" t="s">
        <v>328</v>
      </c>
      <c r="U1109" s="115">
        <v>0.35</v>
      </c>
      <c r="V1109" s="10">
        <f>VLOOKUP(D1109,A!B$1:T$1125,17,FALSE)</f>
        <v>0</v>
      </c>
      <c r="W1109" s="10">
        <f t="shared" si="153"/>
        <v>0</v>
      </c>
      <c r="X1109" s="29"/>
      <c r="Y1109" s="29"/>
      <c r="Z1109" s="29"/>
      <c r="AA1109" s="29"/>
    </row>
    <row r="1110" spans="1:67" s="3" customFormat="1" ht="13.5" hidden="1" customHeight="1" x14ac:dyDescent="0.25">
      <c r="A1110" t="str">
        <f>IF(R1110=0,"",COUNTIF(A$13:A1109,"&gt;0")+1)</f>
        <v/>
      </c>
      <c r="B1110" s="4"/>
      <c r="C1110" s="5" t="s">
        <v>44</v>
      </c>
      <c r="D1110" s="7" t="s">
        <v>366</v>
      </c>
      <c r="E1110" s="31"/>
      <c r="F1110" s="31"/>
      <c r="G1110" s="6" t="s">
        <v>364</v>
      </c>
      <c r="H1110" s="7">
        <f>VLOOKUP(D1110,A!B$1:L$1126,8,FALSE)</f>
        <v>0</v>
      </c>
      <c r="I1110" s="31">
        <f>VLOOKUP(D1110,A!B$1:L$1126,8,FALSE)</f>
        <v>0</v>
      </c>
      <c r="J1110" s="92"/>
      <c r="K1110" s="63" t="str">
        <f>VLOOKUP(D1110,A!B$1:P$1126,11,FALSE)</f>
        <v/>
      </c>
      <c r="L1110" s="162"/>
      <c r="M1110" s="43" t="s">
        <v>367</v>
      </c>
      <c r="N1110" s="94">
        <f>VLOOKUP(D1110,A!B$1:L$1125,7,FALSE)</f>
        <v>0</v>
      </c>
      <c r="O1110" s="94">
        <f>VLOOKUP(D1110,A!B$1:P$1126,9,FALSE)</f>
        <v>0</v>
      </c>
      <c r="P1110" s="10">
        <v>6</v>
      </c>
      <c r="Q1110" s="10">
        <v>5.95</v>
      </c>
      <c r="R1110" s="10">
        <f t="shared" si="151"/>
        <v>0</v>
      </c>
      <c r="S1110" s="10">
        <f t="shared" si="152"/>
        <v>0</v>
      </c>
      <c r="T1110" s="10" t="s">
        <v>328</v>
      </c>
      <c r="U1110" s="115">
        <v>0.35</v>
      </c>
      <c r="V1110" s="10">
        <f>VLOOKUP(D1110,A!B$1:T$1125,17,FALSE)</f>
        <v>0</v>
      </c>
      <c r="W1110" s="10">
        <f t="shared" si="153"/>
        <v>0</v>
      </c>
      <c r="X1110" s="29"/>
      <c r="Y1110" s="29"/>
      <c r="Z1110" s="29"/>
      <c r="AA1110" s="29"/>
    </row>
    <row r="1111" spans="1:67" s="3" customFormat="1" ht="13.5" hidden="1" customHeight="1" x14ac:dyDescent="0.25">
      <c r="A1111" t="str">
        <f>IF(R1111=0,"",COUNTIF(A$13:A1110,"&gt;0")+1)</f>
        <v/>
      </c>
      <c r="B1111" s="4"/>
      <c r="C1111" s="5" t="s">
        <v>44</v>
      </c>
      <c r="D1111" s="7" t="s">
        <v>368</v>
      </c>
      <c r="E1111" s="31"/>
      <c r="F1111" s="31"/>
      <c r="G1111" s="6" t="s">
        <v>369</v>
      </c>
      <c r="H1111" s="7">
        <f>VLOOKUP(D1111,A!B$1:L$1126,8,FALSE)</f>
        <v>0</v>
      </c>
      <c r="I1111" s="31">
        <f>VLOOKUP(D1111,A!B$1:L$1126,8,FALSE)</f>
        <v>0</v>
      </c>
      <c r="J1111" s="92"/>
      <c r="K1111" s="63" t="str">
        <f>VLOOKUP(D1111,A!B$1:P$1126,11,FALSE)</f>
        <v/>
      </c>
      <c r="L1111" s="162"/>
      <c r="M1111" s="43" t="s">
        <v>370</v>
      </c>
      <c r="N1111" s="94">
        <f>VLOOKUP(D1111,A!B$1:L$1125,7,FALSE)</f>
        <v>0</v>
      </c>
      <c r="O1111" s="94">
        <f>VLOOKUP(D1111,A!B$1:P$1126,9,FALSE)</f>
        <v>0</v>
      </c>
      <c r="P1111" s="10">
        <v>6</v>
      </c>
      <c r="Q1111" s="10">
        <v>5.95</v>
      </c>
      <c r="R1111" s="10">
        <f t="shared" si="151"/>
        <v>0</v>
      </c>
      <c r="S1111" s="10">
        <f t="shared" si="152"/>
        <v>0</v>
      </c>
      <c r="T1111" s="10" t="s">
        <v>328</v>
      </c>
      <c r="U1111" s="115">
        <v>0.35</v>
      </c>
      <c r="V1111" s="10">
        <f>VLOOKUP(D1111,A!B$1:T$1125,17,FALSE)</f>
        <v>0</v>
      </c>
      <c r="W1111" s="10">
        <f t="shared" si="153"/>
        <v>0</v>
      </c>
      <c r="X1111" s="29"/>
      <c r="Y1111" s="29"/>
      <c r="Z1111" s="29"/>
      <c r="AA1111" s="29"/>
    </row>
    <row r="1112" spans="1:67" s="3" customFormat="1" ht="13.5" hidden="1" customHeight="1" x14ac:dyDescent="0.25">
      <c r="A1112" t="str">
        <f>IF(R1112=0,"",COUNTIF(A$13:A1111,"&gt;0")+1)</f>
        <v/>
      </c>
      <c r="B1112" s="4"/>
      <c r="C1112" s="5" t="s">
        <v>44</v>
      </c>
      <c r="D1112" s="7" t="s">
        <v>371</v>
      </c>
      <c r="E1112" s="31"/>
      <c r="F1112" s="31"/>
      <c r="G1112" s="6" t="s">
        <v>372</v>
      </c>
      <c r="H1112" s="7">
        <f>VLOOKUP(D1112,A!B$1:L$1126,8,FALSE)</f>
        <v>0</v>
      </c>
      <c r="I1112" s="31">
        <f>VLOOKUP(D1112,A!B$1:L$1126,8,FALSE)</f>
        <v>0</v>
      </c>
      <c r="J1112" s="92"/>
      <c r="K1112" s="63" t="str">
        <f>VLOOKUP(D1112,A!B$1:P$1126,11,FALSE)</f>
        <v/>
      </c>
      <c r="L1112" s="162"/>
      <c r="M1112" s="43" t="s">
        <v>373</v>
      </c>
      <c r="N1112" s="94">
        <f>VLOOKUP(D1112,A!B$1:L$1125,7,FALSE)</f>
        <v>0</v>
      </c>
      <c r="O1112" s="94">
        <f>VLOOKUP(D1112,A!B$1:P$1126,9,FALSE)</f>
        <v>0</v>
      </c>
      <c r="P1112" s="10">
        <v>6</v>
      </c>
      <c r="Q1112" s="10">
        <v>5.95</v>
      </c>
      <c r="R1112" s="10">
        <f t="shared" si="151"/>
        <v>0</v>
      </c>
      <c r="S1112" s="10">
        <f t="shared" si="152"/>
        <v>0</v>
      </c>
      <c r="T1112" s="10" t="s">
        <v>328</v>
      </c>
      <c r="U1112" s="115">
        <v>0.35</v>
      </c>
      <c r="V1112" s="10">
        <f>VLOOKUP(D1112,A!B$1:T$1125,17,FALSE)</f>
        <v>0</v>
      </c>
      <c r="W1112" s="10">
        <f t="shared" si="153"/>
        <v>0</v>
      </c>
      <c r="X1112" s="29"/>
      <c r="Y1112" s="29"/>
      <c r="Z1112" s="29"/>
      <c r="AA1112" s="29"/>
    </row>
    <row r="1113" spans="1:67" s="3" customFormat="1" ht="13.5" hidden="1" customHeight="1" x14ac:dyDescent="0.25">
      <c r="A1113" t="str">
        <f>IF(R1113=0,"",COUNTIF(A$13:A1112,"&gt;0")+1)</f>
        <v/>
      </c>
      <c r="B1113" s="4"/>
      <c r="C1113" s="5" t="s">
        <v>44</v>
      </c>
      <c r="D1113" s="7" t="s">
        <v>374</v>
      </c>
      <c r="E1113" s="31"/>
      <c r="F1113" s="31"/>
      <c r="G1113" s="6" t="s">
        <v>375</v>
      </c>
      <c r="H1113" s="7">
        <f>VLOOKUP(D1113,A!B$1:L$1126,8,FALSE)</f>
        <v>0</v>
      </c>
      <c r="I1113" s="31">
        <f>VLOOKUP(D1113,A!B$1:L$1126,8,FALSE)</f>
        <v>0</v>
      </c>
      <c r="J1113" s="92"/>
      <c r="K1113" s="63" t="str">
        <f>VLOOKUP(D1113,A!B$1:P$1126,11,FALSE)</f>
        <v/>
      </c>
      <c r="L1113" s="162"/>
      <c r="M1113" s="41" t="s">
        <v>376</v>
      </c>
      <c r="N1113" s="94">
        <f>VLOOKUP(D1113,A!B$1:L$1125,7,FALSE)</f>
        <v>0</v>
      </c>
      <c r="O1113" s="94">
        <f>VLOOKUP(D1113,A!B$1:P$1126,9,FALSE)</f>
        <v>0</v>
      </c>
      <c r="P1113" s="10">
        <v>6</v>
      </c>
      <c r="Q1113" s="10">
        <v>5.95</v>
      </c>
      <c r="R1113" s="10">
        <f t="shared" si="151"/>
        <v>0</v>
      </c>
      <c r="S1113" s="10">
        <f t="shared" si="152"/>
        <v>0</v>
      </c>
      <c r="T1113" s="10" t="s">
        <v>328</v>
      </c>
      <c r="U1113" s="115">
        <v>0.35</v>
      </c>
      <c r="V1113" s="10">
        <f>VLOOKUP(D1113,A!B$1:T$1125,17,FALSE)</f>
        <v>0</v>
      </c>
      <c r="W1113" s="10">
        <f t="shared" si="153"/>
        <v>0</v>
      </c>
      <c r="X1113" s="29"/>
      <c r="Y1113" s="29"/>
      <c r="Z1113" s="29"/>
      <c r="AA1113" s="29"/>
    </row>
    <row r="1114" spans="1:67" s="3" customFormat="1" ht="13.5" hidden="1" customHeight="1" x14ac:dyDescent="0.25">
      <c r="A1114" t="str">
        <f>IF(R1114=0,"",COUNTIF(A$13:A1113,"&gt;0")+1)</f>
        <v/>
      </c>
      <c r="B1114" s="4"/>
      <c r="C1114" s="5" t="s">
        <v>44</v>
      </c>
      <c r="D1114" s="7" t="s">
        <v>98</v>
      </c>
      <c r="E1114" s="31"/>
      <c r="F1114" s="31"/>
      <c r="G1114" s="6" t="s">
        <v>99</v>
      </c>
      <c r="H1114" s="7">
        <f>VLOOKUP(D1114,A!B$1:L$1126,8,FALSE)</f>
        <v>0</v>
      </c>
      <c r="I1114" s="31">
        <f>VLOOKUP(D1114,A!B$1:L$1126,8,FALSE)</f>
        <v>0</v>
      </c>
      <c r="J1114" s="92"/>
      <c r="K1114" s="63" t="str">
        <f>VLOOKUP(D1114,A!B$1:P$1126,11,FALSE)</f>
        <v/>
      </c>
      <c r="L1114" s="162"/>
      <c r="M1114" s="43" t="s">
        <v>100</v>
      </c>
      <c r="N1114" s="94">
        <f>VLOOKUP(D1114,A!B$1:L$1125,7,FALSE)</f>
        <v>0</v>
      </c>
      <c r="O1114" s="94">
        <f>VLOOKUP(D1114,A!B$1:P$1126,9,FALSE)</f>
        <v>0</v>
      </c>
      <c r="P1114" s="10">
        <v>6</v>
      </c>
      <c r="Q1114" s="10">
        <v>5.95</v>
      </c>
      <c r="R1114" s="10">
        <f t="shared" si="151"/>
        <v>0</v>
      </c>
      <c r="S1114" s="10">
        <f t="shared" si="152"/>
        <v>0</v>
      </c>
      <c r="T1114" s="10" t="s">
        <v>328</v>
      </c>
      <c r="U1114" s="115">
        <v>0.35</v>
      </c>
      <c r="V1114" s="10">
        <f>VLOOKUP(D1114,A!B$1:T$1125,17,FALSE)</f>
        <v>0</v>
      </c>
      <c r="W1114" s="10">
        <f t="shared" si="153"/>
        <v>0</v>
      </c>
      <c r="X1114" s="29"/>
      <c r="Y1114" s="29"/>
      <c r="Z1114" s="29"/>
      <c r="AA1114" s="29"/>
    </row>
    <row r="1115" spans="1:67" s="3" customFormat="1" ht="13.5" hidden="1" customHeight="1" x14ac:dyDescent="0.25">
      <c r="A1115" t="str">
        <f>IF(R1115=0,"",COUNTIF(A$13:A1114,"&gt;0")+1)</f>
        <v/>
      </c>
      <c r="B1115" s="4"/>
      <c r="C1115" s="5" t="s">
        <v>44</v>
      </c>
      <c r="D1115" s="7" t="s">
        <v>380</v>
      </c>
      <c r="E1115" s="31"/>
      <c r="F1115" s="31"/>
      <c r="G1115" s="6" t="s">
        <v>381</v>
      </c>
      <c r="H1115" s="7">
        <f>VLOOKUP(D1115,A!B$1:L$1126,8,FALSE)</f>
        <v>0</v>
      </c>
      <c r="I1115" s="31">
        <f>VLOOKUP(D1115,A!B$1:L$1126,8,FALSE)</f>
        <v>0</v>
      </c>
      <c r="J1115" s="92"/>
      <c r="K1115" s="63" t="str">
        <f>VLOOKUP(D1115,A!B$1:P$1126,11,FALSE)</f>
        <v/>
      </c>
      <c r="L1115" s="162"/>
      <c r="M1115" s="43" t="s">
        <v>382</v>
      </c>
      <c r="N1115" s="94">
        <f>VLOOKUP(D1115,A!B$1:L$1125,7,FALSE)</f>
        <v>0</v>
      </c>
      <c r="O1115" s="94">
        <f>VLOOKUP(D1115,A!B$1:P$1126,9,FALSE)</f>
        <v>0</v>
      </c>
      <c r="P1115" s="10">
        <v>6</v>
      </c>
      <c r="Q1115" s="10">
        <v>5.95</v>
      </c>
      <c r="R1115" s="10">
        <f t="shared" si="151"/>
        <v>0</v>
      </c>
      <c r="S1115" s="10">
        <f t="shared" si="152"/>
        <v>0</v>
      </c>
      <c r="T1115" s="10" t="s">
        <v>328</v>
      </c>
      <c r="U1115" s="115">
        <v>0.35</v>
      </c>
      <c r="V1115" s="10">
        <f>VLOOKUP(D1115,A!B$1:T$1125,17,FALSE)</f>
        <v>0</v>
      </c>
      <c r="W1115" s="10">
        <f t="shared" si="153"/>
        <v>0</v>
      </c>
      <c r="X1115" s="29"/>
      <c r="Y1115" s="29"/>
      <c r="Z1115" s="29"/>
      <c r="AA1115" s="29"/>
    </row>
    <row r="1116" spans="1:67" s="3" customFormat="1" ht="13.5" hidden="1" customHeight="1" x14ac:dyDescent="0.25">
      <c r="A1116" t="str">
        <f>IF(R1116=0,"",COUNTIF(A$13:A1115,"&gt;0")+1)</f>
        <v/>
      </c>
      <c r="B1116" s="4"/>
      <c r="C1116" s="5" t="s">
        <v>44</v>
      </c>
      <c r="D1116" s="7" t="s">
        <v>383</v>
      </c>
      <c r="E1116" s="31"/>
      <c r="F1116" s="31"/>
      <c r="G1116" s="6" t="s">
        <v>384</v>
      </c>
      <c r="H1116" s="7">
        <f>VLOOKUP(D1116,A!B$1:L$1126,8,FALSE)</f>
        <v>0</v>
      </c>
      <c r="I1116" s="31">
        <f>VLOOKUP(D1116,A!B$1:L$1126,8,FALSE)</f>
        <v>0</v>
      </c>
      <c r="J1116" s="92"/>
      <c r="K1116" s="63" t="str">
        <f>VLOOKUP(D1116,A!B$1:P$1126,11,FALSE)</f>
        <v/>
      </c>
      <c r="L1116" s="162"/>
      <c r="M1116" s="43" t="s">
        <v>385</v>
      </c>
      <c r="N1116" s="94">
        <f>VLOOKUP(D1116,A!B$1:L$1125,7,FALSE)</f>
        <v>0</v>
      </c>
      <c r="O1116" s="94">
        <f>VLOOKUP(D1116,A!B$1:P$1126,9,FALSE)</f>
        <v>0</v>
      </c>
      <c r="P1116" s="10">
        <v>6</v>
      </c>
      <c r="Q1116" s="10">
        <v>5.95</v>
      </c>
      <c r="R1116" s="10">
        <f t="shared" si="151"/>
        <v>0</v>
      </c>
      <c r="S1116" s="10">
        <f t="shared" si="152"/>
        <v>0</v>
      </c>
      <c r="T1116" s="10" t="s">
        <v>328</v>
      </c>
      <c r="U1116" s="115">
        <v>0.35</v>
      </c>
      <c r="V1116" s="10">
        <f>VLOOKUP(D1116,A!B$1:T$1125,17,FALSE)</f>
        <v>0</v>
      </c>
      <c r="W1116" s="10">
        <f t="shared" si="153"/>
        <v>0</v>
      </c>
      <c r="X1116" s="29"/>
      <c r="Y1116" s="29"/>
      <c r="Z1116" s="29"/>
      <c r="AA1116" s="29"/>
    </row>
    <row r="1117" spans="1:67" s="3" customFormat="1" ht="13.5" hidden="1" customHeight="1" x14ac:dyDescent="0.25">
      <c r="A1117" t="str">
        <f>IF(R1117=0,"",COUNTIF(A$13:A1116,"&gt;0")+1)</f>
        <v/>
      </c>
      <c r="B1117" s="4"/>
      <c r="C1117" s="5" t="s">
        <v>44</v>
      </c>
      <c r="D1117" s="7" t="s">
        <v>386</v>
      </c>
      <c r="E1117" s="31"/>
      <c r="F1117" s="31"/>
      <c r="G1117" s="6" t="s">
        <v>387</v>
      </c>
      <c r="H1117" s="7">
        <f>VLOOKUP(D1117,A!B$1:L$1126,8,FALSE)</f>
        <v>0</v>
      </c>
      <c r="I1117" s="31">
        <f>VLOOKUP(D1117,A!B$1:L$1126,8,FALSE)</f>
        <v>0</v>
      </c>
      <c r="J1117" s="92"/>
      <c r="K1117" s="63" t="str">
        <f>VLOOKUP(D1117,A!B$1:P$1126,11,FALSE)</f>
        <v/>
      </c>
      <c r="L1117" s="162"/>
      <c r="M1117" s="43" t="s">
        <v>388</v>
      </c>
      <c r="N1117" s="94">
        <f>VLOOKUP(D1117,A!B$1:L$1125,7,FALSE)</f>
        <v>0</v>
      </c>
      <c r="O1117" s="94">
        <f>VLOOKUP(D1117,A!B$1:P$1126,9,FALSE)</f>
        <v>0</v>
      </c>
      <c r="P1117" s="10">
        <v>6</v>
      </c>
      <c r="Q1117" s="10">
        <v>5.95</v>
      </c>
      <c r="R1117" s="10">
        <f t="shared" si="151"/>
        <v>0</v>
      </c>
      <c r="S1117" s="10">
        <f t="shared" si="152"/>
        <v>0</v>
      </c>
      <c r="T1117" s="10" t="s">
        <v>328</v>
      </c>
      <c r="U1117" s="115">
        <v>0.35</v>
      </c>
      <c r="V1117" s="10">
        <f>VLOOKUP(D1117,A!B$1:T$1125,17,FALSE)</f>
        <v>0</v>
      </c>
      <c r="W1117" s="10">
        <f t="shared" si="153"/>
        <v>0</v>
      </c>
      <c r="X1117" s="29"/>
      <c r="Y1117" s="29"/>
      <c r="Z1117" s="29"/>
      <c r="AA1117" s="29"/>
    </row>
    <row r="1118" spans="1:67" s="3" customFormat="1" ht="13.5" hidden="1" customHeight="1" x14ac:dyDescent="0.25">
      <c r="A1118" t="str">
        <f>IF(R1118=0,"",COUNTIF(A$13:A1117,"&gt;0")+1)</f>
        <v/>
      </c>
      <c r="B1118" s="4"/>
      <c r="C1118" s="5" t="s">
        <v>44</v>
      </c>
      <c r="D1118" s="7" t="s">
        <v>130</v>
      </c>
      <c r="E1118" s="31"/>
      <c r="F1118" s="31"/>
      <c r="G1118" s="6" t="s">
        <v>131</v>
      </c>
      <c r="H1118" s="7">
        <f>VLOOKUP(D1118,A!B$1:L$1126,8,FALSE)</f>
        <v>0</v>
      </c>
      <c r="I1118" s="31">
        <f>VLOOKUP(D1118,A!B$1:L$1126,8,FALSE)</f>
        <v>0</v>
      </c>
      <c r="J1118" s="92"/>
      <c r="K1118" s="63" t="str">
        <f>VLOOKUP(D1118,A!B$1:P$1126,11,FALSE)</f>
        <v/>
      </c>
      <c r="L1118" s="2"/>
      <c r="M1118" s="43" t="s">
        <v>132</v>
      </c>
      <c r="N1118" s="94">
        <f>VLOOKUP(D1118,A!B$1:L$1125,7,FALSE)</f>
        <v>0</v>
      </c>
      <c r="O1118" s="94">
        <f>VLOOKUP(D1118,A!B$1:P$1126,9,FALSE)</f>
        <v>0</v>
      </c>
      <c r="P1118" s="10">
        <v>6</v>
      </c>
      <c r="Q1118" s="10">
        <v>5.95</v>
      </c>
      <c r="R1118" s="10">
        <f t="shared" si="151"/>
        <v>0</v>
      </c>
      <c r="S1118" s="10">
        <f t="shared" si="152"/>
        <v>0</v>
      </c>
      <c r="T1118" s="10" t="s">
        <v>328</v>
      </c>
      <c r="U1118" s="115">
        <v>0.35</v>
      </c>
      <c r="V1118" s="10">
        <f>VLOOKUP(D1118,A!B$1:T$1125,17,FALSE)</f>
        <v>0</v>
      </c>
      <c r="W1118" s="10">
        <f t="shared" si="153"/>
        <v>0</v>
      </c>
      <c r="X1118" s="115"/>
      <c r="Y1118" s="115"/>
      <c r="Z1118" s="29"/>
      <c r="AA1118" s="29"/>
    </row>
    <row r="1119" spans="1:67" s="3" customFormat="1" ht="13.5" hidden="1" customHeight="1" x14ac:dyDescent="0.25">
      <c r="A1119" t="str">
        <f>IF(R1119=0,"",COUNTIF(A$13:A1118,"&gt;0")+1)</f>
        <v/>
      </c>
      <c r="B1119" s="4"/>
      <c r="C1119" s="5" t="s">
        <v>44</v>
      </c>
      <c r="D1119" s="7" t="s">
        <v>181</v>
      </c>
      <c r="E1119" s="31"/>
      <c r="F1119" s="31"/>
      <c r="G1119" s="6" t="s">
        <v>182</v>
      </c>
      <c r="H1119" s="7">
        <f>VLOOKUP(D1119,A!B$1:L$1126,8,FALSE)</f>
        <v>0</v>
      </c>
      <c r="I1119" s="31">
        <f>VLOOKUP(D1119,A!B$1:L$1126,8,FALSE)</f>
        <v>0</v>
      </c>
      <c r="J1119" s="92"/>
      <c r="K1119" s="63" t="str">
        <f>VLOOKUP(D1119,A!B$1:P$1126,11,FALSE)</f>
        <v/>
      </c>
      <c r="L1119" s="2"/>
      <c r="M1119" s="43" t="s">
        <v>183</v>
      </c>
      <c r="N1119" s="94">
        <f>VLOOKUP(D1119,A!B$1:L$1125,7,FALSE)</f>
        <v>0</v>
      </c>
      <c r="O1119" s="94">
        <f>VLOOKUP(D1119,A!B$1:P$1126,9,FALSE)</f>
        <v>0</v>
      </c>
      <c r="P1119" s="10">
        <v>6</v>
      </c>
      <c r="Q1119" s="10">
        <v>5.95</v>
      </c>
      <c r="R1119" s="10">
        <f t="shared" si="151"/>
        <v>0</v>
      </c>
      <c r="S1119" s="10">
        <f t="shared" si="152"/>
        <v>0</v>
      </c>
      <c r="T1119" s="10" t="s">
        <v>328</v>
      </c>
      <c r="U1119" s="115">
        <v>0.35</v>
      </c>
      <c r="V1119" s="10">
        <f>VLOOKUP(D1119,A!B$1:T$1125,17,FALSE)</f>
        <v>0</v>
      </c>
      <c r="W1119" s="10">
        <f t="shared" si="153"/>
        <v>0</v>
      </c>
      <c r="X1119" s="115"/>
      <c r="Y1119" s="115"/>
      <c r="Z1119" s="29"/>
      <c r="AA1119" s="29"/>
    </row>
    <row r="1120" spans="1:67" s="3" customFormat="1" ht="13.5" hidden="1" customHeight="1" x14ac:dyDescent="0.25">
      <c r="A1120" t="str">
        <f>IF(R1120=0,"",COUNTIF(A$13:A1119,"&gt;0")+1)</f>
        <v/>
      </c>
      <c r="B1120" s="4"/>
      <c r="C1120" s="5" t="s">
        <v>44</v>
      </c>
      <c r="D1120" s="7" t="s">
        <v>389</v>
      </c>
      <c r="E1120" s="31"/>
      <c r="F1120" s="31"/>
      <c r="G1120" s="6" t="s">
        <v>390</v>
      </c>
      <c r="H1120" s="7">
        <f>VLOOKUP(D1120,A!B$1:L$1126,8,FALSE)</f>
        <v>0</v>
      </c>
      <c r="I1120" s="31">
        <f>VLOOKUP(D1120,A!B$1:L$1126,8,FALSE)</f>
        <v>0</v>
      </c>
      <c r="J1120" s="92"/>
      <c r="K1120" s="63" t="str">
        <f>VLOOKUP(D1120,A!B$1:P$1126,11,FALSE)</f>
        <v/>
      </c>
      <c r="L1120" s="162"/>
      <c r="M1120" s="43" t="s">
        <v>391</v>
      </c>
      <c r="N1120" s="94">
        <f>VLOOKUP(D1120,A!B$1:L$1125,7,FALSE)</f>
        <v>0</v>
      </c>
      <c r="O1120" s="94">
        <f>VLOOKUP(D1120,A!B$1:P$1126,9,FALSE)</f>
        <v>0</v>
      </c>
      <c r="P1120" s="10">
        <v>6</v>
      </c>
      <c r="Q1120" s="10">
        <v>5.95</v>
      </c>
      <c r="R1120" s="10">
        <f t="shared" si="151"/>
        <v>0</v>
      </c>
      <c r="S1120" s="10">
        <f t="shared" si="152"/>
        <v>0</v>
      </c>
      <c r="T1120" s="10" t="s">
        <v>328</v>
      </c>
      <c r="U1120" s="115">
        <v>0.35</v>
      </c>
      <c r="V1120" s="10">
        <f>VLOOKUP(D1120,A!B$1:T$1125,17,FALSE)</f>
        <v>0</v>
      </c>
      <c r="W1120" s="10">
        <f t="shared" si="153"/>
        <v>0</v>
      </c>
      <c r="X1120" s="29"/>
      <c r="Y1120" s="29"/>
      <c r="Z1120" s="29"/>
      <c r="AA1120" s="29"/>
    </row>
    <row r="1121" spans="1:67" s="3" customFormat="1" ht="13.5" hidden="1" customHeight="1" x14ac:dyDescent="0.25">
      <c r="A1121" t="str">
        <f>IF(R1121=0,"",COUNTIF(A$13:A1120,"&gt;0")+1)</f>
        <v/>
      </c>
      <c r="B1121" s="4"/>
      <c r="C1121" s="5" t="s">
        <v>44</v>
      </c>
      <c r="D1121" s="7" t="s">
        <v>377</v>
      </c>
      <c r="E1121" s="31"/>
      <c r="F1121" s="31"/>
      <c r="G1121" s="6" t="s">
        <v>378</v>
      </c>
      <c r="H1121" s="7">
        <f>VLOOKUP(D1121,A!B$1:L$1126,8,FALSE)</f>
        <v>0</v>
      </c>
      <c r="I1121" s="31">
        <f>VLOOKUP(D1121,A!B$1:L$1126,8,FALSE)</f>
        <v>0</v>
      </c>
      <c r="J1121" s="92"/>
      <c r="K1121" s="63" t="str">
        <f>VLOOKUP(D1121,A!B$1:P$1126,11,FALSE)</f>
        <v/>
      </c>
      <c r="L1121" s="162"/>
      <c r="M1121" s="43" t="s">
        <v>379</v>
      </c>
      <c r="N1121" s="94">
        <f>VLOOKUP(D1121,A!B$1:L$1125,7,FALSE)</f>
        <v>0</v>
      </c>
      <c r="O1121" s="94">
        <f>VLOOKUP(D1121,A!B$1:P$1126,9,FALSE)</f>
        <v>0</v>
      </c>
      <c r="P1121" s="10">
        <v>6</v>
      </c>
      <c r="Q1121" s="10">
        <v>5.95</v>
      </c>
      <c r="R1121" s="10">
        <f t="shared" si="151"/>
        <v>0</v>
      </c>
      <c r="S1121" s="10">
        <f t="shared" si="152"/>
        <v>0</v>
      </c>
      <c r="T1121" s="10" t="s">
        <v>328</v>
      </c>
      <c r="U1121" s="115">
        <v>0.35</v>
      </c>
      <c r="V1121" s="10">
        <f>VLOOKUP(D1121,A!B$1:T$1125,17,FALSE)</f>
        <v>0</v>
      </c>
      <c r="W1121" s="10">
        <f t="shared" si="153"/>
        <v>0</v>
      </c>
      <c r="X1121" s="29"/>
      <c r="Y1121" s="29"/>
      <c r="Z1121" s="29"/>
      <c r="AA1121" s="29"/>
    </row>
    <row r="1122" spans="1:67" s="3" customFormat="1" ht="13.5" hidden="1" customHeight="1" x14ac:dyDescent="0.25">
      <c r="A1122" t="str">
        <f>IF(R1122=0,"",COUNTIF(A$13:A1121,"&gt;0")+1)</f>
        <v/>
      </c>
      <c r="B1122" s="4"/>
      <c r="C1122" s="5" t="s">
        <v>44</v>
      </c>
      <c r="D1122" s="7" t="s">
        <v>392</v>
      </c>
      <c r="E1122" s="31"/>
      <c r="F1122" s="31"/>
      <c r="G1122" s="6" t="s">
        <v>393</v>
      </c>
      <c r="H1122" s="7">
        <f>VLOOKUP(D1122,A!B$1:L$1126,8,FALSE)</f>
        <v>0</v>
      </c>
      <c r="I1122" s="31">
        <f>VLOOKUP(D1122,A!B$1:L$1126,8,FALSE)</f>
        <v>0</v>
      </c>
      <c r="J1122" s="92"/>
      <c r="K1122" s="63" t="str">
        <f>VLOOKUP(D1122,A!B$1:P$1126,11,FALSE)</f>
        <v/>
      </c>
      <c r="L1122" s="162"/>
      <c r="M1122" s="43" t="s">
        <v>394</v>
      </c>
      <c r="N1122" s="94">
        <f>VLOOKUP(D1122,A!B$1:L$1125,7,FALSE)</f>
        <v>0</v>
      </c>
      <c r="O1122" s="94">
        <f>VLOOKUP(D1122,A!B$1:P$1126,9,FALSE)</f>
        <v>0</v>
      </c>
      <c r="P1122" s="10">
        <v>6</v>
      </c>
      <c r="Q1122" s="10">
        <v>5.95</v>
      </c>
      <c r="R1122" s="10">
        <f t="shared" si="151"/>
        <v>0</v>
      </c>
      <c r="S1122" s="10">
        <f t="shared" si="152"/>
        <v>0</v>
      </c>
      <c r="T1122" s="10" t="s">
        <v>328</v>
      </c>
      <c r="U1122" s="115">
        <v>0.35</v>
      </c>
      <c r="V1122" s="10">
        <f>VLOOKUP(D1122,A!B$1:T$1125,17,FALSE)</f>
        <v>0</v>
      </c>
      <c r="W1122" s="10">
        <f t="shared" si="153"/>
        <v>0</v>
      </c>
      <c r="X1122" s="29"/>
      <c r="Y1122" s="29"/>
      <c r="Z1122" s="29"/>
      <c r="AA1122" s="29"/>
    </row>
    <row r="1123" spans="1:67" s="3" customFormat="1" ht="13.5" hidden="1" customHeight="1" x14ac:dyDescent="0.25">
      <c r="A1123" t="str">
        <f>IF(R1123=0,"",COUNTIF(A$13:A1122,"&gt;0")+1)</f>
        <v/>
      </c>
      <c r="B1123" s="4"/>
      <c r="C1123" s="5" t="s">
        <v>44</v>
      </c>
      <c r="D1123" s="7" t="s">
        <v>395</v>
      </c>
      <c r="E1123" s="31"/>
      <c r="F1123" s="31"/>
      <c r="G1123" s="6" t="s">
        <v>396</v>
      </c>
      <c r="H1123" s="7">
        <f>VLOOKUP(D1123,A!B$1:L$1126,8,FALSE)</f>
        <v>0</v>
      </c>
      <c r="I1123" s="31">
        <f>VLOOKUP(D1123,A!B$1:L$1126,8,FALSE)</f>
        <v>0</v>
      </c>
      <c r="J1123" s="92"/>
      <c r="K1123" s="63" t="str">
        <f>VLOOKUP(D1123,A!B$1:P$1126,11,FALSE)</f>
        <v/>
      </c>
      <c r="L1123" s="162"/>
      <c r="M1123" s="42" t="s">
        <v>397</v>
      </c>
      <c r="N1123" s="94">
        <f>VLOOKUP(D1123,A!B$1:L$1125,7,FALSE)</f>
        <v>0</v>
      </c>
      <c r="O1123" s="94">
        <f>VLOOKUP(D1123,A!B$1:P$1126,9,FALSE)</f>
        <v>0</v>
      </c>
      <c r="P1123" s="10">
        <v>6</v>
      </c>
      <c r="Q1123" s="10">
        <v>5.95</v>
      </c>
      <c r="R1123" s="10">
        <f t="shared" si="151"/>
        <v>0</v>
      </c>
      <c r="S1123" s="10">
        <f t="shared" si="152"/>
        <v>0</v>
      </c>
      <c r="T1123" s="10" t="s">
        <v>328</v>
      </c>
      <c r="U1123" s="115">
        <v>0.35</v>
      </c>
      <c r="V1123" s="10">
        <f>VLOOKUP(D1123,A!B$1:T$1125,17,FALSE)</f>
        <v>0</v>
      </c>
      <c r="W1123" s="10">
        <f t="shared" si="153"/>
        <v>0</v>
      </c>
      <c r="X1123" s="29"/>
      <c r="Y1123" s="29"/>
      <c r="Z1123" s="29"/>
      <c r="AA1123" s="29"/>
    </row>
    <row r="1124" spans="1:67" s="3" customFormat="1" ht="13.5" hidden="1" customHeight="1" x14ac:dyDescent="0.25">
      <c r="A1124" t="str">
        <f>IF(R1124=0,"",COUNTIF(A$13:A1123,"&gt;0")+1)</f>
        <v/>
      </c>
      <c r="B1124" s="4"/>
      <c r="C1124" s="5" t="s">
        <v>44</v>
      </c>
      <c r="D1124" s="18" t="s">
        <v>398</v>
      </c>
      <c r="E1124" s="87"/>
      <c r="F1124" s="87"/>
      <c r="G1124" s="6" t="s">
        <v>399</v>
      </c>
      <c r="H1124" s="7">
        <f>VLOOKUP(D1124,A!B$1:L$1126,8,FALSE)</f>
        <v>0</v>
      </c>
      <c r="I1124" s="31">
        <f>VLOOKUP(D1124,A!B$1:L$1126,8,FALSE)</f>
        <v>0</v>
      </c>
      <c r="J1124" s="92"/>
      <c r="K1124" s="63" t="str">
        <f>VLOOKUP(D1124,A!B$1:P$1126,11,FALSE)</f>
        <v/>
      </c>
      <c r="L1124" s="163"/>
      <c r="M1124" s="164" t="s">
        <v>400</v>
      </c>
      <c r="N1124" s="94">
        <f>VLOOKUP(D1124,A!B$1:L$1125,7,FALSE)</f>
        <v>0</v>
      </c>
      <c r="O1124" s="94">
        <f>VLOOKUP(D1124,A!B$1:P$1126,9,FALSE)</f>
        <v>0</v>
      </c>
      <c r="P1124" s="10">
        <v>6</v>
      </c>
      <c r="Q1124" s="10">
        <v>5.95</v>
      </c>
      <c r="R1124" s="10">
        <f t="shared" si="151"/>
        <v>0</v>
      </c>
      <c r="S1124" s="10">
        <f t="shared" si="152"/>
        <v>0</v>
      </c>
      <c r="T1124" s="10" t="s">
        <v>328</v>
      </c>
      <c r="U1124" s="115">
        <v>0.35</v>
      </c>
      <c r="V1124" s="10">
        <f>VLOOKUP(D1124,A!B$1:T$1125,17,FALSE)</f>
        <v>0</v>
      </c>
      <c r="W1124" s="10">
        <f t="shared" si="153"/>
        <v>0</v>
      </c>
      <c r="X1124" s="29"/>
      <c r="Y1124" s="29"/>
      <c r="Z1124" s="29"/>
      <c r="AA1124" s="29"/>
    </row>
    <row r="1125" spans="1:67" s="3" customFormat="1" ht="13.5" hidden="1" customHeight="1" x14ac:dyDescent="0.25">
      <c r="A1125" t="str">
        <f>IF(R1125=0,"",COUNTIF(A$13:A1124,"&gt;0")+1)</f>
        <v/>
      </c>
      <c r="B1125" s="4"/>
      <c r="C1125" s="5" t="s">
        <v>44</v>
      </c>
      <c r="D1125" s="7" t="s">
        <v>401</v>
      </c>
      <c r="E1125" s="31"/>
      <c r="F1125" s="31"/>
      <c r="G1125" s="6" t="s">
        <v>402</v>
      </c>
      <c r="H1125" s="7">
        <f>VLOOKUP(D1125,A!B$1:L$1126,8,FALSE)</f>
        <v>0</v>
      </c>
      <c r="I1125" s="31">
        <f>VLOOKUP(D1125,A!B$1:L$1126,8,FALSE)</f>
        <v>0</v>
      </c>
      <c r="J1125" s="92"/>
      <c r="K1125" s="63" t="str">
        <f>VLOOKUP(D1125,A!B$1:P$1126,11,FALSE)</f>
        <v/>
      </c>
      <c r="L1125" s="162"/>
      <c r="M1125" s="40" t="s">
        <v>403</v>
      </c>
      <c r="N1125" s="94">
        <f>VLOOKUP(D1125,A!B$1:L$1125,7,FALSE)</f>
        <v>0</v>
      </c>
      <c r="O1125" s="94">
        <f>VLOOKUP(D1125,A!B$1:P$1126,9,FALSE)</f>
        <v>0</v>
      </c>
      <c r="P1125" s="10">
        <v>6</v>
      </c>
      <c r="Q1125" s="10">
        <v>5.95</v>
      </c>
      <c r="R1125" s="10">
        <f t="shared" si="151"/>
        <v>0</v>
      </c>
      <c r="S1125" s="10">
        <f t="shared" si="152"/>
        <v>0</v>
      </c>
      <c r="T1125" s="10" t="s">
        <v>328</v>
      </c>
      <c r="U1125" s="115">
        <v>0.35</v>
      </c>
      <c r="V1125" s="10">
        <f>VLOOKUP(D1125,A!B$1:T$1125,17,FALSE)</f>
        <v>0</v>
      </c>
      <c r="W1125" s="10">
        <f t="shared" si="153"/>
        <v>0</v>
      </c>
      <c r="X1125" s="29"/>
      <c r="Y1125" s="29"/>
      <c r="Z1125" s="29"/>
      <c r="AA1125" s="29"/>
    </row>
    <row r="1126" spans="1:67" s="3" customFormat="1" ht="13.5" hidden="1" customHeight="1" x14ac:dyDescent="0.25">
      <c r="A1126" t="str">
        <f>IF(R1126=0,"",COUNTIF(A$13:A1125,"&gt;0")+1)</f>
        <v/>
      </c>
      <c r="B1126" s="4"/>
      <c r="C1126" s="5" t="s">
        <v>44</v>
      </c>
      <c r="D1126" s="7" t="s">
        <v>404</v>
      </c>
      <c r="E1126" s="31"/>
      <c r="F1126" s="31"/>
      <c r="G1126" s="6" t="s">
        <v>405</v>
      </c>
      <c r="H1126" s="7">
        <f>VLOOKUP(D1126,A!B$1:L$1126,8,FALSE)</f>
        <v>0</v>
      </c>
      <c r="I1126" s="31">
        <f>VLOOKUP(D1126,A!B$1:L$1126,8,FALSE)</f>
        <v>0</v>
      </c>
      <c r="J1126" s="92"/>
      <c r="K1126" s="63" t="str">
        <f>VLOOKUP(D1126,A!B$1:P$1126,11,FALSE)</f>
        <v/>
      </c>
      <c r="L1126" s="162"/>
      <c r="M1126" s="43" t="s">
        <v>406</v>
      </c>
      <c r="N1126" s="94">
        <f>VLOOKUP(D1126,A!B$1:L$1125,7,FALSE)</f>
        <v>0</v>
      </c>
      <c r="O1126" s="94">
        <f>VLOOKUP(D1126,A!B$1:P$1126,9,FALSE)</f>
        <v>0</v>
      </c>
      <c r="P1126" s="10">
        <v>6</v>
      </c>
      <c r="Q1126" s="10">
        <v>5.95</v>
      </c>
      <c r="R1126" s="10">
        <f t="shared" si="151"/>
        <v>0</v>
      </c>
      <c r="S1126" s="10">
        <f t="shared" si="152"/>
        <v>0</v>
      </c>
      <c r="T1126" s="10" t="s">
        <v>328</v>
      </c>
      <c r="U1126" s="115">
        <v>0.35</v>
      </c>
      <c r="V1126" s="10">
        <f>VLOOKUP(D1126,A!B$1:T$1125,17,FALSE)</f>
        <v>0</v>
      </c>
      <c r="W1126" s="10">
        <f t="shared" si="153"/>
        <v>0</v>
      </c>
      <c r="X1126" s="29"/>
      <c r="Y1126" s="29"/>
      <c r="Z1126" s="29"/>
      <c r="AA1126" s="29"/>
    </row>
    <row r="1127" spans="1:67" s="3" customFormat="1" ht="13.5" hidden="1" customHeight="1" x14ac:dyDescent="0.25">
      <c r="A1127" t="str">
        <f>IF(R1127=0,"",COUNTIF(A$13:A1126,"&gt;0")+1)</f>
        <v/>
      </c>
      <c r="B1127" s="4"/>
      <c r="C1127" s="5" t="s">
        <v>44</v>
      </c>
      <c r="D1127" s="7" t="s">
        <v>407</v>
      </c>
      <c r="E1127" s="31"/>
      <c r="F1127" s="31"/>
      <c r="G1127" s="6" t="s">
        <v>408</v>
      </c>
      <c r="H1127" s="7">
        <f>VLOOKUP(D1127,A!B$1:L$1126,8,FALSE)</f>
        <v>0</v>
      </c>
      <c r="I1127" s="31">
        <f>VLOOKUP(D1127,A!B$1:L$1126,8,FALSE)</f>
        <v>0</v>
      </c>
      <c r="J1127" s="92"/>
      <c r="K1127" s="63" t="str">
        <f>VLOOKUP(D1127,A!B$1:P$1126,11,FALSE)</f>
        <v/>
      </c>
      <c r="L1127" s="162"/>
      <c r="M1127" s="43" t="s">
        <v>409</v>
      </c>
      <c r="N1127" s="94">
        <f>VLOOKUP(D1127,A!B$1:L$1125,7,FALSE)</f>
        <v>0</v>
      </c>
      <c r="O1127" s="94">
        <f>VLOOKUP(D1127,A!B$1:P$1126,9,FALSE)</f>
        <v>0</v>
      </c>
      <c r="P1127" s="10">
        <v>6</v>
      </c>
      <c r="Q1127" s="10">
        <v>5.95</v>
      </c>
      <c r="R1127" s="10">
        <f t="shared" si="151"/>
        <v>0</v>
      </c>
      <c r="S1127" s="10">
        <f t="shared" si="152"/>
        <v>0</v>
      </c>
      <c r="T1127" s="10" t="s">
        <v>328</v>
      </c>
      <c r="U1127" s="115">
        <v>0.35</v>
      </c>
      <c r="V1127" s="10">
        <f>VLOOKUP(D1127,A!B$1:T$1125,17,FALSE)</f>
        <v>0</v>
      </c>
      <c r="W1127" s="10">
        <f t="shared" si="153"/>
        <v>0</v>
      </c>
      <c r="X1127" s="29"/>
      <c r="Y1127" s="29"/>
      <c r="Z1127" s="29"/>
      <c r="AA1127" s="29"/>
    </row>
    <row r="1128" spans="1:67" s="3" customFormat="1" ht="13.5" hidden="1" customHeight="1" x14ac:dyDescent="0.25">
      <c r="A1128" t="str">
        <f>IF(R1128=0,"",COUNTIF(A$13:A1127,"&gt;0")+1)</f>
        <v/>
      </c>
      <c r="B1128" s="4"/>
      <c r="C1128" s="5" t="s">
        <v>44</v>
      </c>
      <c r="D1128" s="7" t="s">
        <v>410</v>
      </c>
      <c r="E1128" s="31"/>
      <c r="F1128" s="31"/>
      <c r="G1128" s="6" t="s">
        <v>411</v>
      </c>
      <c r="H1128" s="7">
        <f>VLOOKUP(D1128,A!B$1:L$1126,8,FALSE)</f>
        <v>0</v>
      </c>
      <c r="I1128" s="31">
        <f>VLOOKUP(D1128,A!B$1:L$1126,8,FALSE)</f>
        <v>0</v>
      </c>
      <c r="J1128" s="92"/>
      <c r="K1128" s="63" t="str">
        <f>VLOOKUP(D1128,A!B$1:P$1126,11,FALSE)</f>
        <v/>
      </c>
      <c r="L1128" s="162"/>
      <c r="M1128" s="43" t="s">
        <v>412</v>
      </c>
      <c r="N1128" s="94">
        <f>VLOOKUP(D1128,A!B$1:L$1125,7,FALSE)</f>
        <v>0</v>
      </c>
      <c r="O1128" s="94">
        <f>VLOOKUP(D1128,A!B$1:P$1126,9,FALSE)</f>
        <v>0</v>
      </c>
      <c r="P1128" s="10">
        <v>6</v>
      </c>
      <c r="Q1128" s="10">
        <v>5.95</v>
      </c>
      <c r="R1128" s="10">
        <f t="shared" si="151"/>
        <v>0</v>
      </c>
      <c r="S1128" s="10">
        <f t="shared" si="152"/>
        <v>0</v>
      </c>
      <c r="T1128" s="10" t="s">
        <v>328</v>
      </c>
      <c r="U1128" s="115">
        <v>0.35</v>
      </c>
      <c r="V1128" s="10">
        <f>VLOOKUP(D1128,A!B$1:T$1125,17,FALSE)</f>
        <v>0</v>
      </c>
      <c r="W1128" s="10">
        <f t="shared" si="153"/>
        <v>0</v>
      </c>
      <c r="X1128" s="29"/>
      <c r="Y1128" s="29"/>
      <c r="Z1128" s="29"/>
      <c r="AA1128" s="29"/>
    </row>
    <row r="1129" spans="1:67" s="3" customFormat="1" ht="13.5" hidden="1" customHeight="1" x14ac:dyDescent="0.25">
      <c r="A1129" t="str">
        <f>IF(R1129=0,"",COUNTIF(A$13:A1128,"&gt;0")+1)</f>
        <v/>
      </c>
      <c r="B1129" s="4"/>
      <c r="C1129" s="5" t="s">
        <v>44</v>
      </c>
      <c r="D1129" s="7" t="s">
        <v>133</v>
      </c>
      <c r="E1129" s="31"/>
      <c r="F1129" s="31"/>
      <c r="G1129" s="6" t="s">
        <v>134</v>
      </c>
      <c r="H1129" s="7">
        <f>VLOOKUP(D1129,A!B$1:L$1126,8,FALSE)</f>
        <v>0</v>
      </c>
      <c r="I1129" s="31">
        <f>VLOOKUP(D1129,A!B$1:L$1126,8,FALSE)</f>
        <v>0</v>
      </c>
      <c r="J1129" s="92"/>
      <c r="K1129" s="63" t="str">
        <f>VLOOKUP(D1129,A!B$1:P$1126,11,FALSE)</f>
        <v/>
      </c>
      <c r="L1129" s="162"/>
      <c r="M1129" s="43" t="s">
        <v>413</v>
      </c>
      <c r="N1129" s="94">
        <f>VLOOKUP(D1129,A!B$1:L$1125,7,FALSE)</f>
        <v>0</v>
      </c>
      <c r="O1129" s="94">
        <f>VLOOKUP(D1129,A!B$1:P$1126,9,FALSE)</f>
        <v>0</v>
      </c>
      <c r="P1129" s="10">
        <v>6</v>
      </c>
      <c r="Q1129" s="10">
        <v>5.95</v>
      </c>
      <c r="R1129" s="10">
        <f t="shared" si="151"/>
        <v>0</v>
      </c>
      <c r="S1129" s="10">
        <f t="shared" si="152"/>
        <v>0</v>
      </c>
      <c r="T1129" s="10" t="s">
        <v>328</v>
      </c>
      <c r="U1129" s="115">
        <v>0.35</v>
      </c>
      <c r="V1129" s="10">
        <f>VLOOKUP(D1129,A!B$1:T$1125,17,FALSE)</f>
        <v>0</v>
      </c>
      <c r="W1129" s="10">
        <f t="shared" si="153"/>
        <v>0</v>
      </c>
      <c r="X1129" s="29"/>
      <c r="Y1129" s="29"/>
      <c r="Z1129" s="29"/>
      <c r="AA1129" s="29"/>
    </row>
    <row r="1130" spans="1:67" ht="12" hidden="1" customHeight="1" x14ac:dyDescent="0.25">
      <c r="A1130" t="str">
        <f>IF(R1130=0,"",COUNTIF(A$13:A1129,"&gt;0")+1)</f>
        <v/>
      </c>
      <c r="B1130" s="4"/>
      <c r="C1130" s="5" t="s">
        <v>44</v>
      </c>
      <c r="D1130" s="7" t="s">
        <v>414</v>
      </c>
      <c r="E1130" s="31"/>
      <c r="F1130" s="31"/>
      <c r="G1130" s="6" t="s">
        <v>134</v>
      </c>
      <c r="H1130" s="7">
        <f>VLOOKUP(D1130,A!B$1:L$1126,8,FALSE)</f>
        <v>0</v>
      </c>
      <c r="I1130" s="31">
        <f>VLOOKUP(D1130,A!B$1:L$1126,8,FALSE)</f>
        <v>0</v>
      </c>
      <c r="J1130" s="92"/>
      <c r="K1130" s="63" t="str">
        <f>VLOOKUP(D1130,A!B$1:P$1126,11,FALSE)</f>
        <v/>
      </c>
      <c r="L1130" s="162"/>
      <c r="M1130" s="42" t="s">
        <v>263</v>
      </c>
      <c r="N1130" s="94">
        <f>VLOOKUP(D1130,A!B$1:L$1125,7,FALSE)</f>
        <v>0</v>
      </c>
      <c r="O1130" s="94">
        <f>VLOOKUP(D1130,A!B$1:P$1126,9,FALSE)</f>
        <v>0</v>
      </c>
      <c r="P1130" s="10">
        <v>6</v>
      </c>
      <c r="Q1130" s="10">
        <v>5.95</v>
      </c>
      <c r="R1130" s="10">
        <f t="shared" si="151"/>
        <v>0</v>
      </c>
      <c r="S1130" s="10">
        <f t="shared" si="152"/>
        <v>0</v>
      </c>
      <c r="T1130" s="10" t="s">
        <v>328</v>
      </c>
      <c r="U1130" s="115">
        <v>0.35</v>
      </c>
      <c r="V1130" s="10">
        <f>VLOOKUP(D1130,A!B$1:T$1125,17,FALSE)</f>
        <v>0</v>
      </c>
      <c r="W1130" s="10">
        <f t="shared" si="153"/>
        <v>0</v>
      </c>
      <c r="X1130" s="29"/>
      <c r="Y1130" s="29"/>
      <c r="Z1130" s="115"/>
      <c r="AA1130" s="115"/>
      <c r="AB1130" s="115"/>
      <c r="AC1130" s="115"/>
      <c r="AD1130" s="115"/>
      <c r="AE1130" s="115"/>
      <c r="AF1130" s="115"/>
      <c r="AG1130" s="115"/>
      <c r="AH1130" s="115"/>
      <c r="AI1130" s="115"/>
      <c r="AJ1130" s="115"/>
      <c r="AK1130" s="115"/>
      <c r="AL1130" s="115"/>
      <c r="AM1130" s="115"/>
      <c r="AN1130" s="115"/>
      <c r="AO1130" s="115"/>
      <c r="AP1130" s="115"/>
      <c r="AQ1130" s="115"/>
      <c r="AR1130" s="115"/>
      <c r="AS1130" s="115"/>
      <c r="AT1130" s="115"/>
      <c r="AU1130" s="115"/>
      <c r="AV1130" s="115"/>
      <c r="AW1130" s="115"/>
      <c r="AX1130" s="115"/>
      <c r="AY1130" s="115"/>
      <c r="AZ1130" s="115"/>
      <c r="BA1130" s="115"/>
      <c r="BB1130" s="115"/>
      <c r="BC1130" s="115"/>
      <c r="BD1130" s="115"/>
      <c r="BE1130" s="115"/>
      <c r="BF1130" s="115"/>
      <c r="BG1130" s="115"/>
      <c r="BH1130" s="115"/>
      <c r="BI1130" s="115"/>
      <c r="BJ1130" s="115"/>
      <c r="BK1130" s="115"/>
      <c r="BL1130" s="115"/>
      <c r="BM1130" s="115"/>
      <c r="BN1130" s="115"/>
      <c r="BO1130" s="115"/>
    </row>
    <row r="1131" spans="1:67" ht="12" hidden="1" customHeight="1" x14ac:dyDescent="0.25">
      <c r="A1131" t="str">
        <f>IF(R1131=0,"",COUNTIF(A$13:A1130,"&gt;0")+1)</f>
        <v/>
      </c>
      <c r="B1131" s="4"/>
      <c r="C1131" s="5" t="s">
        <v>44</v>
      </c>
      <c r="D1131" s="7" t="s">
        <v>415</v>
      </c>
      <c r="E1131" s="31"/>
      <c r="F1131" s="31"/>
      <c r="G1131" s="6" t="s">
        <v>416</v>
      </c>
      <c r="H1131" s="7">
        <f>VLOOKUP(D1131,A!B$1:L$1126,8,FALSE)</f>
        <v>0</v>
      </c>
      <c r="I1131" s="31">
        <f>VLOOKUP(D1131,A!B$1:L$1126,8,FALSE)</f>
        <v>0</v>
      </c>
      <c r="J1131" s="92"/>
      <c r="K1131" s="63" t="str">
        <f>VLOOKUP(D1131,A!B$1:P$1126,11,FALSE)</f>
        <v/>
      </c>
      <c r="L1131" s="162"/>
      <c r="M1131" s="43" t="s">
        <v>417</v>
      </c>
      <c r="N1131" s="94">
        <f>VLOOKUP(D1131,A!B$1:L$1125,7,FALSE)</f>
        <v>0</v>
      </c>
      <c r="O1131" s="94">
        <f>VLOOKUP(D1131,A!B$1:P$1126,9,FALSE)</f>
        <v>0</v>
      </c>
      <c r="P1131" s="10">
        <v>6</v>
      </c>
      <c r="Q1131" s="10">
        <v>5.95</v>
      </c>
      <c r="R1131" s="10">
        <f t="shared" si="151"/>
        <v>0</v>
      </c>
      <c r="S1131" s="10">
        <f t="shared" si="152"/>
        <v>0</v>
      </c>
      <c r="T1131" s="10" t="s">
        <v>328</v>
      </c>
      <c r="U1131" s="115">
        <v>0.35</v>
      </c>
      <c r="V1131" s="10">
        <f>VLOOKUP(D1131,A!B$1:T$1125,17,FALSE)</f>
        <v>0</v>
      </c>
      <c r="W1131" s="10">
        <f t="shared" si="153"/>
        <v>0</v>
      </c>
      <c r="X1131" s="29"/>
      <c r="Y1131" s="29"/>
      <c r="Z1131" s="115"/>
      <c r="AA1131" s="115"/>
      <c r="AB1131" s="115"/>
      <c r="AC1131" s="115"/>
      <c r="AD1131" s="115"/>
      <c r="AE1131" s="115"/>
      <c r="AF1131" s="115"/>
      <c r="AG1131" s="115"/>
      <c r="AH1131" s="115"/>
      <c r="AI1131" s="115"/>
      <c r="AJ1131" s="115"/>
      <c r="AK1131" s="115"/>
      <c r="AL1131" s="115"/>
      <c r="AM1131" s="115"/>
      <c r="AN1131" s="115"/>
      <c r="AO1131" s="115"/>
      <c r="AP1131" s="115"/>
      <c r="AQ1131" s="115"/>
      <c r="AR1131" s="115"/>
      <c r="AS1131" s="115"/>
      <c r="AT1131" s="115"/>
      <c r="AU1131" s="115"/>
      <c r="AV1131" s="115"/>
      <c r="AW1131" s="115"/>
      <c r="AX1131" s="115"/>
      <c r="AY1131" s="115"/>
      <c r="AZ1131" s="115"/>
      <c r="BA1131" s="115"/>
      <c r="BB1131" s="115"/>
      <c r="BC1131" s="115"/>
      <c r="BD1131" s="115"/>
      <c r="BE1131" s="115"/>
      <c r="BF1131" s="115"/>
      <c r="BG1131" s="115"/>
      <c r="BH1131" s="115"/>
      <c r="BI1131" s="115"/>
      <c r="BJ1131" s="115"/>
      <c r="BK1131" s="115"/>
      <c r="BL1131" s="115"/>
      <c r="BM1131" s="115"/>
      <c r="BN1131" s="115"/>
      <c r="BO1131" s="115"/>
    </row>
    <row r="1132" spans="1:67" s="9" customFormat="1" ht="13.5" customHeight="1" x14ac:dyDescent="0.25">
      <c r="A1132" t="str">
        <f>IF(R1132=0,"",COUNTIF(A$13:A1131,"&gt;0")+1)</f>
        <v/>
      </c>
      <c r="B1132" s="82">
        <f>SUM(B1106:B1131)</f>
        <v>0</v>
      </c>
      <c r="C1132" s="5" t="s">
        <v>44</v>
      </c>
      <c r="D1132" s="24" t="s">
        <v>36</v>
      </c>
      <c r="E1132" s="88"/>
      <c r="F1132" s="96"/>
      <c r="G1132" s="84"/>
      <c r="H1132" s="84"/>
      <c r="I1132" s="84"/>
      <c r="J1132" s="84"/>
      <c r="K1132" s="84"/>
      <c r="L1132" s="84"/>
      <c r="M1132" s="84"/>
      <c r="N1132" s="100"/>
      <c r="O1132" s="100"/>
      <c r="P1132" s="10">
        <v>6</v>
      </c>
      <c r="Q1132" s="151"/>
      <c r="R1132" s="10">
        <f>B1132*P1132</f>
        <v>0</v>
      </c>
      <c r="S1132" s="10"/>
      <c r="T1132" s="10"/>
      <c r="U1132" s="145"/>
      <c r="V1132" s="10"/>
      <c r="W1132" s="10"/>
      <c r="X1132" s="10"/>
      <c r="Y1132" s="10"/>
      <c r="Z1132" s="10"/>
      <c r="AA1132" s="10"/>
      <c r="AB1132" s="10"/>
      <c r="AC1132" s="10"/>
      <c r="AD1132" s="10"/>
      <c r="AE1132" s="10"/>
      <c r="AF1132" s="10"/>
      <c r="AG1132" s="10"/>
      <c r="AH1132" s="10"/>
      <c r="AI1132" s="10"/>
      <c r="AJ1132" s="10"/>
      <c r="AK1132" s="10"/>
      <c r="AL1132" s="10"/>
      <c r="AM1132" s="10"/>
      <c r="AN1132" s="10"/>
      <c r="AO1132" s="10"/>
      <c r="AP1132" s="10"/>
      <c r="AQ1132" s="10"/>
      <c r="AR1132" s="10"/>
      <c r="AS1132" s="10"/>
      <c r="AT1132" s="10"/>
      <c r="AU1132" s="10"/>
      <c r="AV1132" s="10"/>
      <c r="AW1132" s="10"/>
      <c r="AX1132" s="10"/>
      <c r="AY1132" s="10"/>
      <c r="AZ1132" s="10"/>
      <c r="BA1132" s="10"/>
      <c r="BB1132" s="10"/>
      <c r="BC1132" s="10"/>
      <c r="BD1132" s="10"/>
      <c r="BE1132" s="10"/>
      <c r="BF1132" s="10"/>
      <c r="BG1132" s="10"/>
      <c r="BH1132" s="10"/>
      <c r="BI1132" s="10"/>
      <c r="BJ1132" s="10"/>
      <c r="BK1132" s="10"/>
      <c r="BL1132" s="10"/>
      <c r="BM1132" s="10"/>
      <c r="BN1132" s="10"/>
      <c r="BO1132" s="10"/>
    </row>
    <row r="1133" spans="1:67" ht="15.75" customHeight="1" x14ac:dyDescent="0.25">
      <c r="A1133" t="str">
        <f>IF(R1133=0,"",COUNTIF(A$13:A1132,"&gt;0")+1)</f>
        <v/>
      </c>
      <c r="V1133" s="10"/>
      <c r="AC1133" s="30"/>
      <c r="AD1133" s="30"/>
      <c r="AE1133" s="115"/>
      <c r="AF1133" s="115"/>
      <c r="AG1133" s="115"/>
      <c r="AH1133" s="115"/>
      <c r="AI1133" s="115"/>
      <c r="AJ1133" s="115"/>
      <c r="AK1133" s="115"/>
      <c r="AL1133" s="115"/>
      <c r="AM1133" s="115"/>
      <c r="AN1133" s="115"/>
      <c r="AO1133" s="115"/>
      <c r="AP1133" s="115"/>
      <c r="AQ1133" s="115"/>
      <c r="AR1133" s="115"/>
      <c r="AS1133" s="115"/>
      <c r="AT1133" s="115"/>
      <c r="AU1133" s="115"/>
      <c r="AV1133" s="115"/>
      <c r="AW1133" s="115"/>
      <c r="AX1133" s="115"/>
      <c r="AY1133" s="115"/>
      <c r="AZ1133" s="115"/>
      <c r="BA1133" s="115"/>
      <c r="BB1133" s="115"/>
      <c r="BC1133" s="115"/>
      <c r="BD1133" s="115"/>
      <c r="BE1133" s="115"/>
      <c r="BF1133" s="115"/>
      <c r="BG1133" s="115"/>
      <c r="BH1133" s="115"/>
      <c r="BI1133" s="115"/>
      <c r="BJ1133" s="115"/>
      <c r="BK1133" s="115"/>
      <c r="BL1133" s="115"/>
      <c r="BM1133" s="115"/>
      <c r="BN1133" s="115"/>
      <c r="BO1133" s="115"/>
    </row>
    <row r="1134" spans="1:67" s="9" customFormat="1" ht="15" customHeight="1" x14ac:dyDescent="0.25">
      <c r="A1134" t="str">
        <f>IF(R1134=0,"",COUNTIF(A$13:A1133,"&gt;0")+1)</f>
        <v/>
      </c>
      <c r="B1134" s="138" t="s">
        <v>218</v>
      </c>
      <c r="C1134" s="134"/>
      <c r="D1134" s="134"/>
      <c r="E1134" s="134"/>
      <c r="F1134" s="134"/>
      <c r="G1134" s="134"/>
      <c r="H1134" s="134"/>
      <c r="I1134" s="134"/>
      <c r="J1134" s="134"/>
      <c r="K1134" s="134"/>
      <c r="L1134" s="134"/>
      <c r="M1134" s="134"/>
      <c r="N1134" s="93"/>
      <c r="O1134" s="93"/>
      <c r="P1134" s="30"/>
      <c r="Q1134" s="30"/>
      <c r="R1134" s="30"/>
      <c r="S1134" s="30"/>
      <c r="T1134" s="10"/>
      <c r="U1134" s="145"/>
      <c r="V1134" s="10"/>
      <c r="W1134" s="10"/>
      <c r="X1134" s="10"/>
      <c r="Y1134" s="10"/>
      <c r="Z1134" s="10"/>
      <c r="AA1134" s="10"/>
      <c r="AB1134" s="10"/>
      <c r="AC1134" s="10"/>
      <c r="AD1134" s="10"/>
      <c r="AE1134" s="10"/>
      <c r="AF1134" s="10"/>
      <c r="AG1134" s="10"/>
      <c r="AH1134" s="10"/>
      <c r="AI1134" s="10"/>
      <c r="AJ1134" s="10"/>
      <c r="AK1134" s="10"/>
      <c r="AL1134" s="10"/>
      <c r="AM1134" s="10"/>
      <c r="AN1134" s="10"/>
      <c r="AO1134" s="10"/>
      <c r="AP1134" s="10"/>
      <c r="AQ1134" s="10"/>
      <c r="AR1134" s="10"/>
      <c r="AS1134" s="10"/>
      <c r="AT1134" s="10"/>
      <c r="AU1134" s="10"/>
      <c r="AV1134" s="10"/>
      <c r="AW1134" s="10"/>
      <c r="AX1134" s="10"/>
      <c r="AY1134" s="10"/>
      <c r="AZ1134" s="10"/>
      <c r="BA1134" s="10"/>
      <c r="BB1134" s="10"/>
      <c r="BC1134" s="10"/>
      <c r="BD1134" s="10"/>
      <c r="BE1134" s="10"/>
      <c r="BF1134" s="10"/>
      <c r="BG1134" s="10"/>
      <c r="BH1134" s="10"/>
      <c r="BI1134" s="10"/>
      <c r="BJ1134" s="10"/>
      <c r="BK1134" s="10"/>
      <c r="BL1134" s="10"/>
      <c r="BM1134" s="10"/>
      <c r="BN1134" s="10"/>
      <c r="BO1134" s="10"/>
    </row>
    <row r="1135" spans="1:67" s="9" customFormat="1" ht="10.5" customHeight="1" x14ac:dyDescent="0.25">
      <c r="A1135" t="str">
        <f>IF(R1135=0,"",COUNTIF(A$13:A1134,"&gt;0")+1)</f>
        <v/>
      </c>
      <c r="B1135" s="134"/>
      <c r="C1135" s="134"/>
      <c r="D1135" s="134"/>
      <c r="E1135" s="134"/>
      <c r="F1135" s="134"/>
      <c r="G1135" s="134"/>
      <c r="H1135" s="134"/>
      <c r="I1135" s="134"/>
      <c r="J1135" s="134"/>
      <c r="K1135" s="134"/>
      <c r="L1135" s="134"/>
      <c r="M1135" s="134"/>
      <c r="N1135" s="93"/>
      <c r="O1135" s="93"/>
      <c r="P1135" s="30"/>
      <c r="Q1135" s="30"/>
      <c r="R1135" s="30"/>
      <c r="S1135" s="30"/>
      <c r="T1135" s="10"/>
      <c r="U1135" s="145"/>
      <c r="V1135" s="10"/>
      <c r="W1135" s="10"/>
      <c r="X1135" s="10"/>
      <c r="Y1135" s="10"/>
      <c r="Z1135" s="10"/>
      <c r="AA1135" s="10"/>
      <c r="AB1135" s="10"/>
      <c r="AC1135" s="10"/>
      <c r="AD1135" s="10"/>
      <c r="AE1135" s="10"/>
      <c r="AF1135" s="10"/>
      <c r="AG1135" s="10"/>
      <c r="AH1135" s="10"/>
      <c r="AI1135" s="10"/>
      <c r="AJ1135" s="10"/>
      <c r="AK1135" s="10"/>
      <c r="AL1135" s="10"/>
      <c r="AM1135" s="10"/>
      <c r="AN1135" s="10"/>
      <c r="AO1135" s="10"/>
      <c r="AP1135" s="10"/>
      <c r="AQ1135" s="10"/>
      <c r="AR1135" s="10"/>
      <c r="AS1135" s="10"/>
      <c r="AT1135" s="10"/>
      <c r="AU1135" s="10"/>
      <c r="AV1135" s="10"/>
      <c r="AW1135" s="10"/>
      <c r="AX1135" s="10"/>
      <c r="AY1135" s="10"/>
      <c r="AZ1135" s="10"/>
      <c r="BA1135" s="10"/>
      <c r="BB1135" s="10"/>
      <c r="BC1135" s="10"/>
      <c r="BD1135" s="10"/>
      <c r="BE1135" s="10"/>
      <c r="BF1135" s="10"/>
      <c r="BG1135" s="10"/>
      <c r="BH1135" s="10"/>
      <c r="BI1135" s="10"/>
      <c r="BJ1135" s="10"/>
      <c r="BK1135" s="10"/>
      <c r="BL1135" s="10"/>
      <c r="BM1135" s="10"/>
      <c r="BN1135" s="10"/>
      <c r="BO1135" s="10"/>
    </row>
    <row r="1136" spans="1:67" ht="10.5" customHeight="1" x14ac:dyDescent="0.25">
      <c r="A1136" t="str">
        <f>IF(R1136=0,"",COUNTIF(A$13:A1135,"&gt;0")+1)</f>
        <v/>
      </c>
      <c r="N1136" s="102"/>
      <c r="O1136" s="102"/>
      <c r="P1136" s="115"/>
      <c r="Q1136" s="115"/>
      <c r="R1136" s="115"/>
      <c r="S1136" s="115"/>
      <c r="T1136" s="115"/>
      <c r="U1136" s="115"/>
      <c r="V1136" s="115"/>
      <c r="W1136" s="115"/>
      <c r="X1136" s="115"/>
      <c r="Y1136" s="115"/>
      <c r="Z1136" s="115"/>
      <c r="AA1136" s="115"/>
      <c r="AB1136" s="115"/>
      <c r="AC1136" s="115"/>
      <c r="AD1136" s="115"/>
      <c r="AE1136" s="115"/>
      <c r="AF1136" s="115"/>
      <c r="AG1136" s="115"/>
      <c r="AH1136" s="115"/>
      <c r="AI1136" s="115"/>
      <c r="AJ1136" s="115"/>
      <c r="AK1136" s="115"/>
      <c r="AL1136" s="115"/>
      <c r="AM1136" s="115"/>
      <c r="AN1136" s="115"/>
      <c r="AO1136" s="115"/>
      <c r="AP1136" s="115"/>
      <c r="AQ1136" s="115"/>
      <c r="AR1136" s="115"/>
      <c r="AS1136" s="115"/>
      <c r="AT1136" s="115"/>
      <c r="AU1136" s="115"/>
      <c r="AV1136" s="115"/>
      <c r="AW1136" s="115"/>
      <c r="AX1136" s="115"/>
      <c r="AY1136" s="115"/>
      <c r="AZ1136" s="115"/>
      <c r="BA1136" s="115"/>
      <c r="BB1136" s="115"/>
      <c r="BC1136" s="115"/>
      <c r="BD1136" s="115"/>
      <c r="BE1136" s="115"/>
      <c r="BF1136" s="115"/>
      <c r="BG1136" s="115"/>
      <c r="BH1136" s="115"/>
      <c r="BI1136" s="115"/>
      <c r="BJ1136" s="115"/>
      <c r="BK1136" s="115"/>
      <c r="BL1136" s="115"/>
      <c r="BM1136" s="115"/>
      <c r="BN1136" s="115"/>
      <c r="BO1136" s="115"/>
    </row>
    <row r="1137" spans="1:67" s="9" customFormat="1" ht="21" customHeight="1" x14ac:dyDescent="0.25">
      <c r="A1137" t="str">
        <f>IF(R1137=0,"",COUNTIF(A$13:A1136,"&gt;0")+1)</f>
        <v/>
      </c>
      <c r="B1137" s="234" t="s">
        <v>28</v>
      </c>
      <c r="C1137" s="235"/>
      <c r="D1137" s="235"/>
      <c r="E1137" s="235"/>
      <c r="F1137" s="235"/>
      <c r="G1137" s="236"/>
      <c r="H1137" s="123"/>
      <c r="I1137" s="124"/>
      <c r="J1137" s="137"/>
      <c r="K1137" s="137"/>
      <c r="L1137" s="137" t="s">
        <v>72</v>
      </c>
      <c r="M1137" s="27">
        <v>1.05</v>
      </c>
      <c r="N1137" s="93"/>
      <c r="O1137" s="93"/>
      <c r="P1137" s="30"/>
      <c r="Q1137" s="30"/>
      <c r="R1137" s="30"/>
      <c r="S1137" s="10"/>
      <c r="T1137" s="10"/>
      <c r="U1137" s="145"/>
      <c r="V1137" s="10"/>
      <c r="W1137" s="10"/>
      <c r="X1137" s="10"/>
      <c r="Y1137" s="10"/>
      <c r="Z1137" s="10"/>
      <c r="AA1137" s="10"/>
      <c r="AB1137" s="10"/>
      <c r="AC1137" s="10"/>
      <c r="AD1137" s="10"/>
      <c r="AE1137" s="10"/>
      <c r="AF1137" s="10"/>
      <c r="AG1137" s="10"/>
      <c r="AH1137" s="10"/>
      <c r="AI1137" s="10"/>
      <c r="AJ1137" s="10"/>
      <c r="AK1137" s="10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  <c r="BC1137" s="10"/>
      <c r="BD1137" s="10"/>
      <c r="BE1137" s="10"/>
      <c r="BF1137" s="10"/>
      <c r="BG1137" s="10"/>
      <c r="BH1137" s="10"/>
      <c r="BI1137" s="10"/>
      <c r="BJ1137" s="10"/>
      <c r="BK1137" s="10"/>
      <c r="BL1137" s="10"/>
      <c r="BM1137" s="10"/>
      <c r="BN1137" s="10"/>
      <c r="BO1137" s="10"/>
    </row>
    <row r="1138" spans="1:67" s="9" customFormat="1" ht="12" customHeight="1" x14ac:dyDescent="0.25">
      <c r="A1138" t="str">
        <f>IF(R1138=0,"",COUNTIF(A$13:A1137,"&gt;0")+1)</f>
        <v/>
      </c>
      <c r="B1138" s="237" t="s">
        <v>18</v>
      </c>
      <c r="C1138" s="238"/>
      <c r="D1138" s="16" t="s">
        <v>19</v>
      </c>
      <c r="E1138" s="86"/>
      <c r="F1138" s="86"/>
      <c r="G1138" s="17" t="s">
        <v>20</v>
      </c>
      <c r="H1138" s="118"/>
      <c r="I1138" s="117"/>
      <c r="J1138" s="117"/>
      <c r="K1138" s="122" t="s">
        <v>17</v>
      </c>
      <c r="L1138" s="119">
        <v>5021353014808</v>
      </c>
      <c r="M1138" s="120" t="s">
        <v>21</v>
      </c>
      <c r="N1138" s="93"/>
      <c r="O1138" s="93"/>
      <c r="P1138" s="30"/>
      <c r="Q1138" s="30"/>
      <c r="R1138" s="30"/>
      <c r="S1138" s="10"/>
      <c r="T1138" s="10"/>
      <c r="U1138" s="145"/>
      <c r="V1138" s="10"/>
      <c r="W1138" s="10"/>
      <c r="X1138" s="10"/>
      <c r="Y1138" s="10"/>
      <c r="Z1138" s="10"/>
      <c r="AA1138" s="10"/>
      <c r="AB1138" s="10"/>
      <c r="AC1138" s="10"/>
      <c r="AD1138" s="10"/>
      <c r="AE1138" s="10"/>
      <c r="AF1138" s="10"/>
      <c r="AG1138" s="10"/>
      <c r="AH1138" s="10"/>
      <c r="AI1138" s="10"/>
      <c r="AJ1138" s="10"/>
      <c r="AK1138" s="10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  <c r="BB1138" s="10"/>
      <c r="BC1138" s="10"/>
      <c r="BD1138" s="10"/>
      <c r="BE1138" s="10"/>
      <c r="BF1138" s="10"/>
      <c r="BG1138" s="10"/>
      <c r="BH1138" s="10"/>
      <c r="BI1138" s="10"/>
      <c r="BJ1138" s="10"/>
      <c r="BK1138" s="10"/>
      <c r="BL1138" s="10"/>
      <c r="BM1138" s="10"/>
      <c r="BN1138" s="10"/>
      <c r="BO1138" s="10"/>
    </row>
    <row r="1139" spans="1:67" ht="13.5" customHeight="1" x14ac:dyDescent="0.25">
      <c r="A1139" t="str">
        <f>IF(R1139=0,"",COUNTIF(A$13:A1138,"&gt;0")+1)</f>
        <v/>
      </c>
      <c r="B1139" s="4"/>
      <c r="C1139" s="5" t="s">
        <v>29</v>
      </c>
      <c r="D1139" s="7" t="s">
        <v>55</v>
      </c>
      <c r="E1139" s="31"/>
      <c r="F1139" s="31"/>
      <c r="G1139" s="23" t="s">
        <v>63</v>
      </c>
      <c r="H1139" s="7">
        <f>VLOOKUP(D1139,A!B$1:P$1126,13,FALSE)</f>
        <v>1</v>
      </c>
      <c r="I1139" s="31">
        <f>VLOOKUP(D1139,A!B$1:P$1126,13,FALSE)</f>
        <v>1</v>
      </c>
      <c r="J1139" s="92"/>
      <c r="K1139" s="63" t="str">
        <f>VLOOKUP(D1139,A!B$1:Q$1126,16,FALSE)</f>
        <v/>
      </c>
      <c r="L1139" s="31"/>
      <c r="M1139" s="39" t="s">
        <v>232</v>
      </c>
      <c r="N1139" s="94" t="str">
        <f>VLOOKUP(D1139,A!B$1:P$1125,12,FALSE)</f>
        <v>y</v>
      </c>
      <c r="O1139" s="94">
        <f>VLOOKUP(D1139,A!B$1:P$1126,14,FALSE)</f>
        <v>0</v>
      </c>
      <c r="P1139" s="10">
        <v>15</v>
      </c>
      <c r="Q1139" s="10">
        <v>1.05</v>
      </c>
      <c r="R1139" s="10">
        <f t="shared" ref="R1139:R1157" si="154">B1139*P1139</f>
        <v>0</v>
      </c>
      <c r="S1139" s="10">
        <f t="shared" ref="S1139:S1152" si="155">R1139*Q1139</f>
        <v>0</v>
      </c>
      <c r="T1139" s="30" t="s">
        <v>329</v>
      </c>
      <c r="U1139" s="30">
        <f>0.25</f>
        <v>0.25</v>
      </c>
      <c r="V1139" s="10">
        <f>VLOOKUP(D1139,A!B$1:T$1125,18,FALSE)</f>
        <v>40</v>
      </c>
      <c r="W1139" s="10">
        <f t="shared" ref="W1139:W1152" si="156">U1139*B1139</f>
        <v>0</v>
      </c>
      <c r="AC1139" s="30"/>
      <c r="AD1139" s="30"/>
      <c r="AE1139" s="115"/>
      <c r="AF1139" s="115"/>
      <c r="AG1139" s="115"/>
      <c r="AH1139" s="115"/>
      <c r="AI1139" s="115"/>
      <c r="AJ1139" s="115"/>
      <c r="AK1139" s="115"/>
      <c r="AL1139" s="115"/>
      <c r="AM1139" s="115"/>
      <c r="AN1139" s="115"/>
      <c r="AO1139" s="115"/>
      <c r="AP1139" s="115"/>
      <c r="AQ1139" s="115"/>
      <c r="AR1139" s="115"/>
      <c r="AS1139" s="115"/>
      <c r="AT1139" s="115"/>
      <c r="AU1139" s="115"/>
      <c r="AV1139" s="115"/>
      <c r="AW1139" s="115"/>
      <c r="AX1139" s="115"/>
      <c r="AY1139" s="115"/>
      <c r="AZ1139" s="115"/>
      <c r="BA1139" s="115"/>
      <c r="BB1139" s="115"/>
      <c r="BC1139" s="115"/>
      <c r="BD1139" s="115"/>
      <c r="BE1139" s="115"/>
      <c r="BF1139" s="115"/>
      <c r="BG1139" s="115"/>
      <c r="BH1139" s="115"/>
      <c r="BI1139" s="115"/>
      <c r="BJ1139" s="115"/>
      <c r="BK1139" s="115"/>
      <c r="BL1139" s="115"/>
      <c r="BM1139" s="115"/>
      <c r="BN1139" s="115"/>
      <c r="BO1139" s="115"/>
    </row>
    <row r="1140" spans="1:67" ht="13.5" hidden="1" customHeight="1" x14ac:dyDescent="0.25">
      <c r="A1140" t="str">
        <f>IF(R1140=0,"",COUNTIF(A$13:A1139,"&gt;0")+1)</f>
        <v/>
      </c>
      <c r="B1140" s="4"/>
      <c r="C1140" s="5" t="s">
        <v>29</v>
      </c>
      <c r="D1140" s="7" t="s">
        <v>33</v>
      </c>
      <c r="E1140" s="31"/>
      <c r="F1140" s="31"/>
      <c r="G1140" s="21" t="s">
        <v>32</v>
      </c>
      <c r="H1140" s="7">
        <f>VLOOKUP(D1140,A!B$1:P$1126,13,FALSE)</f>
        <v>0</v>
      </c>
      <c r="I1140" s="31">
        <f>VLOOKUP(D1140,A!B$1:P$1126,13,FALSE)</f>
        <v>0</v>
      </c>
      <c r="J1140" s="92"/>
      <c r="K1140" s="63" t="str">
        <f>VLOOKUP(D1140,A!B$1:Q$1126,16,FALSE)</f>
        <v/>
      </c>
      <c r="L1140" s="2"/>
      <c r="M1140" s="40" t="s">
        <v>52</v>
      </c>
      <c r="N1140" s="94">
        <f>VLOOKUP(D1140,A!B$1:P$1125,12,FALSE)</f>
        <v>0</v>
      </c>
      <c r="O1140" s="94">
        <f>VLOOKUP(D1140,A!B$1:P$1126,14,FALSE)</f>
        <v>0</v>
      </c>
      <c r="P1140" s="10">
        <v>15</v>
      </c>
      <c r="Q1140" s="10">
        <v>1.05</v>
      </c>
      <c r="R1140" s="10">
        <f t="shared" si="154"/>
        <v>0</v>
      </c>
      <c r="S1140" s="10">
        <f t="shared" si="155"/>
        <v>0</v>
      </c>
      <c r="T1140" s="30" t="s">
        <v>329</v>
      </c>
      <c r="U1140" s="30">
        <f t="shared" ref="U1140:U1156" si="157">0.25</f>
        <v>0.25</v>
      </c>
      <c r="V1140" s="10">
        <f>VLOOKUP(D1140,A!B$1:T$1125,18,FALSE)</f>
        <v>0</v>
      </c>
      <c r="W1140" s="10">
        <f t="shared" si="156"/>
        <v>0</v>
      </c>
      <c r="AC1140" s="30"/>
      <c r="AD1140" s="30"/>
      <c r="AE1140" s="115"/>
      <c r="AF1140" s="115"/>
      <c r="AG1140" s="115"/>
      <c r="AH1140" s="115"/>
      <c r="AI1140" s="115"/>
      <c r="AJ1140" s="115"/>
      <c r="AK1140" s="115"/>
      <c r="AL1140" s="115"/>
      <c r="AM1140" s="115"/>
      <c r="AN1140" s="115"/>
      <c r="AO1140" s="115"/>
      <c r="AP1140" s="115"/>
      <c r="AQ1140" s="115"/>
      <c r="AR1140" s="115"/>
      <c r="AS1140" s="115"/>
      <c r="AT1140" s="115"/>
      <c r="AU1140" s="115"/>
      <c r="AV1140" s="115"/>
      <c r="AW1140" s="115"/>
      <c r="AX1140" s="115"/>
      <c r="AY1140" s="115"/>
      <c r="AZ1140" s="115"/>
      <c r="BA1140" s="115"/>
      <c r="BB1140" s="115"/>
      <c r="BC1140" s="115"/>
      <c r="BD1140" s="115"/>
      <c r="BE1140" s="115"/>
      <c r="BF1140" s="115"/>
      <c r="BG1140" s="115"/>
      <c r="BH1140" s="115"/>
      <c r="BI1140" s="115"/>
      <c r="BJ1140" s="115"/>
      <c r="BK1140" s="115"/>
      <c r="BL1140" s="115"/>
      <c r="BM1140" s="115"/>
      <c r="BN1140" s="115"/>
      <c r="BO1140" s="115"/>
    </row>
    <row r="1141" spans="1:67" ht="13.5" hidden="1" customHeight="1" x14ac:dyDescent="0.25">
      <c r="A1141" t="str">
        <f>IF(R1141=0,"",COUNTIF(A$13:A1140,"&gt;0")+1)</f>
        <v/>
      </c>
      <c r="B1141" s="4"/>
      <c r="C1141" s="5" t="s">
        <v>29</v>
      </c>
      <c r="D1141" s="7" t="s">
        <v>31</v>
      </c>
      <c r="E1141" s="31"/>
      <c r="F1141" s="31"/>
      <c r="G1141" s="21" t="s">
        <v>32</v>
      </c>
      <c r="H1141" s="7">
        <f>VLOOKUP(D1141,A!B$1:P$1126,13,FALSE)</f>
        <v>0</v>
      </c>
      <c r="I1141" s="31">
        <f>VLOOKUP(D1141,A!B$1:P$1126,13,FALSE)</f>
        <v>0</v>
      </c>
      <c r="J1141" s="92"/>
      <c r="K1141" s="63" t="str">
        <f>VLOOKUP(D1141,A!B$1:Q$1126,16,FALSE)</f>
        <v/>
      </c>
      <c r="L1141" s="2"/>
      <c r="M1141" s="40" t="s">
        <v>53</v>
      </c>
      <c r="N1141" s="94">
        <f>VLOOKUP(D1141,A!B$1:P$1125,12,FALSE)</f>
        <v>0</v>
      </c>
      <c r="O1141" s="94">
        <f>VLOOKUP(D1141,A!B$1:P$1126,14,FALSE)</f>
        <v>0</v>
      </c>
      <c r="P1141" s="10">
        <v>15</v>
      </c>
      <c r="Q1141" s="10">
        <v>1.05</v>
      </c>
      <c r="R1141" s="10">
        <f t="shared" si="154"/>
        <v>0</v>
      </c>
      <c r="S1141" s="10">
        <f t="shared" si="155"/>
        <v>0</v>
      </c>
      <c r="T1141" s="30" t="s">
        <v>329</v>
      </c>
      <c r="U1141" s="30">
        <f t="shared" si="157"/>
        <v>0.25</v>
      </c>
      <c r="V1141" s="10">
        <f>VLOOKUP(D1141,A!B$1:T$1125,18,FALSE)</f>
        <v>0</v>
      </c>
      <c r="W1141" s="10">
        <f t="shared" si="156"/>
        <v>0</v>
      </c>
      <c r="AC1141" s="30"/>
      <c r="AD1141" s="30"/>
      <c r="AE1141" s="115"/>
      <c r="AF1141" s="115"/>
      <c r="AG1141" s="115"/>
      <c r="AH1141" s="115"/>
      <c r="AI1141" s="115"/>
      <c r="AJ1141" s="115"/>
      <c r="AK1141" s="115"/>
      <c r="AL1141" s="115"/>
      <c r="AM1141" s="115"/>
      <c r="AN1141" s="115"/>
      <c r="AO1141" s="115"/>
      <c r="AP1141" s="115"/>
      <c r="AQ1141" s="115"/>
      <c r="AR1141" s="115"/>
      <c r="AS1141" s="115"/>
      <c r="AT1141" s="115"/>
      <c r="AU1141" s="115"/>
      <c r="AV1141" s="115"/>
      <c r="AW1141" s="115"/>
      <c r="AX1141" s="115"/>
      <c r="AY1141" s="115"/>
      <c r="AZ1141" s="115"/>
      <c r="BA1141" s="115"/>
      <c r="BB1141" s="115"/>
      <c r="BC1141" s="115"/>
      <c r="BD1141" s="115"/>
      <c r="BE1141" s="115"/>
      <c r="BF1141" s="115"/>
      <c r="BG1141" s="115"/>
      <c r="BH1141" s="115"/>
      <c r="BI1141" s="115"/>
      <c r="BJ1141" s="115"/>
      <c r="BK1141" s="115"/>
      <c r="BL1141" s="115"/>
      <c r="BM1141" s="115"/>
      <c r="BN1141" s="115"/>
      <c r="BO1141" s="115"/>
    </row>
    <row r="1142" spans="1:67" ht="13.5" hidden="1" customHeight="1" x14ac:dyDescent="0.25">
      <c r="A1142" t="str">
        <f>IF(R1142=0,"",COUNTIF(A$13:A1141,"&gt;0")+1)</f>
        <v/>
      </c>
      <c r="B1142" s="4"/>
      <c r="C1142" s="5" t="s">
        <v>29</v>
      </c>
      <c r="D1142" s="7" t="s">
        <v>86</v>
      </c>
      <c r="E1142" s="31"/>
      <c r="F1142" s="31"/>
      <c r="G1142" s="6" t="s">
        <v>84</v>
      </c>
      <c r="H1142" s="7">
        <f>VLOOKUP(D1142,A!B$1:P$1126,13,FALSE)</f>
        <v>0</v>
      </c>
      <c r="I1142" s="31">
        <f>VLOOKUP(D1142,A!B$1:P$1126,13,FALSE)</f>
        <v>0</v>
      </c>
      <c r="J1142" s="92"/>
      <c r="K1142" s="63" t="str">
        <f>VLOOKUP(D1142,A!B$1:Q$1126,16,FALSE)</f>
        <v/>
      </c>
      <c r="L1142" s="2"/>
      <c r="M1142" s="41" t="s">
        <v>85</v>
      </c>
      <c r="N1142" s="94">
        <f>VLOOKUP(D1142,A!B$1:P$1125,12,FALSE)</f>
        <v>0</v>
      </c>
      <c r="O1142" s="94">
        <f>VLOOKUP(D1142,A!B$1:P$1126,14,FALSE)</f>
        <v>0</v>
      </c>
      <c r="P1142" s="10">
        <v>15</v>
      </c>
      <c r="Q1142" s="10">
        <v>1.05</v>
      </c>
      <c r="R1142" s="10">
        <f t="shared" si="154"/>
        <v>0</v>
      </c>
      <c r="S1142" s="10">
        <f t="shared" si="155"/>
        <v>0</v>
      </c>
      <c r="T1142" s="30" t="s">
        <v>329</v>
      </c>
      <c r="U1142" s="30">
        <f t="shared" si="157"/>
        <v>0.25</v>
      </c>
      <c r="V1142" s="10">
        <f>VLOOKUP(D1142,A!B$1:T$1125,18,FALSE)</f>
        <v>0</v>
      </c>
      <c r="W1142" s="10">
        <f t="shared" si="156"/>
        <v>0</v>
      </c>
      <c r="AC1142" s="30"/>
      <c r="AD1142" s="30"/>
      <c r="AE1142" s="115"/>
      <c r="AF1142" s="115"/>
      <c r="AG1142" s="115"/>
      <c r="AH1142" s="115"/>
      <c r="AI1142" s="115"/>
      <c r="AJ1142" s="115"/>
      <c r="AK1142" s="115"/>
      <c r="AL1142" s="115"/>
      <c r="AM1142" s="115"/>
      <c r="AN1142" s="115"/>
      <c r="AO1142" s="115"/>
      <c r="AP1142" s="115"/>
      <c r="AQ1142" s="115"/>
      <c r="AR1142" s="115"/>
      <c r="AS1142" s="115"/>
      <c r="AT1142" s="115"/>
      <c r="AU1142" s="115"/>
      <c r="AV1142" s="115"/>
      <c r="AW1142" s="115"/>
      <c r="AX1142" s="115"/>
      <c r="AY1142" s="115"/>
      <c r="AZ1142" s="115"/>
      <c r="BA1142" s="115"/>
      <c r="BB1142" s="115"/>
      <c r="BC1142" s="115"/>
      <c r="BD1142" s="115"/>
      <c r="BE1142" s="115"/>
      <c r="BF1142" s="115"/>
      <c r="BG1142" s="115"/>
      <c r="BH1142" s="115"/>
      <c r="BI1142" s="115"/>
      <c r="BJ1142" s="115"/>
      <c r="BK1142" s="115"/>
      <c r="BL1142" s="115"/>
      <c r="BM1142" s="115"/>
      <c r="BN1142" s="115"/>
      <c r="BO1142" s="115"/>
    </row>
    <row r="1143" spans="1:67" ht="13.5" customHeight="1" x14ac:dyDescent="0.25">
      <c r="A1143" t="str">
        <f>IF(R1143=0,"",COUNTIF(A$13:A1142,"&gt;0")+1)</f>
        <v/>
      </c>
      <c r="B1143" s="4"/>
      <c r="C1143" s="5" t="s">
        <v>29</v>
      </c>
      <c r="D1143" s="7" t="s">
        <v>190</v>
      </c>
      <c r="E1143" s="31"/>
      <c r="F1143" s="31"/>
      <c r="G1143" s="6" t="s">
        <v>30</v>
      </c>
      <c r="H1143" s="7">
        <f>VLOOKUP(D1143,A!B$1:P$1126,13,FALSE)</f>
        <v>1</v>
      </c>
      <c r="I1143" s="31">
        <f>VLOOKUP(D1143,A!B$1:P$1126,13,FALSE)</f>
        <v>1</v>
      </c>
      <c r="J1143" s="92"/>
      <c r="K1143" s="91" t="str">
        <f>VLOOKUP(D1143,A!B$1:Q$1126,16,FALSE)</f>
        <v/>
      </c>
      <c r="L1143" s="2"/>
      <c r="M1143" s="42" t="s">
        <v>191</v>
      </c>
      <c r="N1143" s="94" t="str">
        <f>VLOOKUP(D1143,A!B$1:P$1125,12,FALSE)</f>
        <v>Y</v>
      </c>
      <c r="O1143" s="94">
        <f>VLOOKUP(D1143,A!B$1:P$1126,14,FALSE)</f>
        <v>0</v>
      </c>
      <c r="P1143" s="10"/>
      <c r="Q1143" s="10"/>
      <c r="R1143" s="10"/>
      <c r="S1143" s="10"/>
      <c r="V1143" s="10"/>
      <c r="W1143" s="10"/>
      <c r="AC1143" s="30"/>
      <c r="AD1143" s="30"/>
      <c r="AE1143" s="115"/>
      <c r="AF1143" s="115"/>
      <c r="AG1143" s="115"/>
      <c r="AH1143" s="115"/>
      <c r="AI1143" s="115"/>
      <c r="AJ1143" s="115"/>
      <c r="AK1143" s="115"/>
      <c r="AL1143" s="115"/>
      <c r="AM1143" s="115"/>
      <c r="AN1143" s="115"/>
      <c r="AO1143" s="115"/>
      <c r="AP1143" s="115"/>
      <c r="AQ1143" s="115"/>
      <c r="AR1143" s="115"/>
      <c r="AS1143" s="115"/>
      <c r="AT1143" s="115"/>
      <c r="AU1143" s="115"/>
      <c r="AV1143" s="115"/>
      <c r="AW1143" s="115"/>
      <c r="AX1143" s="115"/>
      <c r="AY1143" s="115"/>
      <c r="AZ1143" s="115"/>
      <c r="BA1143" s="115"/>
      <c r="BB1143" s="115"/>
      <c r="BC1143" s="115"/>
      <c r="BD1143" s="115"/>
      <c r="BE1143" s="115"/>
      <c r="BF1143" s="115"/>
      <c r="BG1143" s="115"/>
      <c r="BH1143" s="115"/>
      <c r="BI1143" s="115"/>
      <c r="BJ1143" s="115"/>
      <c r="BK1143" s="115"/>
      <c r="BL1143" s="115"/>
      <c r="BM1143" s="115"/>
      <c r="BN1143" s="115"/>
      <c r="BO1143" s="115"/>
    </row>
    <row r="1144" spans="1:67" ht="13.5" customHeight="1" x14ac:dyDescent="0.25">
      <c r="A1144" t="str">
        <f>IF(R1144=0,"",COUNTIF(A$13:A1143,"&gt;0")+1)</f>
        <v/>
      </c>
      <c r="B1144" s="4"/>
      <c r="C1144" s="5" t="s">
        <v>29</v>
      </c>
      <c r="D1144" s="7" t="s">
        <v>228</v>
      </c>
      <c r="E1144" s="31"/>
      <c r="F1144" s="31"/>
      <c r="G1144" s="6" t="s">
        <v>30</v>
      </c>
      <c r="H1144" s="7">
        <f>VLOOKUP(D1144,A!B$1:P$1126,13,FALSE)</f>
        <v>1</v>
      </c>
      <c r="I1144" s="31">
        <f>VLOOKUP(D1144,A!B$1:P$1126,13,FALSE)</f>
        <v>1</v>
      </c>
      <c r="J1144" s="92"/>
      <c r="K1144" s="91" t="str">
        <f>VLOOKUP(D1144,A!B$1:Q$1126,16,FALSE)</f>
        <v/>
      </c>
      <c r="L1144" s="2"/>
      <c r="M1144" s="43" t="s">
        <v>229</v>
      </c>
      <c r="N1144" s="94" t="str">
        <f>VLOOKUP(D1144,A!B$1:P$1125,12,FALSE)</f>
        <v>Y</v>
      </c>
      <c r="O1144" s="94">
        <f>VLOOKUP(D1144,A!B$1:P$1126,14,FALSE)</f>
        <v>0</v>
      </c>
      <c r="P1144" s="10"/>
      <c r="Q1144" s="10"/>
      <c r="R1144" s="10"/>
      <c r="S1144" s="10"/>
      <c r="V1144" s="10"/>
      <c r="W1144" s="10"/>
      <c r="AC1144" s="30"/>
      <c r="AD1144" s="30"/>
      <c r="AE1144" s="115"/>
      <c r="AF1144" s="115"/>
      <c r="AG1144" s="115"/>
      <c r="AH1144" s="115"/>
      <c r="AI1144" s="115"/>
      <c r="AJ1144" s="115"/>
      <c r="AK1144" s="115"/>
      <c r="AL1144" s="115"/>
      <c r="AM1144" s="115"/>
      <c r="AN1144" s="115"/>
      <c r="AO1144" s="115"/>
      <c r="AP1144" s="115"/>
      <c r="AQ1144" s="115"/>
      <c r="AR1144" s="115"/>
      <c r="AS1144" s="115"/>
      <c r="AT1144" s="115"/>
      <c r="AU1144" s="115"/>
      <c r="AV1144" s="115"/>
      <c r="AW1144" s="115"/>
      <c r="AX1144" s="115"/>
      <c r="AY1144" s="115"/>
      <c r="AZ1144" s="115"/>
      <c r="BA1144" s="115"/>
      <c r="BB1144" s="115"/>
      <c r="BC1144" s="115"/>
      <c r="BD1144" s="115"/>
      <c r="BE1144" s="115"/>
      <c r="BF1144" s="115"/>
      <c r="BG1144" s="115"/>
      <c r="BH1144" s="115"/>
      <c r="BI1144" s="115"/>
      <c r="BJ1144" s="115"/>
      <c r="BK1144" s="115"/>
      <c r="BL1144" s="115"/>
      <c r="BM1144" s="115"/>
      <c r="BN1144" s="115"/>
      <c r="BO1144" s="115"/>
    </row>
    <row r="1145" spans="1:67" ht="13.5" customHeight="1" x14ac:dyDescent="0.25">
      <c r="A1145" t="str">
        <f>IF(R1145=0,"",COUNTIF(A$13:A1144,"&gt;0")+1)</f>
        <v/>
      </c>
      <c r="B1145" s="4"/>
      <c r="C1145" s="5" t="s">
        <v>29</v>
      </c>
      <c r="D1145" s="7" t="s">
        <v>245</v>
      </c>
      <c r="E1145" s="31"/>
      <c r="F1145" s="31"/>
      <c r="G1145" s="6" t="s">
        <v>246</v>
      </c>
      <c r="H1145" s="7">
        <f>VLOOKUP(D1145,A!B$1:P$1126,13,FALSE)</f>
        <v>1</v>
      </c>
      <c r="I1145" s="31">
        <f>VLOOKUP(D1145,A!B$1:P$1126,13,FALSE)</f>
        <v>1</v>
      </c>
      <c r="J1145" s="92"/>
      <c r="K1145" s="63" t="str">
        <f>VLOOKUP(D1145,A!B$1:Q$1126,16,FALSE)</f>
        <v/>
      </c>
      <c r="L1145" s="2"/>
      <c r="M1145" s="41" t="s">
        <v>247</v>
      </c>
      <c r="N1145" s="94" t="str">
        <f>VLOOKUP(D1145,A!B$1:P$1125,12,FALSE)</f>
        <v>Y</v>
      </c>
      <c r="O1145" s="94">
        <f>VLOOKUP(D1145,A!B$1:P$1126,14,FALSE)</f>
        <v>1</v>
      </c>
      <c r="P1145" s="10">
        <v>15</v>
      </c>
      <c r="Q1145" s="10">
        <v>1.05</v>
      </c>
      <c r="R1145" s="10">
        <f t="shared" si="154"/>
        <v>0</v>
      </c>
      <c r="S1145" s="10">
        <f>R1145*Q1145</f>
        <v>0</v>
      </c>
      <c r="T1145" s="30" t="s">
        <v>329</v>
      </c>
      <c r="U1145" s="30">
        <f t="shared" si="157"/>
        <v>0.25</v>
      </c>
      <c r="V1145" s="10">
        <f>VLOOKUP(D1145,A!B$1:T$1125,18,FALSE)</f>
        <v>0</v>
      </c>
      <c r="W1145" s="10">
        <f t="shared" si="156"/>
        <v>0</v>
      </c>
      <c r="AC1145" s="30"/>
      <c r="AD1145" s="30"/>
      <c r="AE1145" s="115"/>
      <c r="AF1145" s="115"/>
      <c r="AG1145" s="115"/>
      <c r="AH1145" s="115"/>
      <c r="AI1145" s="115"/>
      <c r="AJ1145" s="115"/>
      <c r="AK1145" s="115"/>
      <c r="AL1145" s="115"/>
      <c r="AM1145" s="115"/>
      <c r="AN1145" s="115"/>
      <c r="AO1145" s="115"/>
      <c r="AP1145" s="115"/>
      <c r="AQ1145" s="115"/>
      <c r="AR1145" s="115"/>
      <c r="AS1145" s="115"/>
      <c r="AT1145" s="115"/>
      <c r="AU1145" s="115"/>
      <c r="AV1145" s="115"/>
      <c r="AW1145" s="115"/>
      <c r="AX1145" s="115"/>
      <c r="AY1145" s="115"/>
      <c r="AZ1145" s="115"/>
      <c r="BA1145" s="115"/>
      <c r="BB1145" s="115"/>
      <c r="BC1145" s="115"/>
      <c r="BD1145" s="115"/>
      <c r="BE1145" s="115"/>
      <c r="BF1145" s="115"/>
      <c r="BG1145" s="115"/>
      <c r="BH1145" s="115"/>
      <c r="BI1145" s="115"/>
      <c r="BJ1145" s="115"/>
      <c r="BK1145" s="115"/>
      <c r="BL1145" s="115"/>
      <c r="BM1145" s="115"/>
      <c r="BN1145" s="115"/>
      <c r="BO1145" s="115"/>
    </row>
    <row r="1146" spans="1:67" ht="14.25" customHeight="1" x14ac:dyDescent="0.25">
      <c r="A1146" t="str">
        <f>IF(R1146=0,"",COUNTIF(A$13:A1145,"&gt;0")+1)</f>
        <v/>
      </c>
      <c r="B1146" s="4"/>
      <c r="C1146" s="5" t="s">
        <v>29</v>
      </c>
      <c r="D1146" s="7" t="s">
        <v>1778</v>
      </c>
      <c r="E1146" s="31"/>
      <c r="F1146" s="31"/>
      <c r="G1146" s="6" t="s">
        <v>1047</v>
      </c>
      <c r="H1146" s="7">
        <f>VLOOKUP(D1146,A!B$1:P$1126,13,FALSE)</f>
        <v>0</v>
      </c>
      <c r="I1146" s="31">
        <f>VLOOKUP(D1146,A!B$1:P$1126,13,FALSE)</f>
        <v>0</v>
      </c>
      <c r="J1146" s="92"/>
      <c r="K1146" s="63" t="str">
        <f>VLOOKUP(D1146,A!B$1:Q$1126,16,FALSE)</f>
        <v/>
      </c>
      <c r="L1146" s="2"/>
      <c r="M1146" s="41" t="s">
        <v>1798</v>
      </c>
      <c r="N1146" s="94" t="str">
        <f>VLOOKUP(D1146,A!B$1:P$1125,12,FALSE)</f>
        <v>y</v>
      </c>
      <c r="O1146" s="94">
        <f>VLOOKUP(D1146,A!B$1:P$1126,14,FALSE)</f>
        <v>0</v>
      </c>
      <c r="P1146" s="10">
        <v>15</v>
      </c>
      <c r="Q1146" s="10">
        <v>1.05</v>
      </c>
      <c r="R1146" s="10">
        <f t="shared" ref="R1146" si="158">B1146*P1146</f>
        <v>0</v>
      </c>
      <c r="S1146" s="10">
        <f>R1146*Q1146</f>
        <v>0</v>
      </c>
      <c r="T1146" s="30" t="s">
        <v>329</v>
      </c>
      <c r="U1146" s="30">
        <f t="shared" si="157"/>
        <v>0.25</v>
      </c>
      <c r="V1146" s="10">
        <f>VLOOKUP(D1146,A!B$1:T$1125,18,FALSE)</f>
        <v>0</v>
      </c>
      <c r="W1146" s="10">
        <f t="shared" ref="W1146" si="159">U1146*B1146</f>
        <v>0</v>
      </c>
      <c r="AC1146" s="30"/>
      <c r="AD1146" s="30"/>
      <c r="AE1146" s="115"/>
      <c r="AF1146" s="115"/>
      <c r="AG1146" s="115"/>
      <c r="AH1146" s="115"/>
      <c r="AI1146" s="115"/>
      <c r="AJ1146" s="115"/>
      <c r="AK1146" s="115"/>
      <c r="AL1146" s="115"/>
      <c r="AM1146" s="115"/>
      <c r="AN1146" s="115"/>
      <c r="AO1146" s="115"/>
      <c r="AP1146" s="115"/>
      <c r="AQ1146" s="115"/>
      <c r="AR1146" s="115"/>
      <c r="AS1146" s="115"/>
      <c r="AT1146" s="115"/>
      <c r="AU1146" s="115"/>
      <c r="AV1146" s="115"/>
      <c r="AW1146" s="115"/>
      <c r="AX1146" s="115"/>
      <c r="AY1146" s="115"/>
      <c r="AZ1146" s="115"/>
      <c r="BA1146" s="115"/>
      <c r="BB1146" s="115"/>
      <c r="BC1146" s="115"/>
      <c r="BD1146" s="115"/>
      <c r="BE1146" s="115"/>
      <c r="BF1146" s="115"/>
      <c r="BG1146" s="115"/>
      <c r="BH1146" s="115"/>
      <c r="BI1146" s="115"/>
      <c r="BJ1146" s="115"/>
      <c r="BK1146" s="115"/>
      <c r="BL1146" s="115"/>
      <c r="BM1146" s="115"/>
      <c r="BN1146" s="115"/>
      <c r="BO1146" s="115"/>
    </row>
    <row r="1147" spans="1:67" ht="14.25" customHeight="1" x14ac:dyDescent="0.25">
      <c r="A1147" t="str">
        <f>IF(R1147=0,"",COUNTIF(A$13:A1146,"&gt;0")+1)</f>
        <v/>
      </c>
      <c r="B1147" s="4"/>
      <c r="C1147" s="5" t="s">
        <v>29</v>
      </c>
      <c r="D1147" s="7" t="s">
        <v>1827</v>
      </c>
      <c r="E1147" s="31"/>
      <c r="F1147" s="31"/>
      <c r="G1147" s="6" t="s">
        <v>1199</v>
      </c>
      <c r="H1147" s="7">
        <f>VLOOKUP(D1147,A!B$1:P$1126,13,FALSE)</f>
        <v>1</v>
      </c>
      <c r="I1147" s="31">
        <f>VLOOKUP(D1147,A!B$1:P$1126,13,FALSE)</f>
        <v>1</v>
      </c>
      <c r="J1147" s="92"/>
      <c r="K1147" s="91" t="str">
        <f>VLOOKUP(D1147,A!B$1:Q$1126,16,FALSE)</f>
        <v/>
      </c>
      <c r="L1147" s="2"/>
      <c r="M1147" s="41" t="s">
        <v>1200</v>
      </c>
      <c r="N1147" s="94" t="str">
        <f>VLOOKUP(D1147,A!B$1:P$1125,12,FALSE)</f>
        <v>y</v>
      </c>
      <c r="O1147" s="94">
        <f>VLOOKUP(D1147,A!B$1:P$1126,14,FALSE)</f>
        <v>0</v>
      </c>
      <c r="P1147" s="10"/>
      <c r="Q1147" s="10"/>
      <c r="R1147" s="10"/>
      <c r="S1147" s="10"/>
      <c r="V1147" s="10"/>
      <c r="W1147" s="10"/>
      <c r="AC1147" s="30"/>
      <c r="AD1147" s="30"/>
      <c r="AE1147" s="115"/>
      <c r="AF1147" s="115"/>
      <c r="AG1147" s="115"/>
      <c r="AH1147" s="115"/>
      <c r="AI1147" s="115"/>
      <c r="AJ1147" s="115"/>
      <c r="AK1147" s="115"/>
      <c r="AL1147" s="115"/>
      <c r="AM1147" s="115"/>
      <c r="AN1147" s="115"/>
      <c r="AO1147" s="115"/>
      <c r="AP1147" s="115"/>
      <c r="AQ1147" s="115"/>
      <c r="AR1147" s="115"/>
      <c r="AS1147" s="115"/>
      <c r="AT1147" s="115"/>
      <c r="AU1147" s="115"/>
      <c r="AV1147" s="115"/>
      <c r="AW1147" s="115"/>
      <c r="AX1147" s="115"/>
      <c r="AY1147" s="115"/>
      <c r="AZ1147" s="115"/>
      <c r="BA1147" s="115"/>
      <c r="BB1147" s="115"/>
      <c r="BC1147" s="115"/>
      <c r="BD1147" s="115"/>
      <c r="BE1147" s="115"/>
      <c r="BF1147" s="115"/>
      <c r="BG1147" s="115"/>
      <c r="BH1147" s="115"/>
      <c r="BI1147" s="115"/>
      <c r="BJ1147" s="115"/>
      <c r="BK1147" s="115"/>
      <c r="BL1147" s="115"/>
      <c r="BM1147" s="115"/>
      <c r="BN1147" s="115"/>
      <c r="BO1147" s="115"/>
    </row>
    <row r="1148" spans="1:67" ht="13.5" hidden="1" customHeight="1" x14ac:dyDescent="0.25">
      <c r="A1148" t="str">
        <f>IF(R1148=0,"",COUNTIF(A$13:A1147,"&gt;0")+1)</f>
        <v/>
      </c>
      <c r="B1148" s="4"/>
      <c r="C1148" s="5" t="s">
        <v>29</v>
      </c>
      <c r="D1148" s="7" t="s">
        <v>188</v>
      </c>
      <c r="E1148" s="31"/>
      <c r="F1148" s="31"/>
      <c r="G1148" s="6" t="s">
        <v>127</v>
      </c>
      <c r="H1148" s="7">
        <f>VLOOKUP(D1148,A!B$1:P$1126,13,FALSE)</f>
        <v>0</v>
      </c>
      <c r="I1148" s="31">
        <f>VLOOKUP(D1148,A!B$1:P$1126,13,FALSE)</f>
        <v>0</v>
      </c>
      <c r="J1148" s="92"/>
      <c r="K1148" s="63" t="str">
        <f>VLOOKUP(D1148,A!B$1:Q$1126,16,FALSE)</f>
        <v/>
      </c>
      <c r="L1148" s="2"/>
      <c r="M1148" s="42" t="s">
        <v>189</v>
      </c>
      <c r="N1148" s="94">
        <f>VLOOKUP(D1148,A!B$1:P$1125,12,FALSE)</f>
        <v>0</v>
      </c>
      <c r="O1148" s="94">
        <f>VLOOKUP(D1148,A!B$1:P$1126,14,FALSE)</f>
        <v>0</v>
      </c>
      <c r="P1148" s="10">
        <v>15</v>
      </c>
      <c r="Q1148" s="10">
        <v>1.05</v>
      </c>
      <c r="R1148" s="10">
        <f t="shared" si="154"/>
        <v>0</v>
      </c>
      <c r="S1148" s="10">
        <f t="shared" si="155"/>
        <v>0</v>
      </c>
      <c r="T1148" s="30" t="s">
        <v>329</v>
      </c>
      <c r="U1148" s="30">
        <f t="shared" si="157"/>
        <v>0.25</v>
      </c>
      <c r="V1148" s="10">
        <f>VLOOKUP(D1148,A!B$1:T$1125,18,FALSE)</f>
        <v>0</v>
      </c>
      <c r="W1148" s="10">
        <f t="shared" si="156"/>
        <v>0</v>
      </c>
      <c r="AC1148" s="30"/>
      <c r="AD1148" s="30"/>
      <c r="AE1148" s="115"/>
      <c r="AF1148" s="115"/>
      <c r="AG1148" s="115"/>
      <c r="AH1148" s="115"/>
      <c r="AI1148" s="115"/>
      <c r="AJ1148" s="115"/>
      <c r="AK1148" s="115"/>
      <c r="AL1148" s="115"/>
      <c r="AM1148" s="115"/>
      <c r="AN1148" s="115"/>
      <c r="AO1148" s="115"/>
      <c r="AP1148" s="115"/>
      <c r="AQ1148" s="115"/>
      <c r="AR1148" s="115"/>
      <c r="AS1148" s="115"/>
      <c r="AT1148" s="115"/>
      <c r="AU1148" s="115"/>
      <c r="AV1148" s="115"/>
      <c r="AW1148" s="115"/>
      <c r="AX1148" s="115"/>
      <c r="AY1148" s="115"/>
      <c r="AZ1148" s="115"/>
      <c r="BA1148" s="115"/>
      <c r="BB1148" s="115"/>
      <c r="BC1148" s="115"/>
      <c r="BD1148" s="115"/>
      <c r="BE1148" s="115"/>
      <c r="BF1148" s="115"/>
      <c r="BG1148" s="115"/>
      <c r="BH1148" s="115"/>
      <c r="BI1148" s="115"/>
      <c r="BJ1148" s="115"/>
      <c r="BK1148" s="115"/>
      <c r="BL1148" s="115"/>
      <c r="BM1148" s="115"/>
      <c r="BN1148" s="115"/>
      <c r="BO1148" s="115"/>
    </row>
    <row r="1149" spans="1:67" ht="12.75" hidden="1" customHeight="1" x14ac:dyDescent="0.25">
      <c r="A1149" t="str">
        <f>IF(R1149=0,"",COUNTIF(A$13:A1148,"&gt;0")+1)</f>
        <v/>
      </c>
      <c r="B1149" s="4"/>
      <c r="C1149" s="5" t="s">
        <v>29</v>
      </c>
      <c r="D1149" s="7" t="s">
        <v>108</v>
      </c>
      <c r="E1149" s="31"/>
      <c r="F1149" s="31"/>
      <c r="G1149" s="6" t="s">
        <v>109</v>
      </c>
      <c r="H1149" s="7">
        <f>VLOOKUP(D1149,A!B$1:P$1126,13,FALSE)</f>
        <v>0</v>
      </c>
      <c r="I1149" s="31">
        <f>VLOOKUP(D1149,A!B$1:P$1126,13,FALSE)</f>
        <v>0</v>
      </c>
      <c r="J1149" s="92"/>
      <c r="K1149" s="63" t="str">
        <f>VLOOKUP(D1149,A!B$1:Q$1126,16,FALSE)</f>
        <v/>
      </c>
      <c r="L1149" s="2"/>
      <c r="M1149" s="43" t="s">
        <v>110</v>
      </c>
      <c r="N1149" s="94">
        <f>VLOOKUP(D1149,A!B$1:P$1125,12,FALSE)</f>
        <v>0</v>
      </c>
      <c r="O1149" s="94">
        <f>VLOOKUP(D1149,A!B$1:P$1126,14,FALSE)</f>
        <v>0</v>
      </c>
      <c r="P1149" s="10">
        <v>15</v>
      </c>
      <c r="Q1149" s="10">
        <v>1.05</v>
      </c>
      <c r="R1149" s="10">
        <f t="shared" si="154"/>
        <v>0</v>
      </c>
      <c r="S1149" s="10">
        <f t="shared" si="155"/>
        <v>0</v>
      </c>
      <c r="T1149" s="30" t="s">
        <v>329</v>
      </c>
      <c r="U1149" s="30">
        <f t="shared" si="157"/>
        <v>0.25</v>
      </c>
      <c r="V1149" s="10">
        <f>VLOOKUP(D1149,A!B$1:T$1125,18,FALSE)</f>
        <v>0</v>
      </c>
      <c r="W1149" s="10">
        <f t="shared" si="156"/>
        <v>0</v>
      </c>
      <c r="AC1149" s="30"/>
      <c r="AD1149" s="30"/>
      <c r="AE1149" s="115"/>
      <c r="AF1149" s="115"/>
      <c r="AG1149" s="115"/>
      <c r="AH1149" s="115"/>
      <c r="AI1149" s="115"/>
      <c r="AJ1149" s="115"/>
      <c r="AK1149" s="115"/>
      <c r="AL1149" s="115"/>
      <c r="AM1149" s="115"/>
      <c r="AN1149" s="115"/>
      <c r="AO1149" s="115"/>
      <c r="AP1149" s="115"/>
      <c r="AQ1149" s="115"/>
      <c r="AR1149" s="115"/>
      <c r="AS1149" s="115"/>
      <c r="AT1149" s="115"/>
      <c r="AU1149" s="115"/>
      <c r="AV1149" s="115"/>
      <c r="AW1149" s="115"/>
      <c r="AX1149" s="115"/>
      <c r="AY1149" s="115"/>
      <c r="AZ1149" s="115"/>
      <c r="BA1149" s="115"/>
      <c r="BB1149" s="115"/>
      <c r="BC1149" s="115"/>
      <c r="BD1149" s="115"/>
      <c r="BE1149" s="115"/>
      <c r="BF1149" s="115"/>
      <c r="BG1149" s="115"/>
      <c r="BH1149" s="115"/>
      <c r="BI1149" s="115"/>
      <c r="BJ1149" s="115"/>
      <c r="BK1149" s="115"/>
      <c r="BL1149" s="115"/>
      <c r="BM1149" s="115"/>
      <c r="BN1149" s="115"/>
      <c r="BO1149" s="115"/>
    </row>
    <row r="1150" spans="1:67" ht="12.75" hidden="1" customHeight="1" x14ac:dyDescent="0.25">
      <c r="A1150" t="str">
        <f>IF(R1150=0,"",COUNTIF(A$13:A1149,"&gt;0")+1)</f>
        <v/>
      </c>
      <c r="B1150" s="4"/>
      <c r="C1150" s="5" t="s">
        <v>29</v>
      </c>
      <c r="D1150" s="22" t="s">
        <v>34</v>
      </c>
      <c r="E1150" s="89"/>
      <c r="F1150" s="89"/>
      <c r="G1150" s="23" t="s">
        <v>35</v>
      </c>
      <c r="H1150" s="7">
        <f>VLOOKUP(D1150,A!B$1:P$1126,13,FALSE)</f>
        <v>0</v>
      </c>
      <c r="I1150" s="31">
        <f>VLOOKUP(D1150,A!B$1:P$1126,13,FALSE)</f>
        <v>0</v>
      </c>
      <c r="J1150" s="92"/>
      <c r="K1150" s="63" t="str">
        <f>VLOOKUP(D1150,A!B$1:Q$1126,16,FALSE)</f>
        <v/>
      </c>
      <c r="L1150" s="2"/>
      <c r="M1150" s="44" t="s">
        <v>64</v>
      </c>
      <c r="N1150" s="94">
        <f>VLOOKUP(D1150,A!B$1:P$1125,12,FALSE)</f>
        <v>0</v>
      </c>
      <c r="O1150" s="94">
        <f>VLOOKUP(D1150,A!B$1:P$1126,14,FALSE)</f>
        <v>0</v>
      </c>
      <c r="P1150" s="10">
        <v>15</v>
      </c>
      <c r="Q1150" s="10">
        <v>1.05</v>
      </c>
      <c r="R1150" s="10">
        <f t="shared" si="154"/>
        <v>0</v>
      </c>
      <c r="S1150" s="10">
        <f t="shared" si="155"/>
        <v>0</v>
      </c>
      <c r="T1150" s="30" t="s">
        <v>329</v>
      </c>
      <c r="U1150" s="30">
        <f t="shared" si="157"/>
        <v>0.25</v>
      </c>
      <c r="V1150" s="10">
        <f>VLOOKUP(D1150,A!B$1:T$1125,18,FALSE)</f>
        <v>0</v>
      </c>
      <c r="W1150" s="10">
        <f t="shared" si="156"/>
        <v>0</v>
      </c>
      <c r="AC1150" s="30"/>
      <c r="AD1150" s="30"/>
      <c r="AE1150" s="115"/>
      <c r="AF1150" s="115"/>
      <c r="AG1150" s="115"/>
      <c r="AH1150" s="115"/>
      <c r="AI1150" s="115"/>
      <c r="AJ1150" s="115"/>
      <c r="AK1150" s="115"/>
      <c r="AL1150" s="115"/>
      <c r="AM1150" s="115"/>
      <c r="AN1150" s="115"/>
      <c r="AO1150" s="115"/>
      <c r="AP1150" s="115"/>
      <c r="AQ1150" s="115"/>
      <c r="AR1150" s="115"/>
      <c r="AS1150" s="115"/>
      <c r="AT1150" s="115"/>
      <c r="AU1150" s="115"/>
      <c r="AV1150" s="115"/>
      <c r="AW1150" s="115"/>
      <c r="AX1150" s="115"/>
      <c r="AY1150" s="115"/>
      <c r="AZ1150" s="115"/>
      <c r="BA1150" s="115"/>
      <c r="BB1150" s="115"/>
      <c r="BC1150" s="115"/>
      <c r="BD1150" s="115"/>
      <c r="BE1150" s="115"/>
      <c r="BF1150" s="115"/>
      <c r="BG1150" s="115"/>
      <c r="BH1150" s="115"/>
      <c r="BI1150" s="115"/>
      <c r="BJ1150" s="115"/>
      <c r="BK1150" s="115"/>
      <c r="BL1150" s="115"/>
      <c r="BM1150" s="115"/>
      <c r="BN1150" s="115"/>
      <c r="BO1150" s="115"/>
    </row>
    <row r="1151" spans="1:67" ht="13.5" customHeight="1" x14ac:dyDescent="0.25">
      <c r="A1151" t="str">
        <f>IF(R1151=0,"",COUNTIF(A$13:A1150,"&gt;0")+1)</f>
        <v/>
      </c>
      <c r="B1151" s="4"/>
      <c r="C1151" s="5" t="s">
        <v>29</v>
      </c>
      <c r="D1151" s="22" t="s">
        <v>111</v>
      </c>
      <c r="E1151" s="89"/>
      <c r="F1151" s="89"/>
      <c r="G1151" s="23" t="s">
        <v>112</v>
      </c>
      <c r="H1151" s="7">
        <f>VLOOKUP(D1151,A!B$1:P$1126,13,FALSE)</f>
        <v>2</v>
      </c>
      <c r="I1151" s="31">
        <f>VLOOKUP(D1151,A!B$1:P$1126,13,FALSE)</f>
        <v>2</v>
      </c>
      <c r="J1151" s="92"/>
      <c r="K1151" s="63" t="str">
        <f>VLOOKUP(D1151,A!B$1:Q$1126,16,FALSE)</f>
        <v/>
      </c>
      <c r="L1151" s="2"/>
      <c r="M1151" s="44" t="s">
        <v>113</v>
      </c>
      <c r="N1151" s="94" t="str">
        <f>VLOOKUP(D1151,A!B$1:P$1125,12,FALSE)</f>
        <v>y</v>
      </c>
      <c r="O1151" s="94">
        <f>VLOOKUP(D1151,A!B$1:P$1126,14,FALSE)</f>
        <v>0</v>
      </c>
      <c r="P1151" s="10">
        <v>15</v>
      </c>
      <c r="Q1151" s="10">
        <v>1.05</v>
      </c>
      <c r="R1151" s="10">
        <f t="shared" si="154"/>
        <v>0</v>
      </c>
      <c r="S1151" s="10">
        <f t="shared" si="155"/>
        <v>0</v>
      </c>
      <c r="T1151" s="30" t="s">
        <v>329</v>
      </c>
      <c r="U1151" s="30">
        <f t="shared" si="157"/>
        <v>0.25</v>
      </c>
      <c r="V1151" s="10">
        <f>VLOOKUP(D1151,A!B$1:T$1125,18,FALSE)</f>
        <v>0</v>
      </c>
      <c r="W1151" s="10">
        <f t="shared" si="156"/>
        <v>0</v>
      </c>
      <c r="AC1151" s="30"/>
      <c r="AD1151" s="30"/>
      <c r="AE1151" s="115"/>
      <c r="AF1151" s="115"/>
      <c r="AG1151" s="115"/>
      <c r="AH1151" s="115"/>
      <c r="AI1151" s="115"/>
      <c r="AJ1151" s="115"/>
      <c r="AK1151" s="115"/>
      <c r="AL1151" s="115"/>
      <c r="AM1151" s="115"/>
      <c r="AN1151" s="115"/>
      <c r="AO1151" s="115"/>
      <c r="AP1151" s="115"/>
      <c r="AQ1151" s="115"/>
      <c r="AR1151" s="115"/>
      <c r="AS1151" s="115"/>
      <c r="AT1151" s="115"/>
      <c r="AU1151" s="115"/>
      <c r="AV1151" s="115"/>
      <c r="AW1151" s="115"/>
      <c r="AX1151" s="115"/>
      <c r="AY1151" s="115"/>
      <c r="AZ1151" s="115"/>
      <c r="BA1151" s="115"/>
      <c r="BB1151" s="115"/>
      <c r="BC1151" s="115"/>
      <c r="BD1151" s="115"/>
      <c r="BE1151" s="115"/>
      <c r="BF1151" s="115"/>
      <c r="BG1151" s="115"/>
      <c r="BH1151" s="115"/>
      <c r="BI1151" s="115"/>
      <c r="BJ1151" s="115"/>
      <c r="BK1151" s="115"/>
      <c r="BL1151" s="115"/>
      <c r="BM1151" s="115"/>
      <c r="BN1151" s="115"/>
      <c r="BO1151" s="115"/>
    </row>
    <row r="1152" spans="1:67" ht="13.5" customHeight="1" x14ac:dyDescent="0.25">
      <c r="A1152" t="str">
        <f>IF(R1152=0,"",COUNTIF(A$13:A1151,"&gt;0")+1)</f>
        <v/>
      </c>
      <c r="B1152" s="4"/>
      <c r="C1152" s="5" t="s">
        <v>29</v>
      </c>
      <c r="D1152" s="7" t="s">
        <v>192</v>
      </c>
      <c r="E1152" s="31"/>
      <c r="F1152" s="31"/>
      <c r="G1152" s="6" t="s">
        <v>101</v>
      </c>
      <c r="H1152" s="7">
        <f>VLOOKUP(D1152,A!B$1:P$1126,13,FALSE)</f>
        <v>2</v>
      </c>
      <c r="I1152" s="31">
        <f>VLOOKUP(D1152,A!B$1:P$1126,13,FALSE)</f>
        <v>2</v>
      </c>
      <c r="J1152" s="92"/>
      <c r="K1152" s="63" t="str">
        <f>VLOOKUP(D1152,A!B$1:Q$1126,16,FALSE)</f>
        <v/>
      </c>
      <c r="L1152" s="2"/>
      <c r="M1152" s="42" t="s">
        <v>199</v>
      </c>
      <c r="N1152" s="94" t="str">
        <f>VLOOKUP(D1152,A!B$1:P$1125,12,FALSE)</f>
        <v>y</v>
      </c>
      <c r="O1152" s="94">
        <f>VLOOKUP(D1152,A!B$1:P$1126,14,FALSE)</f>
        <v>1</v>
      </c>
      <c r="P1152" s="10">
        <v>15</v>
      </c>
      <c r="Q1152" s="10">
        <v>1.05</v>
      </c>
      <c r="R1152" s="10">
        <f t="shared" si="154"/>
        <v>0</v>
      </c>
      <c r="S1152" s="10">
        <f t="shared" si="155"/>
        <v>0</v>
      </c>
      <c r="T1152" s="30" t="s">
        <v>329</v>
      </c>
      <c r="U1152" s="30">
        <f t="shared" si="157"/>
        <v>0.25</v>
      </c>
      <c r="V1152" s="10">
        <f>VLOOKUP(D1152,A!B$1:T$1125,18,FALSE)</f>
        <v>40</v>
      </c>
      <c r="W1152" s="10">
        <f t="shared" si="156"/>
        <v>0</v>
      </c>
      <c r="AC1152" s="30"/>
      <c r="AD1152" s="30"/>
      <c r="AE1152" s="115"/>
      <c r="AF1152" s="115"/>
      <c r="AG1152" s="115"/>
      <c r="AH1152" s="115"/>
      <c r="AI1152" s="115"/>
      <c r="AJ1152" s="115"/>
      <c r="AK1152" s="115"/>
      <c r="AL1152" s="115"/>
      <c r="AM1152" s="115"/>
      <c r="AN1152" s="115"/>
      <c r="AO1152" s="115"/>
      <c r="AP1152" s="115"/>
      <c r="AQ1152" s="115"/>
      <c r="AR1152" s="115"/>
      <c r="AS1152" s="115"/>
      <c r="AT1152" s="115"/>
      <c r="AU1152" s="115"/>
      <c r="AV1152" s="115"/>
      <c r="AW1152" s="115"/>
      <c r="AX1152" s="115"/>
      <c r="AY1152" s="115"/>
      <c r="AZ1152" s="115"/>
      <c r="BA1152" s="115"/>
      <c r="BB1152" s="115"/>
      <c r="BC1152" s="115"/>
      <c r="BD1152" s="115"/>
      <c r="BE1152" s="115"/>
      <c r="BF1152" s="115"/>
      <c r="BG1152" s="115"/>
      <c r="BH1152" s="115"/>
      <c r="BI1152" s="115"/>
      <c r="BJ1152" s="115"/>
      <c r="BK1152" s="115"/>
      <c r="BL1152" s="115"/>
      <c r="BM1152" s="115"/>
      <c r="BN1152" s="115"/>
      <c r="BO1152" s="115"/>
    </row>
    <row r="1153" spans="1:67" ht="13.5" customHeight="1" x14ac:dyDescent="0.25">
      <c r="A1153" t="str">
        <f>IF(R1153=0,"",COUNTIF(A$13:A1152,"&gt;0")+1)</f>
        <v/>
      </c>
      <c r="B1153" s="4"/>
      <c r="C1153" s="5" t="s">
        <v>29</v>
      </c>
      <c r="D1153" s="7" t="s">
        <v>1777</v>
      </c>
      <c r="E1153" s="31"/>
      <c r="F1153" s="31"/>
      <c r="G1153" s="20" t="s">
        <v>65</v>
      </c>
      <c r="H1153" s="7">
        <f>VLOOKUP(D1153,A!B$1:P$1126,13,FALSE)</f>
        <v>1</v>
      </c>
      <c r="I1153" s="31">
        <f>VLOOKUP(D1153,A!B$1:P$1126,13,FALSE)</f>
        <v>1</v>
      </c>
      <c r="J1153" s="92"/>
      <c r="K1153" s="63" t="str">
        <f>VLOOKUP(D1153,A!B$1:Q$1126,16,FALSE)</f>
        <v/>
      </c>
      <c r="L1153" s="2"/>
      <c r="M1153" s="43" t="s">
        <v>1780</v>
      </c>
      <c r="N1153" s="94" t="str">
        <f>VLOOKUP(D1153,A!B$1:P$1125,12,FALSE)</f>
        <v>y</v>
      </c>
      <c r="O1153" s="94">
        <f>VLOOKUP(D1153,A!B$1:P$1126,14,FALSE)</f>
        <v>0</v>
      </c>
      <c r="P1153" s="10">
        <v>15</v>
      </c>
      <c r="Q1153" s="10">
        <v>1.05</v>
      </c>
      <c r="R1153" s="10">
        <f t="shared" ref="R1153:R1155" si="160">B1153*P1153</f>
        <v>0</v>
      </c>
      <c r="S1153" s="10">
        <f t="shared" ref="S1153:S1155" si="161">R1153*Q1153</f>
        <v>0</v>
      </c>
      <c r="T1153" s="30" t="s">
        <v>329</v>
      </c>
      <c r="U1153" s="30">
        <f t="shared" si="157"/>
        <v>0.25</v>
      </c>
      <c r="V1153" s="10">
        <f>VLOOKUP(D1153,A!B$1:T$1125,18,FALSE)</f>
        <v>0</v>
      </c>
      <c r="W1153" s="10">
        <f t="shared" ref="W1153:W1155" si="162">U1153*B1153</f>
        <v>0</v>
      </c>
      <c r="AC1153" s="30"/>
      <c r="AD1153" s="30"/>
      <c r="AE1153" s="115"/>
      <c r="AF1153" s="115"/>
      <c r="AG1153" s="115"/>
      <c r="AH1153" s="115"/>
      <c r="AI1153" s="115"/>
      <c r="AJ1153" s="115"/>
      <c r="AK1153" s="115"/>
      <c r="AL1153" s="115"/>
      <c r="AM1153" s="115"/>
      <c r="AN1153" s="115"/>
      <c r="AO1153" s="115"/>
      <c r="AP1153" s="115"/>
      <c r="AQ1153" s="115"/>
      <c r="AR1153" s="115"/>
      <c r="AS1153" s="115"/>
      <c r="AT1153" s="115"/>
      <c r="AU1153" s="115"/>
      <c r="AV1153" s="115"/>
      <c r="AW1153" s="115"/>
      <c r="AX1153" s="115"/>
      <c r="AY1153" s="115"/>
      <c r="AZ1153" s="115"/>
      <c r="BA1153" s="115"/>
      <c r="BB1153" s="115"/>
      <c r="BC1153" s="115"/>
      <c r="BD1153" s="115"/>
      <c r="BE1153" s="115"/>
      <c r="BF1153" s="115"/>
      <c r="BG1153" s="115"/>
      <c r="BH1153" s="115"/>
      <c r="BI1153" s="115"/>
      <c r="BJ1153" s="115"/>
      <c r="BK1153" s="115"/>
      <c r="BL1153" s="115"/>
      <c r="BM1153" s="115"/>
      <c r="BN1153" s="115"/>
      <c r="BO1153" s="115"/>
    </row>
    <row r="1154" spans="1:67" ht="12.75" customHeight="1" x14ac:dyDescent="0.25">
      <c r="A1154" t="str">
        <f>IF(R1154=0,"",COUNTIF(A$13:A1153,"&gt;0")+1)</f>
        <v/>
      </c>
      <c r="B1154" s="4"/>
      <c r="C1154" s="5" t="s">
        <v>29</v>
      </c>
      <c r="D1154" s="7" t="s">
        <v>197</v>
      </c>
      <c r="E1154" s="31"/>
      <c r="F1154" s="31"/>
      <c r="G1154" s="20" t="s">
        <v>65</v>
      </c>
      <c r="H1154" s="7">
        <f>VLOOKUP(D1154,A!B$1:P$1126,13,FALSE)</f>
        <v>0</v>
      </c>
      <c r="I1154" s="31">
        <f>VLOOKUP(D1154,A!B$1:P$1126,13,FALSE)</f>
        <v>0</v>
      </c>
      <c r="J1154" s="92"/>
      <c r="K1154" s="63" t="str">
        <f>VLOOKUP(D1154,A!B$1:Q$1126,16,FALSE)</f>
        <v/>
      </c>
      <c r="L1154" s="2"/>
      <c r="M1154" s="43" t="s">
        <v>198</v>
      </c>
      <c r="N1154" s="94">
        <f>VLOOKUP(D1154,A!B$1:P$1125,12,FALSE)</f>
        <v>0</v>
      </c>
      <c r="O1154" s="94">
        <f>VLOOKUP(D1154,A!B$1:P$1126,14,FALSE)</f>
        <v>0</v>
      </c>
      <c r="P1154" s="10">
        <v>15</v>
      </c>
      <c r="Q1154" s="10">
        <v>1.05</v>
      </c>
      <c r="R1154" s="10">
        <f t="shared" si="160"/>
        <v>0</v>
      </c>
      <c r="S1154" s="10">
        <f t="shared" si="161"/>
        <v>0</v>
      </c>
      <c r="T1154" s="30" t="s">
        <v>329</v>
      </c>
      <c r="U1154" s="30">
        <f t="shared" si="157"/>
        <v>0.25</v>
      </c>
      <c r="V1154" s="10">
        <f>VLOOKUP(D1154,A!B$1:T$1125,18,FALSE)</f>
        <v>0</v>
      </c>
      <c r="W1154" s="10">
        <f t="shared" si="162"/>
        <v>0</v>
      </c>
      <c r="AC1154" s="30"/>
      <c r="AD1154" s="30"/>
      <c r="AE1154" s="115"/>
      <c r="AF1154" s="115"/>
      <c r="AG1154" s="115"/>
      <c r="AH1154" s="115"/>
      <c r="AI1154" s="115"/>
      <c r="AJ1154" s="115"/>
      <c r="AK1154" s="115"/>
      <c r="AL1154" s="115"/>
      <c r="AM1154" s="115"/>
      <c r="AN1154" s="115"/>
      <c r="AO1154" s="115"/>
      <c r="AP1154" s="115"/>
      <c r="AQ1154" s="115"/>
      <c r="AR1154" s="115"/>
      <c r="AS1154" s="115"/>
      <c r="AT1154" s="115"/>
      <c r="AU1154" s="115"/>
      <c r="AV1154" s="115"/>
      <c r="AW1154" s="115"/>
      <c r="AX1154" s="115"/>
      <c r="AY1154" s="115"/>
      <c r="AZ1154" s="115"/>
      <c r="BA1154" s="115"/>
      <c r="BB1154" s="115"/>
      <c r="BC1154" s="115"/>
      <c r="BD1154" s="115"/>
      <c r="BE1154" s="115"/>
      <c r="BF1154" s="115"/>
      <c r="BG1154" s="115"/>
      <c r="BH1154" s="115"/>
      <c r="BI1154" s="115"/>
      <c r="BJ1154" s="115"/>
      <c r="BK1154" s="115"/>
      <c r="BL1154" s="115"/>
      <c r="BM1154" s="115"/>
      <c r="BN1154" s="115"/>
      <c r="BO1154" s="115"/>
    </row>
    <row r="1155" spans="1:67" ht="12.75" customHeight="1" x14ac:dyDescent="0.25">
      <c r="A1155" t="str">
        <f>IF(R1155=0,"",COUNTIF(A$13:A1154,"&gt;0")+1)</f>
        <v/>
      </c>
      <c r="B1155" s="4"/>
      <c r="C1155" s="5" t="s">
        <v>29</v>
      </c>
      <c r="D1155" s="172" t="s">
        <v>1265</v>
      </c>
      <c r="E1155" s="195"/>
      <c r="F1155" s="195"/>
      <c r="G1155" s="20" t="s">
        <v>65</v>
      </c>
      <c r="H1155" s="7">
        <f>VLOOKUP(D1155,A!B$1:P$1126,13,FALSE)</f>
        <v>0</v>
      </c>
      <c r="I1155" s="31">
        <f>VLOOKUP(D1155,A!B$1:P$1126,13,FALSE)</f>
        <v>0</v>
      </c>
      <c r="J1155" s="92"/>
      <c r="K1155" s="63" t="str">
        <f>VLOOKUP(D1155,A!B$1:Q$1126,16,FALSE)</f>
        <v/>
      </c>
      <c r="L1155" s="196"/>
      <c r="M1155" s="43" t="s">
        <v>1779</v>
      </c>
      <c r="N1155" s="94">
        <f>VLOOKUP(D1155,A!B$1:P$1125,12,FALSE)</f>
        <v>0</v>
      </c>
      <c r="O1155" s="94">
        <f>VLOOKUP(D1155,A!B$1:P$1126,14,FALSE)</f>
        <v>0</v>
      </c>
      <c r="P1155" s="10">
        <v>15</v>
      </c>
      <c r="Q1155" s="10">
        <v>1.05</v>
      </c>
      <c r="R1155" s="10">
        <f t="shared" si="160"/>
        <v>0</v>
      </c>
      <c r="S1155" s="10">
        <f t="shared" si="161"/>
        <v>0</v>
      </c>
      <c r="T1155" s="30" t="s">
        <v>329</v>
      </c>
      <c r="U1155" s="30">
        <f t="shared" si="157"/>
        <v>0.25</v>
      </c>
      <c r="V1155" s="10">
        <f>VLOOKUP(D1155,A!B$1:T$1125,18,FALSE)</f>
        <v>0</v>
      </c>
      <c r="W1155" s="10">
        <f t="shared" si="162"/>
        <v>0</v>
      </c>
      <c r="AC1155" s="30"/>
      <c r="AD1155" s="30"/>
      <c r="AE1155" s="115"/>
      <c r="AF1155" s="115"/>
      <c r="AG1155" s="115"/>
      <c r="AH1155" s="115"/>
      <c r="AI1155" s="115"/>
      <c r="AJ1155" s="115"/>
      <c r="AK1155" s="115"/>
      <c r="AL1155" s="115"/>
      <c r="AM1155" s="115"/>
      <c r="AN1155" s="115"/>
      <c r="AO1155" s="115"/>
      <c r="AP1155" s="115"/>
      <c r="AQ1155" s="115"/>
      <c r="AR1155" s="115"/>
      <c r="AS1155" s="115"/>
      <c r="AT1155" s="115"/>
      <c r="AU1155" s="115"/>
      <c r="AV1155" s="115"/>
      <c r="AW1155" s="115"/>
      <c r="AX1155" s="115"/>
      <c r="AY1155" s="115"/>
      <c r="AZ1155" s="115"/>
      <c r="BA1155" s="115"/>
      <c r="BB1155" s="115"/>
      <c r="BC1155" s="115"/>
      <c r="BD1155" s="115"/>
      <c r="BE1155" s="115"/>
      <c r="BF1155" s="115"/>
      <c r="BG1155" s="115"/>
      <c r="BH1155" s="115"/>
      <c r="BI1155" s="115"/>
      <c r="BJ1155" s="115"/>
      <c r="BK1155" s="115"/>
      <c r="BL1155" s="115"/>
      <c r="BM1155" s="115"/>
      <c r="BN1155" s="115"/>
      <c r="BO1155" s="115"/>
    </row>
    <row r="1156" spans="1:67" ht="13.5" customHeight="1" x14ac:dyDescent="0.25">
      <c r="A1156" t="str">
        <f>IF(R1156=0,"",COUNTIF(A$13:A1155,"&gt;0")+1)</f>
        <v/>
      </c>
      <c r="B1156" s="4"/>
      <c r="C1156" s="5" t="s">
        <v>29</v>
      </c>
      <c r="D1156" s="7" t="s">
        <v>282</v>
      </c>
      <c r="E1156" s="31"/>
      <c r="F1156" s="31"/>
      <c r="G1156" s="20" t="s">
        <v>26</v>
      </c>
      <c r="H1156" s="7">
        <f>VLOOKUP(D1156,A!B$1:P$1126,13,FALSE)</f>
        <v>1</v>
      </c>
      <c r="I1156" s="31">
        <f>VLOOKUP(D1156,A!B$1:P$1126,13,FALSE)</f>
        <v>1</v>
      </c>
      <c r="J1156" s="92"/>
      <c r="K1156" s="63" t="str">
        <f>VLOOKUP(D1156,A!B$1:Q$1126,16,FALSE)</f>
        <v/>
      </c>
      <c r="L1156" s="2"/>
      <c r="M1156" s="41" t="s">
        <v>27</v>
      </c>
      <c r="N1156" s="94" t="str">
        <f>VLOOKUP(D1156,A!B$1:P$1125,12,FALSE)</f>
        <v>y</v>
      </c>
      <c r="O1156" s="94">
        <f>VLOOKUP(D1156,A!B$1:P$1126,14,FALSE)</f>
        <v>1</v>
      </c>
      <c r="P1156" s="10">
        <v>15</v>
      </c>
      <c r="Q1156" s="10">
        <v>1.05</v>
      </c>
      <c r="R1156" s="10">
        <f t="shared" ref="R1156" si="163">B1156*P1156</f>
        <v>0</v>
      </c>
      <c r="S1156" s="10">
        <f t="shared" ref="S1156" si="164">R1156*Q1156</f>
        <v>0</v>
      </c>
      <c r="T1156" s="30" t="s">
        <v>329</v>
      </c>
      <c r="U1156" s="30">
        <f t="shared" si="157"/>
        <v>0.25</v>
      </c>
      <c r="V1156" s="10">
        <f>VLOOKUP(D1156,A!B$1:T$1125,18,FALSE)</f>
        <v>0</v>
      </c>
      <c r="W1156" s="10">
        <f t="shared" ref="W1156" si="165">U1156*B1156</f>
        <v>0</v>
      </c>
      <c r="AC1156" s="30"/>
      <c r="AD1156" s="30"/>
      <c r="AE1156" s="115"/>
      <c r="AF1156" s="115"/>
      <c r="AG1156" s="115"/>
      <c r="AH1156" s="115"/>
      <c r="AI1156" s="115"/>
      <c r="AJ1156" s="115"/>
      <c r="AK1156" s="115"/>
      <c r="AL1156" s="115"/>
      <c r="AM1156" s="115"/>
      <c r="AN1156" s="115"/>
      <c r="AO1156" s="115"/>
      <c r="AP1156" s="115"/>
      <c r="AQ1156" s="115"/>
      <c r="AR1156" s="115"/>
      <c r="AS1156" s="115"/>
      <c r="AT1156" s="115"/>
      <c r="AU1156" s="115"/>
      <c r="AV1156" s="115"/>
      <c r="AW1156" s="115"/>
      <c r="AX1156" s="115"/>
      <c r="AY1156" s="115"/>
      <c r="AZ1156" s="115"/>
      <c r="BA1156" s="115"/>
      <c r="BB1156" s="115"/>
      <c r="BC1156" s="115"/>
      <c r="BD1156" s="115"/>
      <c r="BE1156" s="115"/>
      <c r="BF1156" s="115"/>
      <c r="BG1156" s="115"/>
      <c r="BH1156" s="115"/>
      <c r="BI1156" s="115"/>
      <c r="BJ1156" s="115"/>
      <c r="BK1156" s="115"/>
      <c r="BL1156" s="115"/>
      <c r="BM1156" s="115"/>
      <c r="BN1156" s="115"/>
      <c r="BO1156" s="115"/>
    </row>
    <row r="1157" spans="1:67" ht="13.5" customHeight="1" x14ac:dyDescent="0.25">
      <c r="A1157" t="str">
        <f>IF(R1157=0,"",COUNTIF(A$13:A1156,"&gt;0")+1)</f>
        <v/>
      </c>
      <c r="B1157" s="82">
        <f>SUM(B1139:B1156)</f>
        <v>0</v>
      </c>
      <c r="C1157" s="5" t="s">
        <v>29</v>
      </c>
      <c r="D1157" s="24" t="s">
        <v>36</v>
      </c>
      <c r="E1157" s="88"/>
      <c r="F1157" s="96"/>
      <c r="G1157" s="84"/>
      <c r="H1157" s="84"/>
      <c r="I1157" s="84"/>
      <c r="J1157" s="84"/>
      <c r="K1157" s="84"/>
      <c r="L1157" s="84"/>
      <c r="M1157" s="84"/>
      <c r="N1157" s="100"/>
      <c r="O1157" s="100"/>
      <c r="P1157" s="10">
        <v>15</v>
      </c>
      <c r="Q1157" s="151"/>
      <c r="R1157" s="10">
        <f t="shared" si="154"/>
        <v>0</v>
      </c>
      <c r="S1157" s="10"/>
      <c r="AC1157" s="30"/>
      <c r="AD1157" s="30"/>
      <c r="AE1157" s="115"/>
      <c r="AF1157" s="115"/>
      <c r="AG1157" s="115"/>
      <c r="AH1157" s="115"/>
      <c r="AI1157" s="115"/>
      <c r="AJ1157" s="115"/>
      <c r="AK1157" s="115"/>
      <c r="AL1157" s="115"/>
      <c r="AM1157" s="115"/>
      <c r="AN1157" s="115"/>
      <c r="AO1157" s="115"/>
      <c r="AP1157" s="115"/>
      <c r="AQ1157" s="115"/>
      <c r="AR1157" s="115"/>
      <c r="AS1157" s="115"/>
      <c r="AT1157" s="115"/>
      <c r="AU1157" s="115"/>
      <c r="AV1157" s="115"/>
      <c r="AW1157" s="115"/>
      <c r="AX1157" s="115"/>
      <c r="AY1157" s="115"/>
      <c r="AZ1157" s="115"/>
      <c r="BA1157" s="115"/>
      <c r="BB1157" s="115"/>
      <c r="BC1157" s="115"/>
      <c r="BD1157" s="115"/>
      <c r="BE1157" s="115"/>
      <c r="BF1157" s="115"/>
      <c r="BG1157" s="115"/>
      <c r="BH1157" s="115"/>
      <c r="BI1157" s="115"/>
      <c r="BJ1157" s="115"/>
      <c r="BK1157" s="115"/>
      <c r="BL1157" s="115"/>
      <c r="BM1157" s="115"/>
      <c r="BN1157" s="115"/>
      <c r="BO1157" s="115"/>
    </row>
    <row r="1158" spans="1:67" ht="15" customHeight="1" x14ac:dyDescent="0.25">
      <c r="A1158" t="str">
        <f>IF(R1158=0,"",COUNTIF(A$13:A1157,"&gt;0")+1)</f>
        <v/>
      </c>
      <c r="N1158" s="102"/>
      <c r="O1158" s="102"/>
      <c r="P1158" s="115"/>
      <c r="Q1158" s="115"/>
      <c r="R1158" s="115"/>
      <c r="S1158" s="115"/>
      <c r="T1158" s="115"/>
      <c r="U1158" s="115"/>
      <c r="V1158" s="115"/>
      <c r="W1158" s="115"/>
      <c r="X1158" s="115"/>
      <c r="Y1158" s="115"/>
      <c r="Z1158" s="115"/>
      <c r="AA1158" s="115"/>
      <c r="AB1158" s="115"/>
      <c r="AC1158" s="115"/>
      <c r="AD1158" s="115"/>
      <c r="AE1158" s="115"/>
      <c r="AF1158" s="115"/>
      <c r="AG1158" s="115"/>
      <c r="AH1158" s="115"/>
      <c r="AI1158" s="115"/>
      <c r="AJ1158" s="115"/>
      <c r="AK1158" s="115"/>
      <c r="AL1158" s="115"/>
      <c r="AM1158" s="115"/>
      <c r="AN1158" s="115"/>
      <c r="AO1158" s="115"/>
      <c r="AP1158" s="115"/>
      <c r="AQ1158" s="115"/>
      <c r="AR1158" s="115"/>
      <c r="AS1158" s="115"/>
      <c r="AT1158" s="115"/>
      <c r="AU1158" s="115"/>
      <c r="AV1158" s="115"/>
      <c r="AW1158" s="115"/>
      <c r="AX1158" s="115"/>
      <c r="AY1158" s="115"/>
      <c r="AZ1158" s="115"/>
      <c r="BA1158" s="115"/>
      <c r="BB1158" s="115"/>
      <c r="BC1158" s="115"/>
      <c r="BD1158" s="115"/>
      <c r="BE1158" s="115"/>
      <c r="BF1158" s="115"/>
      <c r="BG1158" s="115"/>
      <c r="BH1158" s="115"/>
      <c r="BI1158" s="115"/>
      <c r="BJ1158" s="115"/>
      <c r="BK1158" s="115"/>
      <c r="BL1158" s="115"/>
      <c r="BM1158" s="115"/>
      <c r="BN1158" s="115"/>
      <c r="BO1158" s="115"/>
    </row>
    <row r="1159" spans="1:67" ht="21" customHeight="1" x14ac:dyDescent="0.25">
      <c r="A1159" t="str">
        <f>IF(R1159=0,"",COUNTIF(A$13:A1158,"&gt;0")+1)</f>
        <v/>
      </c>
      <c r="B1159" s="234" t="s">
        <v>38</v>
      </c>
      <c r="C1159" s="235"/>
      <c r="D1159" s="235"/>
      <c r="E1159" s="235"/>
      <c r="F1159" s="235"/>
      <c r="G1159" s="236"/>
      <c r="H1159" s="123"/>
      <c r="I1159" s="124"/>
      <c r="J1159" s="137"/>
      <c r="K1159" s="137"/>
      <c r="L1159" s="137" t="s">
        <v>72</v>
      </c>
      <c r="M1159" s="27">
        <v>1.05</v>
      </c>
      <c r="S1159" s="10"/>
      <c r="AC1159" s="30"/>
      <c r="AD1159" s="30"/>
      <c r="AE1159" s="115"/>
      <c r="AF1159" s="115"/>
      <c r="AG1159" s="115"/>
      <c r="AH1159" s="115"/>
      <c r="AI1159" s="115"/>
      <c r="AJ1159" s="115"/>
      <c r="AK1159" s="115"/>
      <c r="AL1159" s="115"/>
      <c r="AM1159" s="115"/>
      <c r="AN1159" s="115"/>
      <c r="AO1159" s="115"/>
      <c r="AP1159" s="115"/>
      <c r="AQ1159" s="115"/>
      <c r="AR1159" s="115"/>
      <c r="AS1159" s="115"/>
      <c r="AT1159" s="115"/>
      <c r="AU1159" s="115"/>
      <c r="AV1159" s="115"/>
      <c r="AW1159" s="115"/>
      <c r="AX1159" s="115"/>
      <c r="AY1159" s="115"/>
      <c r="AZ1159" s="115"/>
      <c r="BA1159" s="115"/>
      <c r="BB1159" s="115"/>
      <c r="BC1159" s="115"/>
      <c r="BD1159" s="115"/>
      <c r="BE1159" s="115"/>
      <c r="BF1159" s="115"/>
      <c r="BG1159" s="115"/>
      <c r="BH1159" s="115"/>
      <c r="BI1159" s="115"/>
      <c r="BJ1159" s="115"/>
      <c r="BK1159" s="115"/>
      <c r="BL1159" s="115"/>
      <c r="BM1159" s="115"/>
      <c r="BN1159" s="115"/>
      <c r="BO1159" s="115"/>
    </row>
    <row r="1160" spans="1:67" ht="12" customHeight="1" x14ac:dyDescent="0.25">
      <c r="A1160" t="str">
        <f>IF(R1160=0,"",COUNTIF(A$13:A1159,"&gt;0")+1)</f>
        <v/>
      </c>
      <c r="B1160" s="237" t="s">
        <v>18</v>
      </c>
      <c r="C1160" s="238"/>
      <c r="D1160" s="16" t="s">
        <v>19</v>
      </c>
      <c r="E1160" s="86"/>
      <c r="F1160" s="86"/>
      <c r="G1160" s="17" t="s">
        <v>20</v>
      </c>
      <c r="H1160" s="118"/>
      <c r="I1160" s="117"/>
      <c r="J1160" s="117"/>
      <c r="K1160" s="122" t="s">
        <v>17</v>
      </c>
      <c r="L1160" s="119">
        <v>5021353014808</v>
      </c>
      <c r="M1160" s="120" t="s">
        <v>21</v>
      </c>
      <c r="S1160" s="10"/>
      <c r="AC1160" s="30"/>
      <c r="AD1160" s="30"/>
      <c r="AE1160" s="115"/>
      <c r="AF1160" s="115"/>
      <c r="AG1160" s="115"/>
      <c r="AH1160" s="115"/>
      <c r="AI1160" s="115"/>
      <c r="AJ1160" s="115"/>
      <c r="AK1160" s="115"/>
      <c r="AL1160" s="115"/>
      <c r="AM1160" s="115"/>
      <c r="AN1160" s="115"/>
      <c r="AO1160" s="115"/>
      <c r="AP1160" s="115"/>
      <c r="AQ1160" s="115"/>
      <c r="AR1160" s="115"/>
      <c r="AS1160" s="115"/>
      <c r="AT1160" s="115"/>
      <c r="AU1160" s="115"/>
      <c r="AV1160" s="115"/>
      <c r="AW1160" s="115"/>
      <c r="AX1160" s="115"/>
      <c r="AY1160" s="115"/>
      <c r="AZ1160" s="115"/>
      <c r="BA1160" s="115"/>
      <c r="BB1160" s="115"/>
      <c r="BC1160" s="115"/>
      <c r="BD1160" s="115"/>
      <c r="BE1160" s="115"/>
      <c r="BF1160" s="115"/>
      <c r="BG1160" s="115"/>
      <c r="BH1160" s="115"/>
      <c r="BI1160" s="115"/>
      <c r="BJ1160" s="115"/>
      <c r="BK1160" s="115"/>
      <c r="BL1160" s="115"/>
      <c r="BM1160" s="115"/>
      <c r="BN1160" s="115"/>
      <c r="BO1160" s="115"/>
    </row>
    <row r="1161" spans="1:67" ht="13.5" customHeight="1" x14ac:dyDescent="0.25">
      <c r="A1161" t="str">
        <f>IF(R1161=0,"",COUNTIF(A$13:A1160,"&gt;0")+1)</f>
        <v/>
      </c>
      <c r="B1161" s="4"/>
      <c r="C1161" s="5" t="s">
        <v>29</v>
      </c>
      <c r="D1161" s="7" t="s">
        <v>56</v>
      </c>
      <c r="E1161" s="31"/>
      <c r="F1161" s="31"/>
      <c r="G1161" s="23" t="s">
        <v>62</v>
      </c>
      <c r="H1161" s="7">
        <f>VLOOKUP(D1161,A!B$1:P$1126,13,FALSE)</f>
        <v>2</v>
      </c>
      <c r="I1161" s="31">
        <f>VLOOKUP(D1161,A!B$1:P$1126,13,FALSE)</f>
        <v>2</v>
      </c>
      <c r="J1161" s="92"/>
      <c r="K1161" s="63" t="str">
        <f>VLOOKUP(D1161,A!B$1:Q$1126,16,FALSE)</f>
        <v/>
      </c>
      <c r="L1161" s="31"/>
      <c r="M1161" s="39" t="s">
        <v>60</v>
      </c>
      <c r="N1161" s="94" t="str">
        <f>VLOOKUP(D1161,A!B$1:P$1125,12,FALSE)</f>
        <v>y</v>
      </c>
      <c r="O1161" s="94">
        <f>VLOOKUP(D1161,A!B$1:P$1126,14,FALSE)</f>
        <v>0</v>
      </c>
      <c r="P1161" s="10">
        <v>15</v>
      </c>
      <c r="Q1161" s="10">
        <v>1.05</v>
      </c>
      <c r="R1161" s="10">
        <f t="shared" ref="R1161:R1168" si="166">B1161*P1161</f>
        <v>0</v>
      </c>
      <c r="S1161" s="10">
        <f>R1161*Q1161</f>
        <v>0</v>
      </c>
      <c r="T1161" s="30" t="s">
        <v>330</v>
      </c>
      <c r="U1161" s="30">
        <f>0.25</f>
        <v>0.25</v>
      </c>
      <c r="V1161" s="10">
        <f>VLOOKUP(D1161,A!B$1:T$1125,18,FALSE)</f>
        <v>0</v>
      </c>
      <c r="W1161" s="10">
        <f t="shared" ref="W1161:W1167" si="167">U1161*B1161</f>
        <v>0</v>
      </c>
      <c r="AC1161" s="30"/>
      <c r="AD1161" s="30"/>
      <c r="AE1161" s="115"/>
      <c r="AF1161" s="115"/>
      <c r="AG1161" s="115"/>
      <c r="AH1161" s="115"/>
      <c r="AI1161" s="115"/>
      <c r="AJ1161" s="115"/>
      <c r="AK1161" s="115"/>
      <c r="AL1161" s="115"/>
      <c r="AM1161" s="115"/>
      <c r="AN1161" s="115"/>
      <c r="AO1161" s="115"/>
      <c r="AP1161" s="115"/>
      <c r="AQ1161" s="115"/>
      <c r="AR1161" s="115"/>
      <c r="AS1161" s="115"/>
      <c r="AT1161" s="115"/>
      <c r="AU1161" s="115"/>
      <c r="AV1161" s="115"/>
      <c r="AW1161" s="115"/>
      <c r="AX1161" s="115"/>
      <c r="AY1161" s="115"/>
      <c r="AZ1161" s="115"/>
      <c r="BA1161" s="115"/>
      <c r="BB1161" s="115"/>
      <c r="BC1161" s="115"/>
      <c r="BD1161" s="115"/>
      <c r="BE1161" s="115"/>
      <c r="BF1161" s="115"/>
      <c r="BG1161" s="115"/>
      <c r="BH1161" s="115"/>
      <c r="BI1161" s="115"/>
      <c r="BJ1161" s="115"/>
      <c r="BK1161" s="115"/>
      <c r="BL1161" s="115"/>
      <c r="BM1161" s="115"/>
      <c r="BN1161" s="115"/>
      <c r="BO1161" s="115"/>
    </row>
    <row r="1162" spans="1:67" ht="13.5" customHeight="1" x14ac:dyDescent="0.25">
      <c r="A1162" t="str">
        <f>IF(R1162=0,"",COUNTIF(A$13:A1161,"&gt;0")+1)</f>
        <v/>
      </c>
      <c r="B1162" s="4"/>
      <c r="C1162" s="5" t="s">
        <v>29</v>
      </c>
      <c r="D1162" s="7" t="s">
        <v>92</v>
      </c>
      <c r="E1162" s="31"/>
      <c r="F1162" s="31"/>
      <c r="G1162" s="6" t="s">
        <v>93</v>
      </c>
      <c r="H1162" s="7">
        <f>VLOOKUP(D1162,A!B$1:P$1126,13,FALSE)</f>
        <v>0</v>
      </c>
      <c r="I1162" s="31">
        <f>VLOOKUP(D1162,A!B$1:P$1126,13,FALSE)</f>
        <v>0</v>
      </c>
      <c r="J1162" s="92"/>
      <c r="K1162" s="63" t="str">
        <f>VLOOKUP(D1162,A!B$1:Q$1126,16,FALSE)</f>
        <v/>
      </c>
      <c r="L1162" s="2"/>
      <c r="M1162" s="41" t="s">
        <v>91</v>
      </c>
      <c r="N1162" s="94">
        <f>VLOOKUP(D1162,A!B$1:P$1125,12,FALSE)</f>
        <v>0</v>
      </c>
      <c r="O1162" s="94">
        <f>VLOOKUP(D1162,A!B$1:P$1126,14,FALSE)</f>
        <v>0</v>
      </c>
      <c r="P1162" s="10">
        <v>15</v>
      </c>
      <c r="Q1162" s="10">
        <v>1.05</v>
      </c>
      <c r="R1162" s="10">
        <f t="shared" si="166"/>
        <v>0</v>
      </c>
      <c r="S1162" s="10">
        <f>R1162*Q1162</f>
        <v>0</v>
      </c>
      <c r="T1162" s="30" t="s">
        <v>330</v>
      </c>
      <c r="U1162" s="30">
        <f>0.25</f>
        <v>0.25</v>
      </c>
      <c r="V1162" s="10">
        <f>VLOOKUP(D1162,A!B$1:T$1125,18,FALSE)</f>
        <v>0</v>
      </c>
      <c r="W1162" s="10">
        <f t="shared" si="167"/>
        <v>0</v>
      </c>
      <c r="AC1162" s="30"/>
      <c r="AD1162" s="30"/>
      <c r="AE1162" s="115"/>
      <c r="AF1162" s="115"/>
      <c r="AG1162" s="115"/>
      <c r="AH1162" s="115"/>
      <c r="AI1162" s="115"/>
      <c r="AJ1162" s="115"/>
      <c r="AK1162" s="115"/>
      <c r="AL1162" s="115"/>
      <c r="AM1162" s="115"/>
      <c r="AN1162" s="115"/>
      <c r="AO1162" s="115"/>
      <c r="AP1162" s="115"/>
      <c r="AQ1162" s="115"/>
      <c r="AR1162" s="115"/>
      <c r="AS1162" s="115"/>
      <c r="AT1162" s="115"/>
      <c r="AU1162" s="115"/>
      <c r="AV1162" s="115"/>
      <c r="AW1162" s="115"/>
      <c r="AX1162" s="115"/>
      <c r="AY1162" s="115"/>
      <c r="AZ1162" s="115"/>
      <c r="BA1162" s="115"/>
      <c r="BB1162" s="115"/>
      <c r="BC1162" s="115"/>
      <c r="BD1162" s="115"/>
      <c r="BE1162" s="115"/>
      <c r="BF1162" s="115"/>
      <c r="BG1162" s="115"/>
      <c r="BH1162" s="115"/>
      <c r="BI1162" s="115"/>
      <c r="BJ1162" s="115"/>
      <c r="BK1162" s="115"/>
      <c r="BL1162" s="115"/>
      <c r="BM1162" s="115"/>
      <c r="BN1162" s="115"/>
      <c r="BO1162" s="115"/>
    </row>
    <row r="1163" spans="1:67" ht="12.75" hidden="1" customHeight="1" x14ac:dyDescent="0.25">
      <c r="A1163" t="str">
        <f>IF(R1163=0,"",COUNTIF(A$13:A1162,"&gt;0")+1)</f>
        <v/>
      </c>
      <c r="B1163" s="4"/>
      <c r="C1163" s="5" t="s">
        <v>29</v>
      </c>
      <c r="D1163" s="7" t="s">
        <v>81</v>
      </c>
      <c r="E1163" s="31"/>
      <c r="F1163" s="31"/>
      <c r="G1163" s="6" t="s">
        <v>82</v>
      </c>
      <c r="H1163" s="7">
        <f>VLOOKUP(D1163,A!B$1:P$1126,13,FALSE)</f>
        <v>0</v>
      </c>
      <c r="I1163" s="31">
        <f>VLOOKUP(D1163,A!B$1:P$1126,13,FALSE)</f>
        <v>0</v>
      </c>
      <c r="J1163" s="92"/>
      <c r="K1163" s="63" t="str">
        <f>VLOOKUP(D1163,A!B$1:Q$1126,16,FALSE)</f>
        <v/>
      </c>
      <c r="L1163" s="2"/>
      <c r="M1163" s="39" t="s">
        <v>114</v>
      </c>
      <c r="N1163" s="94">
        <f>VLOOKUP(D1163,A!B$1:P$1125,12,FALSE)</f>
        <v>0</v>
      </c>
      <c r="O1163" s="94">
        <f>VLOOKUP(D1163,A!B$1:P$1126,14,FALSE)</f>
        <v>0</v>
      </c>
      <c r="P1163" s="10">
        <v>15</v>
      </c>
      <c r="Q1163" s="10">
        <v>1.05</v>
      </c>
      <c r="R1163" s="10">
        <f t="shared" si="166"/>
        <v>0</v>
      </c>
      <c r="S1163" s="10">
        <f>R1163*Q1163</f>
        <v>0</v>
      </c>
      <c r="T1163" s="30" t="s">
        <v>330</v>
      </c>
      <c r="U1163" s="30">
        <f>0.25</f>
        <v>0.25</v>
      </c>
      <c r="V1163" s="10">
        <f>VLOOKUP(D1163,A!B$1:T$1125,18,FALSE)</f>
        <v>0</v>
      </c>
      <c r="W1163" s="10">
        <f t="shared" si="167"/>
        <v>0</v>
      </c>
      <c r="AC1163" s="30"/>
      <c r="AD1163" s="30"/>
      <c r="AE1163" s="115"/>
      <c r="AF1163" s="115"/>
      <c r="AG1163" s="115"/>
      <c r="AH1163" s="115"/>
      <c r="AI1163" s="115"/>
      <c r="AJ1163" s="115"/>
      <c r="AK1163" s="115"/>
      <c r="AL1163" s="115"/>
      <c r="AM1163" s="115"/>
      <c r="AN1163" s="115"/>
      <c r="AO1163" s="115"/>
      <c r="AP1163" s="115"/>
      <c r="AQ1163" s="115"/>
      <c r="AR1163" s="115"/>
      <c r="AS1163" s="115"/>
      <c r="AT1163" s="115"/>
      <c r="AU1163" s="115"/>
      <c r="AV1163" s="115"/>
      <c r="AW1163" s="115"/>
      <c r="AX1163" s="115"/>
      <c r="AY1163" s="115"/>
      <c r="AZ1163" s="115"/>
      <c r="BA1163" s="115"/>
      <c r="BB1163" s="115"/>
      <c r="BC1163" s="115"/>
      <c r="BD1163" s="115"/>
      <c r="BE1163" s="115"/>
      <c r="BF1163" s="115"/>
      <c r="BG1163" s="115"/>
      <c r="BH1163" s="115"/>
      <c r="BI1163" s="115"/>
      <c r="BJ1163" s="115"/>
      <c r="BK1163" s="115"/>
      <c r="BL1163" s="115"/>
      <c r="BM1163" s="115"/>
      <c r="BN1163" s="115"/>
      <c r="BO1163" s="115"/>
    </row>
    <row r="1164" spans="1:67" ht="13.5" customHeight="1" x14ac:dyDescent="0.25">
      <c r="A1164" t="str">
        <f>IF(R1164=0,"",COUNTIF(A$13:A1163,"&gt;0")+1)</f>
        <v/>
      </c>
      <c r="B1164" s="4"/>
      <c r="C1164" s="5" t="s">
        <v>29</v>
      </c>
      <c r="D1164" s="7" t="s">
        <v>1815</v>
      </c>
      <c r="E1164" s="31"/>
      <c r="F1164" s="31"/>
      <c r="G1164" s="6" t="s">
        <v>82</v>
      </c>
      <c r="H1164" s="7">
        <f>VLOOKUP(D1164,A!B$1:P$1126,13,FALSE)</f>
        <v>1</v>
      </c>
      <c r="I1164" s="31">
        <f>VLOOKUP(D1164,A!B$1:P$1126,13,FALSE)</f>
        <v>1</v>
      </c>
      <c r="J1164" s="92"/>
      <c r="K1164" s="63" t="str">
        <f>VLOOKUP(D1164,A!B$1:Q$1126,16,FALSE)</f>
        <v/>
      </c>
      <c r="L1164" s="2"/>
      <c r="M1164" s="39" t="s">
        <v>1816</v>
      </c>
      <c r="N1164" s="94" t="str">
        <f>VLOOKUP(D1164,A!B$1:P$1125,12,FALSE)</f>
        <v>y</v>
      </c>
      <c r="O1164" s="94">
        <f>VLOOKUP(D1164,A!B$1:P$1126,14,FALSE)</f>
        <v>0</v>
      </c>
      <c r="P1164" s="10">
        <v>15</v>
      </c>
      <c r="Q1164" s="10">
        <v>1.05</v>
      </c>
      <c r="R1164" s="10">
        <f t="shared" ref="R1164:R1166" si="168">B1164*P1164</f>
        <v>0</v>
      </c>
      <c r="S1164" s="10">
        <f t="shared" ref="S1164:S1166" si="169">R1164*Q1164</f>
        <v>0</v>
      </c>
      <c r="T1164" s="30" t="s">
        <v>330</v>
      </c>
      <c r="U1164" s="30">
        <f t="shared" ref="U1164:U1166" si="170">0.25</f>
        <v>0.25</v>
      </c>
      <c r="V1164" s="10">
        <f>VLOOKUP(D1164,A!B$1:T$1125,18,FALSE)</f>
        <v>0</v>
      </c>
      <c r="W1164" s="10">
        <f t="shared" ref="W1164:W1166" si="171">U1164*B1164</f>
        <v>0</v>
      </c>
      <c r="AC1164" s="30"/>
      <c r="AD1164" s="30"/>
      <c r="AE1164" s="115"/>
      <c r="AF1164" s="115"/>
      <c r="AG1164" s="115"/>
      <c r="AH1164" s="115"/>
      <c r="AI1164" s="115"/>
      <c r="AJ1164" s="115"/>
      <c r="AK1164" s="115"/>
      <c r="AL1164" s="115"/>
      <c r="AM1164" s="115"/>
      <c r="AN1164" s="115"/>
      <c r="AO1164" s="115"/>
      <c r="AP1164" s="115"/>
      <c r="AQ1164" s="115"/>
      <c r="AR1164" s="115"/>
      <c r="AS1164" s="115"/>
      <c r="AT1164" s="115"/>
      <c r="AU1164" s="115"/>
      <c r="AV1164" s="115"/>
      <c r="AW1164" s="115"/>
      <c r="AX1164" s="115"/>
      <c r="AY1164" s="115"/>
      <c r="AZ1164" s="115"/>
      <c r="BA1164" s="115"/>
      <c r="BB1164" s="115"/>
      <c r="BC1164" s="115"/>
      <c r="BD1164" s="115"/>
      <c r="BE1164" s="115"/>
      <c r="BF1164" s="115"/>
      <c r="BG1164" s="115"/>
      <c r="BH1164" s="115"/>
      <c r="BI1164" s="115"/>
      <c r="BJ1164" s="115"/>
      <c r="BK1164" s="115"/>
      <c r="BL1164" s="115"/>
      <c r="BM1164" s="115"/>
      <c r="BN1164" s="115"/>
      <c r="BO1164" s="115"/>
    </row>
    <row r="1165" spans="1:67" ht="13.5" customHeight="1" x14ac:dyDescent="0.25">
      <c r="A1165" t="str">
        <f>IF(R1165=0,"",COUNTIF(A$13:A1164,"&gt;0")+1)</f>
        <v/>
      </c>
      <c r="B1165" s="4"/>
      <c r="C1165" s="5" t="s">
        <v>29</v>
      </c>
      <c r="D1165" s="7" t="s">
        <v>69</v>
      </c>
      <c r="E1165" s="31"/>
      <c r="F1165" s="31"/>
      <c r="G1165" s="6" t="s">
        <v>70</v>
      </c>
      <c r="H1165" s="7">
        <f>VLOOKUP(D1165,A!B$1:P$1126,13,FALSE)</f>
        <v>1</v>
      </c>
      <c r="I1165" s="31">
        <f>VLOOKUP(D1165,A!B$1:P$1126,13,FALSE)</f>
        <v>1</v>
      </c>
      <c r="J1165" s="92"/>
      <c r="K1165" s="63" t="str">
        <f>VLOOKUP(D1165,A!B$1:Q$1126,16,FALSE)</f>
        <v/>
      </c>
      <c r="L1165" s="2"/>
      <c r="M1165" s="40" t="s">
        <v>71</v>
      </c>
      <c r="N1165" s="94" t="str">
        <f>VLOOKUP(D1165,A!B$1:P$1125,12,FALSE)</f>
        <v>y</v>
      </c>
      <c r="O1165" s="94">
        <f>VLOOKUP(D1165,A!B$1:P$1126,14,FALSE)</f>
        <v>0</v>
      </c>
      <c r="P1165" s="10">
        <v>15</v>
      </c>
      <c r="Q1165" s="10">
        <v>1.05</v>
      </c>
      <c r="R1165" s="10">
        <f t="shared" si="168"/>
        <v>0</v>
      </c>
      <c r="S1165" s="10">
        <f t="shared" si="169"/>
        <v>0</v>
      </c>
      <c r="T1165" s="30" t="s">
        <v>330</v>
      </c>
      <c r="U1165" s="30">
        <f t="shared" si="170"/>
        <v>0.25</v>
      </c>
      <c r="V1165" s="10">
        <f>VLOOKUP(D1165,A!B$1:T$1125,18,FALSE)</f>
        <v>0</v>
      </c>
      <c r="W1165" s="10">
        <f t="shared" si="171"/>
        <v>0</v>
      </c>
      <c r="AC1165" s="30"/>
      <c r="AD1165" s="30"/>
      <c r="AE1165" s="115"/>
      <c r="AF1165" s="115"/>
      <c r="AG1165" s="115"/>
      <c r="AH1165" s="115"/>
      <c r="AI1165" s="115"/>
      <c r="AJ1165" s="115"/>
      <c r="AK1165" s="115"/>
      <c r="AL1165" s="115"/>
      <c r="AM1165" s="115"/>
      <c r="AN1165" s="115"/>
      <c r="AO1165" s="115"/>
      <c r="AP1165" s="115"/>
      <c r="AQ1165" s="115"/>
      <c r="AR1165" s="115"/>
      <c r="AS1165" s="115"/>
      <c r="AT1165" s="115"/>
      <c r="AU1165" s="115"/>
      <c r="AV1165" s="115"/>
      <c r="AW1165" s="115"/>
      <c r="AX1165" s="115"/>
      <c r="AY1165" s="115"/>
      <c r="AZ1165" s="115"/>
      <c r="BA1165" s="115"/>
      <c r="BB1165" s="115"/>
      <c r="BC1165" s="115"/>
      <c r="BD1165" s="115"/>
      <c r="BE1165" s="115"/>
      <c r="BF1165" s="115"/>
      <c r="BG1165" s="115"/>
      <c r="BH1165" s="115"/>
      <c r="BI1165" s="115"/>
      <c r="BJ1165" s="115"/>
      <c r="BK1165" s="115"/>
      <c r="BL1165" s="115"/>
      <c r="BM1165" s="115"/>
      <c r="BN1165" s="115"/>
      <c r="BO1165" s="115"/>
    </row>
    <row r="1166" spans="1:67" ht="13.5" customHeight="1" x14ac:dyDescent="0.25">
      <c r="A1166" t="str">
        <f>IF(R1166=0,"",COUNTIF(A$13:A1165,"&gt;0")+1)</f>
        <v/>
      </c>
      <c r="B1166" s="4"/>
      <c r="C1166" s="5" t="s">
        <v>29</v>
      </c>
      <c r="D1166" s="7" t="s">
        <v>148</v>
      </c>
      <c r="E1166" s="31"/>
      <c r="F1166" s="31"/>
      <c r="G1166" s="6" t="s">
        <v>1817</v>
      </c>
      <c r="H1166" s="7">
        <f>VLOOKUP(D1166,A!B$1:P$1126,13,FALSE)</f>
        <v>1</v>
      </c>
      <c r="I1166" s="31">
        <f>VLOOKUP(D1166,A!B$1:P$1126,13,FALSE)</f>
        <v>1</v>
      </c>
      <c r="J1166" s="92"/>
      <c r="K1166" s="63" t="str">
        <f>VLOOKUP(D1166,A!B$1:Q$1126,16,FALSE)</f>
        <v/>
      </c>
      <c r="L1166" s="2"/>
      <c r="M1166" s="40" t="s">
        <v>1818</v>
      </c>
      <c r="N1166" s="94" t="str">
        <f>VLOOKUP(D1166,A!B$1:P$1125,12,FALSE)</f>
        <v>y</v>
      </c>
      <c r="O1166" s="94">
        <f>VLOOKUP(D1166,A!B$1:P$1126,14,FALSE)</f>
        <v>0</v>
      </c>
      <c r="P1166" s="10">
        <v>15</v>
      </c>
      <c r="Q1166" s="10">
        <v>1.05</v>
      </c>
      <c r="R1166" s="10">
        <f t="shared" si="168"/>
        <v>0</v>
      </c>
      <c r="S1166" s="10">
        <f t="shared" si="169"/>
        <v>0</v>
      </c>
      <c r="T1166" s="30" t="s">
        <v>330</v>
      </c>
      <c r="U1166" s="30">
        <f t="shared" si="170"/>
        <v>0.25</v>
      </c>
      <c r="V1166" s="10">
        <f>VLOOKUP(D1166,A!B$1:T$1125,18,FALSE)</f>
        <v>0</v>
      </c>
      <c r="W1166" s="10">
        <f t="shared" si="171"/>
        <v>0</v>
      </c>
      <c r="AC1166" s="30"/>
      <c r="AD1166" s="30"/>
      <c r="AE1166" s="115"/>
      <c r="AF1166" s="115"/>
      <c r="AG1166" s="115"/>
      <c r="AH1166" s="115"/>
      <c r="AI1166" s="115"/>
      <c r="AJ1166" s="115"/>
      <c r="AK1166" s="115"/>
      <c r="AL1166" s="115"/>
      <c r="AM1166" s="115"/>
      <c r="AN1166" s="115"/>
      <c r="AO1166" s="115"/>
      <c r="AP1166" s="115"/>
      <c r="AQ1166" s="115"/>
      <c r="AR1166" s="115"/>
      <c r="AS1166" s="115"/>
      <c r="AT1166" s="115"/>
      <c r="AU1166" s="115"/>
      <c r="AV1166" s="115"/>
      <c r="AW1166" s="115"/>
      <c r="AX1166" s="115"/>
      <c r="AY1166" s="115"/>
      <c r="AZ1166" s="115"/>
      <c r="BA1166" s="115"/>
      <c r="BB1166" s="115"/>
      <c r="BC1166" s="115"/>
      <c r="BD1166" s="115"/>
      <c r="BE1166" s="115"/>
      <c r="BF1166" s="115"/>
      <c r="BG1166" s="115"/>
      <c r="BH1166" s="115"/>
      <c r="BI1166" s="115"/>
      <c r="BJ1166" s="115"/>
      <c r="BK1166" s="115"/>
      <c r="BL1166" s="115"/>
      <c r="BM1166" s="115"/>
      <c r="BN1166" s="115"/>
      <c r="BO1166" s="115"/>
    </row>
    <row r="1167" spans="1:67" ht="12.75" hidden="1" customHeight="1" x14ac:dyDescent="0.25">
      <c r="A1167" t="str">
        <f>IF(R1167=0,"",COUNTIF(A$13:A1166,"&gt;0")+1)</f>
        <v/>
      </c>
      <c r="B1167" s="4"/>
      <c r="C1167" s="5" t="s">
        <v>29</v>
      </c>
      <c r="D1167" s="7" t="s">
        <v>39</v>
      </c>
      <c r="E1167" s="31"/>
      <c r="F1167" s="31"/>
      <c r="G1167" s="6" t="s">
        <v>40</v>
      </c>
      <c r="H1167" s="7">
        <f>VLOOKUP(D1167,A!B$1:P$1126,13,FALSE)</f>
        <v>0</v>
      </c>
      <c r="I1167" s="31">
        <f>VLOOKUP(D1167,A!B$1:P$1126,13,FALSE)</f>
        <v>0</v>
      </c>
      <c r="J1167" s="92"/>
      <c r="K1167" s="63" t="str">
        <f>VLOOKUP(D1167,A!B$1:Q$1126,16,FALSE)</f>
        <v/>
      </c>
      <c r="L1167" s="2"/>
      <c r="M1167" s="41" t="s">
        <v>41</v>
      </c>
      <c r="N1167" s="94">
        <f>VLOOKUP(D1167,A!B$1:P$1125,12,FALSE)</f>
        <v>0</v>
      </c>
      <c r="O1167" s="94">
        <f>VLOOKUP(D1167,A!B$1:P$1126,14,FALSE)</f>
        <v>0</v>
      </c>
      <c r="P1167" s="10">
        <v>15</v>
      </c>
      <c r="Q1167" s="10">
        <v>1.05</v>
      </c>
      <c r="R1167" s="10">
        <f t="shared" si="166"/>
        <v>0</v>
      </c>
      <c r="S1167" s="10">
        <f>R1167*Q1167</f>
        <v>0</v>
      </c>
      <c r="T1167" s="30" t="s">
        <v>330</v>
      </c>
      <c r="U1167" s="30">
        <f>0.25</f>
        <v>0.25</v>
      </c>
      <c r="V1167" s="10">
        <f>VLOOKUP(D1167,A!B$1:T$1125,18,FALSE)</f>
        <v>0</v>
      </c>
      <c r="W1167" s="10">
        <f t="shared" si="167"/>
        <v>0</v>
      </c>
      <c r="AC1167" s="30"/>
      <c r="AD1167" s="30"/>
      <c r="AE1167" s="115"/>
      <c r="AF1167" s="115"/>
      <c r="AG1167" s="115"/>
      <c r="AH1167" s="115"/>
      <c r="AI1167" s="115"/>
      <c r="AJ1167" s="115"/>
      <c r="AK1167" s="115"/>
      <c r="AL1167" s="115"/>
      <c r="AM1167" s="115"/>
      <c r="AN1167" s="115"/>
      <c r="AO1167" s="115"/>
      <c r="AP1167" s="115"/>
      <c r="AQ1167" s="115"/>
      <c r="AR1167" s="115"/>
      <c r="AS1167" s="115"/>
      <c r="AT1167" s="115"/>
      <c r="AU1167" s="115"/>
      <c r="AV1167" s="115"/>
      <c r="AW1167" s="115"/>
      <c r="AX1167" s="115"/>
      <c r="AY1167" s="115"/>
      <c r="AZ1167" s="115"/>
      <c r="BA1167" s="115"/>
      <c r="BB1167" s="115"/>
      <c r="BC1167" s="115"/>
      <c r="BD1167" s="115"/>
      <c r="BE1167" s="115"/>
      <c r="BF1167" s="115"/>
      <c r="BG1167" s="115"/>
      <c r="BH1167" s="115"/>
      <c r="BI1167" s="115"/>
      <c r="BJ1167" s="115"/>
      <c r="BK1167" s="115"/>
      <c r="BL1167" s="115"/>
      <c r="BM1167" s="115"/>
      <c r="BN1167" s="115"/>
      <c r="BO1167" s="115"/>
    </row>
    <row r="1168" spans="1:67" ht="13.5" customHeight="1" x14ac:dyDescent="0.25">
      <c r="A1168" t="str">
        <f>IF(R1168=0,"",COUNTIF(A$13:A1167,"&gt;0")+1)</f>
        <v/>
      </c>
      <c r="B1168" s="82">
        <f>SUM(B1161:B1167)</f>
        <v>0</v>
      </c>
      <c r="C1168" s="5" t="s">
        <v>29</v>
      </c>
      <c r="D1168" s="24" t="s">
        <v>36</v>
      </c>
      <c r="E1168" s="88"/>
      <c r="F1168" s="96"/>
      <c r="G1168" s="84"/>
      <c r="H1168" s="84"/>
      <c r="I1168" s="84"/>
      <c r="J1168" s="84"/>
      <c r="K1168" s="84"/>
      <c r="L1168" s="84"/>
      <c r="M1168" s="84"/>
      <c r="N1168" s="100"/>
      <c r="O1168" s="100"/>
      <c r="P1168" s="10">
        <v>15</v>
      </c>
      <c r="Q1168" s="151"/>
      <c r="R1168" s="10">
        <f t="shared" si="166"/>
        <v>0</v>
      </c>
      <c r="S1168" s="10"/>
      <c r="AC1168" s="30"/>
      <c r="AD1168" s="30"/>
      <c r="AE1168" s="115"/>
      <c r="AF1168" s="115"/>
      <c r="AG1168" s="115"/>
      <c r="AH1168" s="115"/>
      <c r="AI1168" s="115"/>
      <c r="AJ1168" s="115"/>
      <c r="AK1168" s="115"/>
      <c r="AL1168" s="115"/>
      <c r="AM1168" s="115"/>
      <c r="AN1168" s="115"/>
      <c r="AO1168" s="115"/>
      <c r="AP1168" s="115"/>
      <c r="AQ1168" s="115"/>
      <c r="AR1168" s="115"/>
      <c r="AS1168" s="115"/>
      <c r="AT1168" s="115"/>
      <c r="AU1168" s="115"/>
      <c r="AV1168" s="115"/>
      <c r="AW1168" s="115"/>
      <c r="AX1168" s="115"/>
      <c r="AY1168" s="115"/>
      <c r="AZ1168" s="115"/>
      <c r="BA1168" s="115"/>
      <c r="BB1168" s="115"/>
      <c r="BC1168" s="115"/>
      <c r="BD1168" s="115"/>
      <c r="BE1168" s="115"/>
      <c r="BF1168" s="115"/>
      <c r="BG1168" s="115"/>
      <c r="BH1168" s="115"/>
      <c r="BI1168" s="115"/>
      <c r="BJ1168" s="115"/>
      <c r="BK1168" s="115"/>
      <c r="BL1168" s="115"/>
      <c r="BM1168" s="115"/>
      <c r="BN1168" s="115"/>
      <c r="BO1168" s="115"/>
    </row>
    <row r="1169" spans="1:67" ht="15" customHeight="1" x14ac:dyDescent="0.25">
      <c r="A1169" t="str">
        <f>IF(R1169=0,"",COUNTIF(A$13:A1168,"&gt;0")+1)</f>
        <v/>
      </c>
      <c r="N1169" s="102"/>
      <c r="O1169" s="102"/>
      <c r="P1169" s="115"/>
      <c r="Q1169" s="115"/>
      <c r="R1169" s="115"/>
      <c r="S1169" s="115"/>
      <c r="T1169" s="115"/>
      <c r="U1169" s="115"/>
      <c r="V1169" s="115"/>
      <c r="W1169" s="115"/>
      <c r="X1169" s="115"/>
      <c r="Y1169" s="115"/>
      <c r="Z1169" s="115"/>
      <c r="AA1169" s="115"/>
      <c r="AB1169" s="115"/>
      <c r="AC1169" s="115"/>
      <c r="AD1169" s="115"/>
      <c r="AE1169" s="115"/>
      <c r="AF1169" s="115"/>
      <c r="AG1169" s="115"/>
      <c r="AH1169" s="115"/>
      <c r="AI1169" s="115"/>
      <c r="AJ1169" s="115"/>
      <c r="AK1169" s="115"/>
      <c r="AL1169" s="115"/>
      <c r="AM1169" s="115"/>
      <c r="AN1169" s="115"/>
      <c r="AO1169" s="115"/>
      <c r="AP1169" s="115"/>
      <c r="AQ1169" s="115"/>
      <c r="AR1169" s="115"/>
      <c r="AS1169" s="115"/>
      <c r="AT1169" s="115"/>
      <c r="AU1169" s="115"/>
      <c r="AV1169" s="115"/>
      <c r="AW1169" s="115"/>
      <c r="AX1169" s="115"/>
      <c r="AY1169" s="115"/>
      <c r="AZ1169" s="115"/>
      <c r="BA1169" s="115"/>
      <c r="BB1169" s="115"/>
      <c r="BC1169" s="115"/>
      <c r="BD1169" s="115"/>
      <c r="BE1169" s="115"/>
      <c r="BF1169" s="115"/>
      <c r="BG1169" s="115"/>
      <c r="BH1169" s="115"/>
      <c r="BI1169" s="115"/>
      <c r="BJ1169" s="115"/>
      <c r="BK1169" s="115"/>
      <c r="BL1169" s="115"/>
      <c r="BM1169" s="115"/>
      <c r="BN1169" s="115"/>
      <c r="BO1169" s="115"/>
    </row>
    <row r="1170" spans="1:67" ht="21" customHeight="1" x14ac:dyDescent="0.25">
      <c r="A1170" t="str">
        <f>IF(R1170=0,"",COUNTIF(A$13:A1169,"&gt;0")+1)</f>
        <v/>
      </c>
      <c r="B1170" s="234" t="s">
        <v>105</v>
      </c>
      <c r="C1170" s="235"/>
      <c r="D1170" s="235"/>
      <c r="E1170" s="235"/>
      <c r="F1170" s="235"/>
      <c r="G1170" s="236"/>
      <c r="H1170" s="123"/>
      <c r="I1170" s="124"/>
      <c r="J1170" s="137"/>
      <c r="K1170" s="137"/>
      <c r="L1170" s="137" t="s">
        <v>72</v>
      </c>
      <c r="M1170" s="27">
        <v>1.5</v>
      </c>
      <c r="S1170" s="10"/>
      <c r="AC1170" s="30"/>
      <c r="AD1170" s="30"/>
      <c r="AE1170" s="115"/>
      <c r="AF1170" s="115"/>
      <c r="AG1170" s="115"/>
      <c r="AH1170" s="115"/>
      <c r="AI1170" s="115"/>
      <c r="AJ1170" s="115"/>
      <c r="AK1170" s="115"/>
      <c r="AL1170" s="115"/>
      <c r="AM1170" s="115"/>
      <c r="AN1170" s="115"/>
      <c r="AO1170" s="115"/>
      <c r="AP1170" s="115"/>
      <c r="AQ1170" s="115"/>
      <c r="AR1170" s="115"/>
      <c r="AS1170" s="115"/>
      <c r="AT1170" s="115"/>
      <c r="AU1170" s="115"/>
      <c r="AV1170" s="115"/>
      <c r="AW1170" s="115"/>
      <c r="AX1170" s="115"/>
      <c r="AY1170" s="115"/>
      <c r="AZ1170" s="115"/>
      <c r="BA1170" s="115"/>
      <c r="BB1170" s="115"/>
      <c r="BC1170" s="115"/>
      <c r="BD1170" s="115"/>
      <c r="BE1170" s="115"/>
      <c r="BF1170" s="115"/>
      <c r="BG1170" s="115"/>
      <c r="BH1170" s="115"/>
      <c r="BI1170" s="115"/>
      <c r="BJ1170" s="115"/>
      <c r="BK1170" s="115"/>
      <c r="BL1170" s="115"/>
      <c r="BM1170" s="115"/>
      <c r="BN1170" s="115"/>
      <c r="BO1170" s="115"/>
    </row>
    <row r="1171" spans="1:67" ht="12" customHeight="1" x14ac:dyDescent="0.25">
      <c r="A1171" t="str">
        <f>IF(R1171=0,"",COUNTIF(A$13:A1170,"&gt;0")+1)</f>
        <v/>
      </c>
      <c r="B1171" s="237" t="s">
        <v>18</v>
      </c>
      <c r="C1171" s="238"/>
      <c r="D1171" s="16" t="s">
        <v>19</v>
      </c>
      <c r="E1171" s="86"/>
      <c r="F1171" s="86"/>
      <c r="G1171" s="17" t="s">
        <v>20</v>
      </c>
      <c r="H1171" s="118"/>
      <c r="I1171" s="117"/>
      <c r="J1171" s="117"/>
      <c r="K1171" s="122" t="s">
        <v>17</v>
      </c>
      <c r="L1171" s="119">
        <v>5021353015331</v>
      </c>
      <c r="M1171" s="120" t="s">
        <v>21</v>
      </c>
      <c r="S1171" s="10"/>
      <c r="AC1171" s="30"/>
      <c r="AD1171" s="30"/>
      <c r="AE1171" s="115"/>
      <c r="AF1171" s="115"/>
      <c r="AG1171" s="115"/>
      <c r="AH1171" s="115"/>
      <c r="AI1171" s="115"/>
      <c r="AJ1171" s="115"/>
      <c r="AK1171" s="115"/>
      <c r="AL1171" s="115"/>
      <c r="AM1171" s="115"/>
      <c r="AN1171" s="115"/>
      <c r="AO1171" s="115"/>
      <c r="AP1171" s="115"/>
      <c r="AQ1171" s="115"/>
      <c r="AR1171" s="115"/>
      <c r="AS1171" s="115"/>
      <c r="AT1171" s="115"/>
      <c r="AU1171" s="115"/>
      <c r="AV1171" s="115"/>
      <c r="AW1171" s="115"/>
      <c r="AX1171" s="115"/>
      <c r="AY1171" s="115"/>
      <c r="AZ1171" s="115"/>
      <c r="BA1171" s="115"/>
      <c r="BB1171" s="115"/>
      <c r="BC1171" s="115"/>
      <c r="BD1171" s="115"/>
      <c r="BE1171" s="115"/>
      <c r="BF1171" s="115"/>
      <c r="BG1171" s="115"/>
      <c r="BH1171" s="115"/>
      <c r="BI1171" s="115"/>
      <c r="BJ1171" s="115"/>
      <c r="BK1171" s="115"/>
      <c r="BL1171" s="115"/>
      <c r="BM1171" s="115"/>
      <c r="BN1171" s="115"/>
      <c r="BO1171" s="115"/>
    </row>
    <row r="1172" spans="1:67" ht="13.5" customHeight="1" x14ac:dyDescent="0.25">
      <c r="A1172" t="str">
        <f>IF(R1172=0,"",COUNTIF(A$13:A1171,"&gt;0")+1)</f>
        <v/>
      </c>
      <c r="B1172" s="4"/>
      <c r="C1172" s="5" t="s">
        <v>29</v>
      </c>
      <c r="D1172" s="7" t="s">
        <v>57</v>
      </c>
      <c r="E1172" s="31"/>
      <c r="F1172" s="31"/>
      <c r="G1172" s="23" t="s">
        <v>61</v>
      </c>
      <c r="H1172" s="7">
        <f>VLOOKUP(D1172,A!B$1:P$1126,13,FALSE)</f>
        <v>1</v>
      </c>
      <c r="I1172" s="31">
        <f>VLOOKUP(D1172,A!B$1:P$1126,13,FALSE)</f>
        <v>1</v>
      </c>
      <c r="J1172" s="92"/>
      <c r="K1172" s="63" t="str">
        <f>VLOOKUP(D1172,A!B$1:Q$1126,16,FALSE)</f>
        <v/>
      </c>
      <c r="L1172" s="31"/>
      <c r="M1172" s="39" t="s">
        <v>60</v>
      </c>
      <c r="N1172" s="94" t="str">
        <f>VLOOKUP(D1172,A!B$1:P$1125,12,FALSE)</f>
        <v>y</v>
      </c>
      <c r="O1172" s="94">
        <f>VLOOKUP(D1172,A!B$1:P$1126,14,FALSE)</f>
        <v>0</v>
      </c>
      <c r="P1172" s="10">
        <v>15</v>
      </c>
      <c r="Q1172" s="151">
        <v>1.5</v>
      </c>
      <c r="R1172" s="10">
        <f>B1172*P1172</f>
        <v>0</v>
      </c>
      <c r="S1172" s="10">
        <f>R1172*Q1172</f>
        <v>0</v>
      </c>
      <c r="T1172" s="30" t="s">
        <v>331</v>
      </c>
      <c r="U1172" s="30">
        <f>0.25</f>
        <v>0.25</v>
      </c>
      <c r="V1172" s="10">
        <f>VLOOKUP(D1172,A!B$1:T$1125,18,FALSE)</f>
        <v>0</v>
      </c>
      <c r="W1172" s="10">
        <f t="shared" ref="W1172:W1174" si="172">U1172*B1172</f>
        <v>0</v>
      </c>
      <c r="AC1172" s="30"/>
      <c r="AD1172" s="30"/>
      <c r="AE1172" s="115"/>
      <c r="AF1172" s="115"/>
      <c r="AG1172" s="115"/>
      <c r="AH1172" s="115"/>
      <c r="AI1172" s="115"/>
      <c r="AJ1172" s="115"/>
      <c r="AK1172" s="115"/>
      <c r="AL1172" s="115"/>
      <c r="AM1172" s="115"/>
      <c r="AN1172" s="115"/>
      <c r="AO1172" s="115"/>
      <c r="AP1172" s="115"/>
      <c r="AQ1172" s="115"/>
      <c r="AR1172" s="115"/>
      <c r="AS1172" s="115"/>
      <c r="AT1172" s="115"/>
      <c r="AU1172" s="115"/>
      <c r="AV1172" s="115"/>
      <c r="AW1172" s="115"/>
      <c r="AX1172" s="115"/>
      <c r="AY1172" s="115"/>
      <c r="AZ1172" s="115"/>
      <c r="BA1172" s="115"/>
      <c r="BB1172" s="115"/>
      <c r="BC1172" s="115"/>
      <c r="BD1172" s="115"/>
      <c r="BE1172" s="115"/>
      <c r="BF1172" s="115"/>
      <c r="BG1172" s="115"/>
      <c r="BH1172" s="115"/>
      <c r="BI1172" s="115"/>
      <c r="BJ1172" s="115"/>
      <c r="BK1172" s="115"/>
      <c r="BL1172" s="115"/>
      <c r="BM1172" s="115"/>
      <c r="BN1172" s="115"/>
      <c r="BO1172" s="115"/>
    </row>
    <row r="1173" spans="1:67" ht="13.5" customHeight="1" x14ac:dyDescent="0.25">
      <c r="A1173" t="str">
        <f>IF(R1173=0,"",COUNTIF(A$13:A1172,"&gt;0")+1)</f>
        <v/>
      </c>
      <c r="B1173" s="4"/>
      <c r="C1173" s="5" t="s">
        <v>29</v>
      </c>
      <c r="D1173" s="7" t="s">
        <v>102</v>
      </c>
      <c r="E1173" s="31"/>
      <c r="F1173" s="31"/>
      <c r="G1173" s="6" t="s">
        <v>103</v>
      </c>
      <c r="H1173" s="7">
        <f>VLOOKUP(D1173,A!B$1:P$1126,13,FALSE)</f>
        <v>1</v>
      </c>
      <c r="I1173" s="31">
        <f>VLOOKUP(D1173,A!B$1:P$1126,13,FALSE)</f>
        <v>1</v>
      </c>
      <c r="J1173" s="92"/>
      <c r="K1173" s="63" t="str">
        <f>VLOOKUP(D1173,A!B$1:Q$1126,16,FALSE)</f>
        <v/>
      </c>
      <c r="L1173" s="2"/>
      <c r="M1173" s="41" t="s">
        <v>104</v>
      </c>
      <c r="N1173" s="94" t="str">
        <f>VLOOKUP(D1173,A!B$1:P$1125,12,FALSE)</f>
        <v>y</v>
      </c>
      <c r="O1173" s="94">
        <f>VLOOKUP(D1173,A!B$1:P$1126,14,FALSE)</f>
        <v>0</v>
      </c>
      <c r="P1173" s="10">
        <v>15</v>
      </c>
      <c r="Q1173" s="151">
        <v>1.5</v>
      </c>
      <c r="R1173" s="10">
        <f>B1173*P1173</f>
        <v>0</v>
      </c>
      <c r="S1173" s="10">
        <f>R1173*Q1173</f>
        <v>0</v>
      </c>
      <c r="T1173" s="30" t="s">
        <v>331</v>
      </c>
      <c r="U1173" s="30">
        <f>0.25</f>
        <v>0.25</v>
      </c>
      <c r="V1173" s="10">
        <f>VLOOKUP(D1173,A!B$1:T$1125,18,FALSE)</f>
        <v>0</v>
      </c>
      <c r="W1173" s="10">
        <f t="shared" si="172"/>
        <v>0</v>
      </c>
      <c r="AC1173" s="30"/>
      <c r="AD1173" s="30"/>
      <c r="AE1173" s="115"/>
      <c r="AF1173" s="115"/>
      <c r="AG1173" s="115"/>
      <c r="AH1173" s="115"/>
      <c r="AI1173" s="115"/>
      <c r="AJ1173" s="115"/>
      <c r="AK1173" s="115"/>
      <c r="AL1173" s="115"/>
      <c r="AM1173" s="115"/>
      <c r="AN1173" s="115"/>
      <c r="AO1173" s="115"/>
      <c r="AP1173" s="115"/>
      <c r="AQ1173" s="115"/>
      <c r="AR1173" s="115"/>
      <c r="AS1173" s="115"/>
      <c r="AT1173" s="115"/>
      <c r="AU1173" s="115"/>
      <c r="AV1173" s="115"/>
      <c r="AW1173" s="115"/>
      <c r="AX1173" s="115"/>
      <c r="AY1173" s="115"/>
      <c r="AZ1173" s="115"/>
      <c r="BA1173" s="115"/>
      <c r="BB1173" s="115"/>
      <c r="BC1173" s="115"/>
      <c r="BD1173" s="115"/>
      <c r="BE1173" s="115"/>
      <c r="BF1173" s="115"/>
      <c r="BG1173" s="115"/>
      <c r="BH1173" s="115"/>
      <c r="BI1173" s="115"/>
      <c r="BJ1173" s="115"/>
      <c r="BK1173" s="115"/>
      <c r="BL1173" s="115"/>
      <c r="BM1173" s="115"/>
      <c r="BN1173" s="115"/>
      <c r="BO1173" s="115"/>
    </row>
    <row r="1174" spans="1:67" ht="12.75" customHeight="1" x14ac:dyDescent="0.25">
      <c r="A1174" t="str">
        <f>IF(R1174=0,"",COUNTIF(A$13:A1173,"&gt;0")+1)</f>
        <v/>
      </c>
      <c r="B1174" s="4"/>
      <c r="C1174" s="5" t="s">
        <v>29</v>
      </c>
      <c r="D1174" s="7" t="s">
        <v>45</v>
      </c>
      <c r="E1174" s="31"/>
      <c r="F1174" s="31"/>
      <c r="G1174" s="6" t="s">
        <v>46</v>
      </c>
      <c r="H1174" s="7">
        <f>VLOOKUP(D1174,A!B$1:P$1126,13,FALSE)</f>
        <v>2</v>
      </c>
      <c r="I1174" s="31">
        <f>VLOOKUP(D1174,A!B$1:P$1126,13,FALSE)</f>
        <v>2</v>
      </c>
      <c r="J1174" s="92"/>
      <c r="K1174" s="63" t="str">
        <f>VLOOKUP(D1174,A!B$1:Q$1126,16,FALSE)</f>
        <v/>
      </c>
      <c r="L1174" s="2"/>
      <c r="M1174" s="41" t="s">
        <v>47</v>
      </c>
      <c r="N1174" s="94" t="str">
        <f>VLOOKUP(D1174,A!B$1:P$1125,12,FALSE)</f>
        <v>y</v>
      </c>
      <c r="O1174" s="94">
        <f>VLOOKUP(D1174,A!B$1:P$1126,14,FALSE)</f>
        <v>0</v>
      </c>
      <c r="P1174" s="10">
        <v>15</v>
      </c>
      <c r="Q1174" s="151">
        <v>1.5</v>
      </c>
      <c r="R1174" s="10">
        <f>B1174*P1174</f>
        <v>0</v>
      </c>
      <c r="S1174" s="10">
        <f>R1174*Q1174</f>
        <v>0</v>
      </c>
      <c r="T1174" s="30" t="s">
        <v>331</v>
      </c>
      <c r="U1174" s="30">
        <f>0.25</f>
        <v>0.25</v>
      </c>
      <c r="V1174" s="10">
        <f>VLOOKUP(D1174,A!B$1:T$1125,18,FALSE)</f>
        <v>0</v>
      </c>
      <c r="W1174" s="10">
        <f t="shared" si="172"/>
        <v>0</v>
      </c>
      <c r="AC1174" s="30"/>
      <c r="AD1174" s="30"/>
      <c r="AE1174" s="115"/>
      <c r="AF1174" s="115"/>
      <c r="AG1174" s="115"/>
      <c r="AH1174" s="115"/>
      <c r="AI1174" s="115"/>
      <c r="AJ1174" s="115"/>
      <c r="AK1174" s="115"/>
      <c r="AL1174" s="115"/>
      <c r="AM1174" s="115"/>
      <c r="AN1174" s="115"/>
      <c r="AO1174" s="115"/>
      <c r="AP1174" s="115"/>
      <c r="AQ1174" s="115"/>
      <c r="AR1174" s="115"/>
      <c r="AS1174" s="115"/>
      <c r="AT1174" s="115"/>
      <c r="AU1174" s="115"/>
      <c r="AV1174" s="115"/>
      <c r="AW1174" s="115"/>
      <c r="AX1174" s="115"/>
      <c r="AY1174" s="115"/>
      <c r="AZ1174" s="115"/>
      <c r="BA1174" s="115"/>
      <c r="BB1174" s="115"/>
      <c r="BC1174" s="115"/>
      <c r="BD1174" s="115"/>
      <c r="BE1174" s="115"/>
      <c r="BF1174" s="115"/>
      <c r="BG1174" s="115"/>
      <c r="BH1174" s="115"/>
      <c r="BI1174" s="115"/>
      <c r="BJ1174" s="115"/>
      <c r="BK1174" s="115"/>
      <c r="BL1174" s="115"/>
      <c r="BM1174" s="115"/>
      <c r="BN1174" s="115"/>
      <c r="BO1174" s="115"/>
    </row>
    <row r="1175" spans="1:67" ht="12.75" customHeight="1" x14ac:dyDescent="0.25">
      <c r="A1175" t="str">
        <f>IF(R1175=0,"",COUNTIF(A$13:A1174,"&gt;0")+1)</f>
        <v/>
      </c>
      <c r="B1175" s="4"/>
      <c r="C1175" s="5" t="s">
        <v>29</v>
      </c>
      <c r="D1175" s="7" t="s">
        <v>286</v>
      </c>
      <c r="E1175" s="195"/>
      <c r="F1175" s="195"/>
      <c r="G1175" s="6" t="s">
        <v>287</v>
      </c>
      <c r="H1175" s="7">
        <f>VLOOKUP(D1175,A!B$1:P$1126,13,FALSE)</f>
        <v>1</v>
      </c>
      <c r="I1175" s="31">
        <f>VLOOKUP(D1175,A!B$1:P$1126,13,FALSE)</f>
        <v>1</v>
      </c>
      <c r="J1175" s="231"/>
      <c r="K1175" s="232"/>
      <c r="L1175" s="196"/>
      <c r="M1175" s="41" t="s">
        <v>288</v>
      </c>
      <c r="N1175" s="94" t="str">
        <f>VLOOKUP(D1175,A!B$1:P$1125,12,FALSE)</f>
        <v>Y</v>
      </c>
      <c r="O1175" s="94">
        <f>VLOOKUP(D1175,A!B$1:P$1126,14,FALSE)</f>
        <v>0</v>
      </c>
      <c r="P1175" s="10"/>
      <c r="Q1175" s="151"/>
      <c r="R1175" s="10"/>
      <c r="S1175" s="10"/>
      <c r="V1175" s="10"/>
      <c r="W1175" s="10"/>
      <c r="AC1175" s="30"/>
      <c r="AD1175" s="30"/>
      <c r="AE1175" s="115"/>
      <c r="AF1175" s="115"/>
      <c r="AG1175" s="115"/>
      <c r="AH1175" s="115"/>
      <c r="AI1175" s="115"/>
      <c r="AJ1175" s="115"/>
      <c r="AK1175" s="115"/>
      <c r="AL1175" s="115"/>
      <c r="AM1175" s="115"/>
      <c r="AN1175" s="115"/>
      <c r="AO1175" s="115"/>
      <c r="AP1175" s="115"/>
      <c r="AQ1175" s="115"/>
      <c r="AR1175" s="115"/>
      <c r="AS1175" s="115"/>
      <c r="AT1175" s="115"/>
      <c r="AU1175" s="115"/>
      <c r="AV1175" s="115"/>
      <c r="AW1175" s="115"/>
      <c r="AX1175" s="115"/>
      <c r="AY1175" s="115"/>
      <c r="AZ1175" s="115"/>
      <c r="BA1175" s="115"/>
      <c r="BB1175" s="115"/>
      <c r="BC1175" s="115"/>
      <c r="BD1175" s="115"/>
      <c r="BE1175" s="115"/>
      <c r="BF1175" s="115"/>
      <c r="BG1175" s="115"/>
      <c r="BH1175" s="115"/>
      <c r="BI1175" s="115"/>
      <c r="BJ1175" s="115"/>
      <c r="BK1175" s="115"/>
      <c r="BL1175" s="115"/>
      <c r="BM1175" s="115"/>
      <c r="BN1175" s="115"/>
      <c r="BO1175" s="115"/>
    </row>
    <row r="1176" spans="1:67" ht="13.5" customHeight="1" x14ac:dyDescent="0.25">
      <c r="A1176" t="str">
        <f>IF(R1176=0,"",COUNTIF(A$13:A1175,"&gt;0")+1)</f>
        <v/>
      </c>
      <c r="B1176" s="82">
        <f>SUM(B1172:B1175)</f>
        <v>0</v>
      </c>
      <c r="C1176" s="5" t="s">
        <v>29</v>
      </c>
      <c r="D1176" s="24" t="s">
        <v>36</v>
      </c>
      <c r="E1176" s="88"/>
      <c r="F1176" s="96"/>
      <c r="G1176" s="84"/>
      <c r="H1176" s="84"/>
      <c r="I1176" s="84"/>
      <c r="J1176" s="84"/>
      <c r="K1176" s="84"/>
      <c r="L1176" s="84"/>
      <c r="M1176" s="84"/>
      <c r="N1176" s="100"/>
      <c r="O1176" s="100"/>
      <c r="P1176" s="10">
        <v>15</v>
      </c>
      <c r="Q1176" s="151"/>
      <c r="R1176" s="10">
        <f>B1176*P1176</f>
        <v>0</v>
      </c>
      <c r="S1176" s="10"/>
      <c r="AC1176" s="30"/>
      <c r="AD1176" s="30"/>
      <c r="AE1176" s="115"/>
      <c r="AF1176" s="115"/>
      <c r="AG1176" s="115"/>
      <c r="AH1176" s="115"/>
      <c r="AI1176" s="115"/>
      <c r="AJ1176" s="115"/>
      <c r="AK1176" s="115"/>
      <c r="AL1176" s="115"/>
      <c r="AM1176" s="115"/>
      <c r="AN1176" s="115"/>
      <c r="AO1176" s="115"/>
      <c r="AP1176" s="115"/>
      <c r="AQ1176" s="115"/>
      <c r="AR1176" s="115"/>
      <c r="AS1176" s="115"/>
      <c r="AT1176" s="115"/>
      <c r="AU1176" s="115"/>
      <c r="AV1176" s="115"/>
      <c r="AW1176" s="115"/>
      <c r="AX1176" s="115"/>
      <c r="AY1176" s="115"/>
      <c r="AZ1176" s="115"/>
      <c r="BA1176" s="115"/>
      <c r="BB1176" s="115"/>
      <c r="BC1176" s="115"/>
      <c r="BD1176" s="115"/>
      <c r="BE1176" s="115"/>
      <c r="BF1176" s="115"/>
      <c r="BG1176" s="115"/>
      <c r="BH1176" s="115"/>
      <c r="BI1176" s="115"/>
      <c r="BJ1176" s="115"/>
      <c r="BK1176" s="115"/>
      <c r="BL1176" s="115"/>
      <c r="BM1176" s="115"/>
      <c r="BN1176" s="115"/>
      <c r="BO1176" s="115"/>
    </row>
    <row r="1177" spans="1:67" ht="15" customHeight="1" x14ac:dyDescent="0.25">
      <c r="A1177" t="str">
        <f>IF(R1177=0,"",COUNTIF(A$13:A1176,"&gt;0")+1)</f>
        <v/>
      </c>
      <c r="N1177" s="102"/>
      <c r="O1177" s="102"/>
      <c r="P1177" s="115"/>
      <c r="Q1177" s="115"/>
      <c r="R1177" s="115"/>
      <c r="S1177" s="115"/>
      <c r="T1177" s="115"/>
      <c r="U1177" s="115"/>
      <c r="V1177" s="115"/>
      <c r="W1177" s="115"/>
      <c r="X1177" s="115"/>
      <c r="Y1177" s="115"/>
      <c r="Z1177" s="115"/>
      <c r="AA1177" s="115"/>
      <c r="AB1177" s="115"/>
      <c r="AC1177" s="115"/>
      <c r="AD1177" s="115"/>
      <c r="AE1177" s="115"/>
      <c r="AF1177" s="115"/>
      <c r="AG1177" s="115"/>
      <c r="AH1177" s="115"/>
      <c r="AI1177" s="115"/>
      <c r="AJ1177" s="115"/>
      <c r="AK1177" s="115"/>
      <c r="AL1177" s="115"/>
      <c r="AM1177" s="115"/>
      <c r="AN1177" s="115"/>
      <c r="AO1177" s="115"/>
      <c r="AP1177" s="115"/>
      <c r="AQ1177" s="115"/>
      <c r="AR1177" s="115"/>
      <c r="AS1177" s="115"/>
      <c r="AT1177" s="115"/>
      <c r="AU1177" s="115"/>
      <c r="AV1177" s="115"/>
      <c r="AW1177" s="115"/>
      <c r="AX1177" s="115"/>
      <c r="AY1177" s="115"/>
      <c r="AZ1177" s="115"/>
      <c r="BA1177" s="115"/>
      <c r="BB1177" s="115"/>
      <c r="BC1177" s="115"/>
      <c r="BD1177" s="115"/>
      <c r="BE1177" s="115"/>
      <c r="BF1177" s="115"/>
      <c r="BG1177" s="115"/>
      <c r="BH1177" s="115"/>
      <c r="BI1177" s="115"/>
      <c r="BJ1177" s="115"/>
      <c r="BK1177" s="115"/>
      <c r="BL1177" s="115"/>
      <c r="BM1177" s="115"/>
      <c r="BN1177" s="115"/>
      <c r="BO1177" s="115"/>
    </row>
    <row r="1178" spans="1:67" ht="21" customHeight="1" x14ac:dyDescent="0.25">
      <c r="A1178" t="str">
        <f>IF(R1178=0,"",COUNTIF(A$13:A1177,"&gt;0")+1)</f>
        <v/>
      </c>
      <c r="B1178" s="234" t="s">
        <v>80</v>
      </c>
      <c r="C1178" s="235"/>
      <c r="D1178" s="235"/>
      <c r="E1178" s="235"/>
      <c r="F1178" s="235"/>
      <c r="G1178" s="236"/>
      <c r="H1178" s="123"/>
      <c r="I1178" s="124"/>
      <c r="J1178" s="137"/>
      <c r="K1178" s="137"/>
      <c r="L1178" s="137" t="s">
        <v>72</v>
      </c>
      <c r="M1178" s="27">
        <v>1.05</v>
      </c>
      <c r="S1178" s="10"/>
      <c r="AC1178" s="30"/>
      <c r="AD1178" s="30"/>
      <c r="AE1178" s="115"/>
      <c r="AF1178" s="115"/>
      <c r="AG1178" s="115"/>
      <c r="AH1178" s="115"/>
      <c r="AI1178" s="115"/>
      <c r="AJ1178" s="115"/>
      <c r="AK1178" s="115"/>
      <c r="AL1178" s="115"/>
      <c r="AM1178" s="115"/>
      <c r="AN1178" s="115"/>
      <c r="AO1178" s="115"/>
      <c r="AP1178" s="115"/>
      <c r="AQ1178" s="115"/>
      <c r="AR1178" s="115"/>
      <c r="AS1178" s="115"/>
      <c r="AT1178" s="115"/>
      <c r="AU1178" s="115"/>
      <c r="AV1178" s="115"/>
      <c r="AW1178" s="115"/>
      <c r="AX1178" s="115"/>
      <c r="AY1178" s="115"/>
      <c r="AZ1178" s="115"/>
      <c r="BA1178" s="115"/>
      <c r="BB1178" s="115"/>
      <c r="BC1178" s="115"/>
      <c r="BD1178" s="115"/>
      <c r="BE1178" s="115"/>
      <c r="BF1178" s="115"/>
      <c r="BG1178" s="115"/>
      <c r="BH1178" s="115"/>
      <c r="BI1178" s="115"/>
      <c r="BJ1178" s="115"/>
      <c r="BK1178" s="115"/>
      <c r="BL1178" s="115"/>
      <c r="BM1178" s="115"/>
      <c r="BN1178" s="115"/>
      <c r="BO1178" s="115"/>
    </row>
    <row r="1179" spans="1:67" ht="12" customHeight="1" x14ac:dyDescent="0.25">
      <c r="A1179" t="str">
        <f>IF(R1179=0,"",COUNTIF(A$13:A1178,"&gt;0")+1)</f>
        <v/>
      </c>
      <c r="B1179" s="237" t="s">
        <v>18</v>
      </c>
      <c r="C1179" s="238"/>
      <c r="D1179" s="16" t="s">
        <v>19</v>
      </c>
      <c r="E1179" s="86"/>
      <c r="F1179" s="86"/>
      <c r="G1179" s="17" t="s">
        <v>20</v>
      </c>
      <c r="H1179" s="118"/>
      <c r="I1179" s="117"/>
      <c r="J1179" s="117"/>
      <c r="K1179" s="122" t="s">
        <v>17</v>
      </c>
      <c r="L1179" s="119">
        <v>5021353015065</v>
      </c>
      <c r="M1179" s="120" t="s">
        <v>21</v>
      </c>
      <c r="S1179" s="10"/>
      <c r="AC1179" s="30"/>
      <c r="AD1179" s="30"/>
      <c r="AE1179" s="115"/>
      <c r="AF1179" s="115"/>
      <c r="AG1179" s="115"/>
      <c r="AH1179" s="115"/>
      <c r="AI1179" s="115"/>
      <c r="AJ1179" s="115"/>
      <c r="AK1179" s="115"/>
      <c r="AL1179" s="115"/>
      <c r="AM1179" s="115"/>
      <c r="AN1179" s="115"/>
      <c r="AO1179" s="115"/>
      <c r="AP1179" s="115"/>
      <c r="AQ1179" s="115"/>
      <c r="AR1179" s="115"/>
      <c r="AS1179" s="115"/>
      <c r="AT1179" s="115"/>
      <c r="AU1179" s="115"/>
      <c r="AV1179" s="115"/>
      <c r="AW1179" s="115"/>
      <c r="AX1179" s="115"/>
      <c r="AY1179" s="115"/>
      <c r="AZ1179" s="115"/>
      <c r="BA1179" s="115"/>
      <c r="BB1179" s="115"/>
      <c r="BC1179" s="115"/>
      <c r="BD1179" s="115"/>
      <c r="BE1179" s="115"/>
      <c r="BF1179" s="115"/>
      <c r="BG1179" s="115"/>
      <c r="BH1179" s="115"/>
      <c r="BI1179" s="115"/>
      <c r="BJ1179" s="115"/>
      <c r="BK1179" s="115"/>
      <c r="BL1179" s="115"/>
      <c r="BM1179" s="115"/>
      <c r="BN1179" s="115"/>
      <c r="BO1179" s="115"/>
    </row>
    <row r="1180" spans="1:67" ht="13.5" customHeight="1" x14ac:dyDescent="0.25">
      <c r="A1180" t="str">
        <f>IF(R1180=0,"",COUNTIF(A$13:A1179,"&gt;0")+1)</f>
        <v/>
      </c>
      <c r="B1180" s="4"/>
      <c r="C1180" s="5" t="s">
        <v>29</v>
      </c>
      <c r="D1180" s="7" t="s">
        <v>58</v>
      </c>
      <c r="E1180" s="31"/>
      <c r="F1180" s="31"/>
      <c r="G1180" s="23" t="s">
        <v>59</v>
      </c>
      <c r="H1180" s="7">
        <f>VLOOKUP(D1180,A!B$1:P$1126,13,FALSE)</f>
        <v>2</v>
      </c>
      <c r="I1180" s="31">
        <f>VLOOKUP(D1180,A!B$1:P$1126,13,FALSE)</f>
        <v>2</v>
      </c>
      <c r="J1180" s="92"/>
      <c r="K1180" s="63" t="str">
        <f>VLOOKUP(D1180,A!B$1:Q$1126,16,FALSE)</f>
        <v/>
      </c>
      <c r="L1180" s="31"/>
      <c r="M1180" s="39" t="s">
        <v>60</v>
      </c>
      <c r="N1180" s="94" t="str">
        <f>VLOOKUP(D1180,A!B$1:P$1125,12,FALSE)</f>
        <v>y</v>
      </c>
      <c r="O1180" s="94">
        <f>VLOOKUP(D1180,A!B$1:P$1126,14,FALSE)</f>
        <v>0</v>
      </c>
      <c r="P1180" s="10">
        <v>15</v>
      </c>
      <c r="Q1180" s="10">
        <v>1.05</v>
      </c>
      <c r="R1180" s="10">
        <f>B1180*P1180</f>
        <v>0</v>
      </c>
      <c r="S1180" s="10">
        <f>R1180*Q1180</f>
        <v>0</v>
      </c>
      <c r="T1180" s="30" t="s">
        <v>332</v>
      </c>
      <c r="U1180" s="30">
        <f>0.25</f>
        <v>0.25</v>
      </c>
      <c r="V1180" s="10">
        <f>VLOOKUP(D1180,A!B$1:T$1125,18,FALSE)</f>
        <v>0</v>
      </c>
      <c r="W1180" s="10">
        <f t="shared" ref="W1180:W1181" si="173">U1180*B1180</f>
        <v>0</v>
      </c>
      <c r="AC1180" s="30"/>
      <c r="AD1180" s="30"/>
      <c r="AE1180" s="115"/>
      <c r="AF1180" s="115"/>
      <c r="AG1180" s="115"/>
      <c r="AH1180" s="115"/>
      <c r="AI1180" s="115"/>
      <c r="AJ1180" s="115"/>
      <c r="AK1180" s="115"/>
      <c r="AL1180" s="115"/>
      <c r="AM1180" s="115"/>
      <c r="AN1180" s="115"/>
      <c r="AO1180" s="115"/>
      <c r="AP1180" s="115"/>
      <c r="AQ1180" s="115"/>
      <c r="AR1180" s="115"/>
      <c r="AS1180" s="115"/>
      <c r="AT1180" s="115"/>
      <c r="AU1180" s="115"/>
      <c r="AV1180" s="115"/>
      <c r="AW1180" s="115"/>
      <c r="AX1180" s="115"/>
      <c r="AY1180" s="115"/>
      <c r="AZ1180" s="115"/>
      <c r="BA1180" s="115"/>
      <c r="BB1180" s="115"/>
      <c r="BC1180" s="115"/>
      <c r="BD1180" s="115"/>
      <c r="BE1180" s="115"/>
      <c r="BF1180" s="115"/>
      <c r="BG1180" s="115"/>
      <c r="BH1180" s="115"/>
      <c r="BI1180" s="115"/>
      <c r="BJ1180" s="115"/>
      <c r="BK1180" s="115"/>
      <c r="BL1180" s="115"/>
      <c r="BM1180" s="115"/>
      <c r="BN1180" s="115"/>
      <c r="BO1180" s="115"/>
    </row>
    <row r="1181" spans="1:67" ht="13.5" customHeight="1" x14ac:dyDescent="0.25">
      <c r="A1181" t="str">
        <f>IF(R1181=0,"",COUNTIF(A$13:A1180,"&gt;0")+1)</f>
        <v/>
      </c>
      <c r="B1181" s="4"/>
      <c r="C1181" s="5" t="s">
        <v>29</v>
      </c>
      <c r="D1181" s="7" t="s">
        <v>688</v>
      </c>
      <c r="E1181" s="31"/>
      <c r="F1181" s="31"/>
      <c r="G1181" s="6" t="s">
        <v>49</v>
      </c>
      <c r="H1181" s="7">
        <f>VLOOKUP(D1181,A!B$1:P$1126,13,FALSE)</f>
        <v>2</v>
      </c>
      <c r="I1181" s="31">
        <f>VLOOKUP(D1181,A!B$1:P$1126,13,FALSE)</f>
        <v>2</v>
      </c>
      <c r="J1181" s="92"/>
      <c r="K1181" s="63" t="str">
        <f>VLOOKUP(D1181,A!B$1:Q$1126,16,FALSE)</f>
        <v/>
      </c>
      <c r="L1181" s="31"/>
      <c r="M1181" s="39" t="s">
        <v>1797</v>
      </c>
      <c r="N1181" s="94" t="str">
        <f>VLOOKUP(D1181,A!B$1:P$1125,12,FALSE)</f>
        <v>y</v>
      </c>
      <c r="O1181" s="94">
        <f>VLOOKUP(D1181,A!B$1:P$1126,14,FALSE)</f>
        <v>0</v>
      </c>
      <c r="P1181" s="10">
        <v>15</v>
      </c>
      <c r="Q1181" s="10">
        <v>1.05</v>
      </c>
      <c r="R1181" s="10">
        <f t="shared" ref="R1181" si="174">B1181*P1181</f>
        <v>0</v>
      </c>
      <c r="S1181" s="10">
        <f t="shared" ref="S1181" si="175">R1181*Q1181</f>
        <v>0</v>
      </c>
      <c r="T1181" s="30" t="s">
        <v>332</v>
      </c>
      <c r="U1181" s="30">
        <f t="shared" ref="U1181:U1188" si="176">0.25</f>
        <v>0.25</v>
      </c>
      <c r="V1181" s="10">
        <f>VLOOKUP(D1181,A!B$1:T$1125,18,FALSE)</f>
        <v>0</v>
      </c>
      <c r="W1181" s="10">
        <f t="shared" si="173"/>
        <v>0</v>
      </c>
      <c r="AC1181" s="30"/>
      <c r="AD1181" s="30"/>
      <c r="AE1181" s="115"/>
      <c r="AF1181" s="115"/>
      <c r="AG1181" s="115"/>
      <c r="AH1181" s="115"/>
      <c r="AI1181" s="115"/>
      <c r="AJ1181" s="115"/>
      <c r="AK1181" s="115"/>
      <c r="AL1181" s="115"/>
      <c r="AM1181" s="115"/>
      <c r="AN1181" s="115"/>
      <c r="AO1181" s="115"/>
      <c r="AP1181" s="115"/>
      <c r="AQ1181" s="115"/>
      <c r="AR1181" s="115"/>
      <c r="AS1181" s="115"/>
      <c r="AT1181" s="115"/>
      <c r="AU1181" s="115"/>
      <c r="AV1181" s="115"/>
      <c r="AW1181" s="115"/>
      <c r="AX1181" s="115"/>
      <c r="AY1181" s="115"/>
      <c r="AZ1181" s="115"/>
      <c r="BA1181" s="115"/>
      <c r="BB1181" s="115"/>
      <c r="BC1181" s="115"/>
      <c r="BD1181" s="115"/>
      <c r="BE1181" s="115"/>
      <c r="BF1181" s="115"/>
      <c r="BG1181" s="115"/>
      <c r="BH1181" s="115"/>
      <c r="BI1181" s="115"/>
      <c r="BJ1181" s="115"/>
      <c r="BK1181" s="115"/>
      <c r="BL1181" s="115"/>
      <c r="BM1181" s="115"/>
      <c r="BN1181" s="115"/>
      <c r="BO1181" s="115"/>
    </row>
    <row r="1182" spans="1:67" ht="13.5" customHeight="1" x14ac:dyDescent="0.25">
      <c r="A1182" t="str">
        <f>IF(R1182=0,"",COUNTIF(A$13:A1181,"&gt;0")+1)</f>
        <v/>
      </c>
      <c r="B1182" s="4"/>
      <c r="C1182" s="5" t="s">
        <v>29</v>
      </c>
      <c r="D1182" s="7" t="s">
        <v>696</v>
      </c>
      <c r="E1182" s="31"/>
      <c r="F1182" s="31"/>
      <c r="G1182" s="6" t="s">
        <v>49</v>
      </c>
      <c r="H1182" s="7">
        <f>VLOOKUP(D1182,A!B$1:P$1126,13,FALSE)</f>
        <v>2</v>
      </c>
      <c r="I1182" s="31">
        <f>VLOOKUP(D1182,A!B$1:P$1126,13,FALSE)</f>
        <v>2</v>
      </c>
      <c r="J1182" s="92"/>
      <c r="K1182" s="63" t="str">
        <f>VLOOKUP(D1182,A!B$1:Q$1126,16,FALSE)</f>
        <v/>
      </c>
      <c r="L1182" s="31"/>
      <c r="M1182" s="39" t="s">
        <v>697</v>
      </c>
      <c r="N1182" s="94" t="str">
        <f>VLOOKUP(D1182,A!B$1:P$1125,12,FALSE)</f>
        <v>y</v>
      </c>
      <c r="O1182" s="94">
        <f>VLOOKUP(D1182,A!B$1:P$1126,14,FALSE)</f>
        <v>0</v>
      </c>
      <c r="P1182" s="10">
        <v>15</v>
      </c>
      <c r="Q1182" s="10">
        <v>1.05</v>
      </c>
      <c r="R1182" s="10">
        <f t="shared" ref="R1182:R1188" si="177">B1182*P1182</f>
        <v>0</v>
      </c>
      <c r="S1182" s="10">
        <f t="shared" ref="S1182:S1188" si="178">R1182*Q1182</f>
        <v>0</v>
      </c>
      <c r="T1182" s="30" t="s">
        <v>332</v>
      </c>
      <c r="U1182" s="30">
        <f t="shared" si="176"/>
        <v>0.25</v>
      </c>
      <c r="V1182" s="10">
        <f>VLOOKUP(D1182,A!B$1:T$1125,18,FALSE)</f>
        <v>0</v>
      </c>
      <c r="W1182" s="10">
        <f t="shared" ref="W1182:W1188" si="179">U1182*B1182</f>
        <v>0</v>
      </c>
      <c r="AC1182" s="30"/>
      <c r="AD1182" s="30"/>
      <c r="AE1182" s="115"/>
      <c r="AF1182" s="115"/>
      <c r="AG1182" s="115"/>
      <c r="AH1182" s="115"/>
      <c r="AI1182" s="115"/>
      <c r="AJ1182" s="115"/>
      <c r="AK1182" s="115"/>
      <c r="AL1182" s="115"/>
      <c r="AM1182" s="115"/>
      <c r="AN1182" s="115"/>
      <c r="AO1182" s="115"/>
      <c r="AP1182" s="115"/>
      <c r="AQ1182" s="115"/>
      <c r="AR1182" s="115"/>
      <c r="AS1182" s="115"/>
      <c r="AT1182" s="115"/>
      <c r="AU1182" s="115"/>
      <c r="AV1182" s="115"/>
      <c r="AW1182" s="115"/>
      <c r="AX1182" s="115"/>
      <c r="AY1182" s="115"/>
      <c r="AZ1182" s="115"/>
      <c r="BA1182" s="115"/>
      <c r="BB1182" s="115"/>
      <c r="BC1182" s="115"/>
      <c r="BD1182" s="115"/>
      <c r="BE1182" s="115"/>
      <c r="BF1182" s="115"/>
      <c r="BG1182" s="115"/>
      <c r="BH1182" s="115"/>
      <c r="BI1182" s="115"/>
      <c r="BJ1182" s="115"/>
      <c r="BK1182" s="115"/>
      <c r="BL1182" s="115"/>
      <c r="BM1182" s="115"/>
      <c r="BN1182" s="115"/>
      <c r="BO1182" s="115"/>
    </row>
    <row r="1183" spans="1:67" ht="13.5" customHeight="1" x14ac:dyDescent="0.25">
      <c r="A1183" t="str">
        <f>IF(R1183=0,"",COUNTIF(A$13:A1182,"&gt;0")+1)</f>
        <v/>
      </c>
      <c r="B1183" s="4"/>
      <c r="C1183" s="5" t="s">
        <v>29</v>
      </c>
      <c r="D1183" s="7" t="s">
        <v>1781</v>
      </c>
      <c r="E1183" s="31"/>
      <c r="F1183" s="31"/>
      <c r="G1183" s="6" t="s">
        <v>49</v>
      </c>
      <c r="H1183" s="7">
        <f>VLOOKUP(D1183,A!B$1:P$1126,13,FALSE)</f>
        <v>2</v>
      </c>
      <c r="I1183" s="31">
        <f>VLOOKUP(D1183,A!B$1:P$1126,13,FALSE)</f>
        <v>2</v>
      </c>
      <c r="J1183" s="92"/>
      <c r="K1183" s="63" t="str">
        <f>VLOOKUP(D1183,A!B$1:Q$1126,16,FALSE)</f>
        <v/>
      </c>
      <c r="L1183" s="31"/>
      <c r="M1183" s="224" t="s">
        <v>1800</v>
      </c>
      <c r="N1183" s="94" t="str">
        <f>VLOOKUP(D1183,A!B$1:P$1125,12,FALSE)</f>
        <v>y</v>
      </c>
      <c r="O1183" s="94">
        <f>VLOOKUP(D1183,A!B$1:P$1126,14,FALSE)</f>
        <v>0</v>
      </c>
      <c r="P1183" s="10">
        <v>15</v>
      </c>
      <c r="Q1183" s="10">
        <v>1.05</v>
      </c>
      <c r="R1183" s="10">
        <f t="shared" si="177"/>
        <v>0</v>
      </c>
      <c r="S1183" s="10">
        <f t="shared" si="178"/>
        <v>0</v>
      </c>
      <c r="T1183" s="30" t="s">
        <v>332</v>
      </c>
      <c r="U1183" s="30">
        <f t="shared" si="176"/>
        <v>0.25</v>
      </c>
      <c r="V1183" s="10">
        <f>VLOOKUP(D1183,A!B$1:T$1125,18,FALSE)</f>
        <v>0</v>
      </c>
      <c r="W1183" s="10">
        <f t="shared" si="179"/>
        <v>0</v>
      </c>
      <c r="AC1183" s="30"/>
      <c r="AD1183" s="30"/>
      <c r="AE1183" s="115"/>
      <c r="AF1183" s="115"/>
      <c r="AG1183" s="115"/>
      <c r="AH1183" s="115"/>
      <c r="AI1183" s="115"/>
      <c r="AJ1183" s="115"/>
      <c r="AK1183" s="115"/>
      <c r="AL1183" s="115"/>
      <c r="AM1183" s="115"/>
      <c r="AN1183" s="115"/>
      <c r="AO1183" s="115"/>
      <c r="AP1183" s="115"/>
      <c r="AQ1183" s="115"/>
      <c r="AR1183" s="115"/>
      <c r="AS1183" s="115"/>
      <c r="AT1183" s="115"/>
      <c r="AU1183" s="115"/>
      <c r="AV1183" s="115"/>
      <c r="AW1183" s="115"/>
      <c r="AX1183" s="115"/>
      <c r="AY1183" s="115"/>
      <c r="AZ1183" s="115"/>
      <c r="BA1183" s="115"/>
      <c r="BB1183" s="115"/>
      <c r="BC1183" s="115"/>
      <c r="BD1183" s="115"/>
      <c r="BE1183" s="115"/>
      <c r="BF1183" s="115"/>
      <c r="BG1183" s="115"/>
      <c r="BH1183" s="115"/>
      <c r="BI1183" s="115"/>
      <c r="BJ1183" s="115"/>
      <c r="BK1183" s="115"/>
      <c r="BL1183" s="115"/>
      <c r="BM1183" s="115"/>
      <c r="BN1183" s="115"/>
      <c r="BO1183" s="115"/>
    </row>
    <row r="1184" spans="1:67" ht="13.5" customHeight="1" x14ac:dyDescent="0.25">
      <c r="A1184" t="str">
        <f>IF(R1184=0,"",COUNTIF(A$13:A1183,"&gt;0")+1)</f>
        <v/>
      </c>
      <c r="B1184" s="4"/>
      <c r="C1184" s="5" t="s">
        <v>29</v>
      </c>
      <c r="D1184" s="7" t="s">
        <v>716</v>
      </c>
      <c r="E1184" s="31"/>
      <c r="F1184" s="31"/>
      <c r="G1184" s="6" t="s">
        <v>49</v>
      </c>
      <c r="H1184" s="7">
        <f>VLOOKUP(D1184,A!B$1:P$1126,13,FALSE)</f>
        <v>2</v>
      </c>
      <c r="I1184" s="31">
        <f>VLOOKUP(D1184,A!B$1:P$1126,13,FALSE)</f>
        <v>2</v>
      </c>
      <c r="J1184" s="92"/>
      <c r="K1184" s="63" t="str">
        <f>VLOOKUP(D1184,A!B$1:Q$1126,16,FALSE)</f>
        <v/>
      </c>
      <c r="L1184" s="31"/>
      <c r="M1184" s="39" t="s">
        <v>1799</v>
      </c>
      <c r="N1184" s="94" t="str">
        <f>VLOOKUP(D1184,A!B$1:P$1125,12,FALSE)</f>
        <v>y</v>
      </c>
      <c r="O1184" s="94">
        <f>VLOOKUP(D1184,A!B$1:P$1126,14,FALSE)</f>
        <v>0</v>
      </c>
      <c r="P1184" s="10">
        <v>15</v>
      </c>
      <c r="Q1184" s="10">
        <v>1.05</v>
      </c>
      <c r="R1184" s="10">
        <f t="shared" si="177"/>
        <v>0</v>
      </c>
      <c r="S1184" s="10">
        <f t="shared" si="178"/>
        <v>0</v>
      </c>
      <c r="T1184" s="30" t="s">
        <v>332</v>
      </c>
      <c r="U1184" s="30">
        <f t="shared" si="176"/>
        <v>0.25</v>
      </c>
      <c r="V1184" s="10">
        <f>VLOOKUP(D1184,A!B$1:T$1125,18,FALSE)</f>
        <v>0</v>
      </c>
      <c r="W1184" s="10">
        <f t="shared" si="179"/>
        <v>0</v>
      </c>
      <c r="AC1184" s="30"/>
      <c r="AD1184" s="30"/>
      <c r="AE1184" s="115"/>
      <c r="AF1184" s="115"/>
      <c r="AG1184" s="115"/>
      <c r="AH1184" s="115"/>
      <c r="AI1184" s="115"/>
      <c r="AJ1184" s="115"/>
      <c r="AK1184" s="115"/>
      <c r="AL1184" s="115"/>
      <c r="AM1184" s="115"/>
      <c r="AN1184" s="115"/>
      <c r="AO1184" s="115"/>
      <c r="AP1184" s="115"/>
      <c r="AQ1184" s="115"/>
      <c r="AR1184" s="115"/>
      <c r="AS1184" s="115"/>
      <c r="AT1184" s="115"/>
      <c r="AU1184" s="115"/>
      <c r="AV1184" s="115"/>
      <c r="AW1184" s="115"/>
      <c r="AX1184" s="115"/>
      <c r="AY1184" s="115"/>
      <c r="AZ1184" s="115"/>
      <c r="BA1184" s="115"/>
      <c r="BB1184" s="115"/>
      <c r="BC1184" s="115"/>
      <c r="BD1184" s="115"/>
      <c r="BE1184" s="115"/>
      <c r="BF1184" s="115"/>
      <c r="BG1184" s="115"/>
      <c r="BH1184" s="115"/>
      <c r="BI1184" s="115"/>
      <c r="BJ1184" s="115"/>
      <c r="BK1184" s="115"/>
      <c r="BL1184" s="115"/>
      <c r="BM1184" s="115"/>
      <c r="BN1184" s="115"/>
      <c r="BO1184" s="115"/>
    </row>
    <row r="1185" spans="1:67" ht="13.5" customHeight="1" x14ac:dyDescent="0.25">
      <c r="A1185" t="str">
        <f>IF(R1185=0,"",COUNTIF(A$13:A1184,"&gt;0")+1)</f>
        <v/>
      </c>
      <c r="B1185" s="4"/>
      <c r="C1185" s="5" t="s">
        <v>29</v>
      </c>
      <c r="D1185" s="7" t="s">
        <v>153</v>
      </c>
      <c r="E1185" s="31"/>
      <c r="F1185" s="31"/>
      <c r="G1185" s="6" t="s">
        <v>49</v>
      </c>
      <c r="H1185" s="7">
        <f>VLOOKUP(D1185,A!B$1:P$1126,13,FALSE)</f>
        <v>2</v>
      </c>
      <c r="I1185" s="31">
        <f>VLOOKUP(D1185,A!B$1:P$1126,13,FALSE)</f>
        <v>2</v>
      </c>
      <c r="J1185" s="92"/>
      <c r="K1185" s="63" t="str">
        <f>VLOOKUP(D1185,A!B$1:Q$1126,16,FALSE)</f>
        <v/>
      </c>
      <c r="L1185" s="2"/>
      <c r="M1185" s="43" t="s">
        <v>154</v>
      </c>
      <c r="N1185" s="94" t="str">
        <f>VLOOKUP(D1185,A!B$1:P$1125,12,FALSE)</f>
        <v>y</v>
      </c>
      <c r="O1185" s="94">
        <f>VLOOKUP(D1185,A!B$1:P$1126,14,FALSE)</f>
        <v>0</v>
      </c>
      <c r="P1185" s="10">
        <v>15</v>
      </c>
      <c r="Q1185" s="10">
        <v>1.05</v>
      </c>
      <c r="R1185" s="10">
        <f t="shared" si="177"/>
        <v>0</v>
      </c>
      <c r="S1185" s="10">
        <f t="shared" si="178"/>
        <v>0</v>
      </c>
      <c r="T1185" s="30" t="s">
        <v>332</v>
      </c>
      <c r="U1185" s="30">
        <f t="shared" si="176"/>
        <v>0.25</v>
      </c>
      <c r="V1185" s="10">
        <f>VLOOKUP(D1185,A!B$1:T$1125,18,FALSE)</f>
        <v>0</v>
      </c>
      <c r="W1185" s="10">
        <f t="shared" si="179"/>
        <v>0</v>
      </c>
      <c r="AC1185" s="30"/>
      <c r="AD1185" s="30"/>
      <c r="AE1185" s="115"/>
      <c r="AF1185" s="115"/>
      <c r="AG1185" s="115"/>
      <c r="AH1185" s="115"/>
      <c r="AI1185" s="115"/>
      <c r="AJ1185" s="115"/>
      <c r="AK1185" s="115"/>
      <c r="AL1185" s="115"/>
      <c r="AM1185" s="115"/>
      <c r="AN1185" s="115"/>
      <c r="AO1185" s="115"/>
      <c r="AP1185" s="115"/>
      <c r="AQ1185" s="115"/>
      <c r="AR1185" s="115"/>
      <c r="AS1185" s="115"/>
      <c r="AT1185" s="115"/>
      <c r="AU1185" s="115"/>
      <c r="AV1185" s="115"/>
      <c r="AW1185" s="115"/>
      <c r="AX1185" s="115"/>
      <c r="AY1185" s="115"/>
      <c r="AZ1185" s="115"/>
      <c r="BA1185" s="115"/>
      <c r="BB1185" s="115"/>
      <c r="BC1185" s="115"/>
      <c r="BD1185" s="115"/>
      <c r="BE1185" s="115"/>
      <c r="BF1185" s="115"/>
      <c r="BG1185" s="115"/>
      <c r="BH1185" s="115"/>
      <c r="BI1185" s="115"/>
      <c r="BJ1185" s="115"/>
      <c r="BK1185" s="115"/>
      <c r="BL1185" s="115"/>
      <c r="BM1185" s="115"/>
      <c r="BN1185" s="115"/>
      <c r="BO1185" s="115"/>
    </row>
    <row r="1186" spans="1:67" ht="13.5" customHeight="1" x14ac:dyDescent="0.25">
      <c r="A1186" t="str">
        <f>IF(R1186=0,"",COUNTIF(A$13:A1185,"&gt;0")+1)</f>
        <v/>
      </c>
      <c r="B1186" s="4"/>
      <c r="C1186" s="5" t="s">
        <v>29</v>
      </c>
      <c r="D1186" s="7" t="s">
        <v>156</v>
      </c>
      <c r="E1186" s="31"/>
      <c r="F1186" s="31"/>
      <c r="G1186" s="6" t="s">
        <v>49</v>
      </c>
      <c r="H1186" s="7">
        <f>VLOOKUP(D1186,A!B$1:P$1126,13,FALSE)</f>
        <v>2</v>
      </c>
      <c r="I1186" s="31">
        <f>VLOOKUP(D1186,A!B$1:P$1126,13,FALSE)</f>
        <v>2</v>
      </c>
      <c r="J1186" s="92"/>
      <c r="K1186" s="63" t="str">
        <f>VLOOKUP(D1186,A!B$1:Q$1126,16,FALSE)</f>
        <v/>
      </c>
      <c r="L1186" s="2"/>
      <c r="M1186" s="43" t="s">
        <v>155</v>
      </c>
      <c r="N1186" s="94" t="str">
        <f>VLOOKUP(D1186,A!B$1:P$1125,12,FALSE)</f>
        <v>y</v>
      </c>
      <c r="O1186" s="94">
        <f>VLOOKUP(D1186,A!B$1:P$1126,14,FALSE)</f>
        <v>0</v>
      </c>
      <c r="P1186" s="10">
        <v>15</v>
      </c>
      <c r="Q1186" s="10">
        <v>1.05</v>
      </c>
      <c r="R1186" s="10">
        <f t="shared" si="177"/>
        <v>0</v>
      </c>
      <c r="S1186" s="10">
        <f t="shared" si="178"/>
        <v>0</v>
      </c>
      <c r="T1186" s="30" t="s">
        <v>332</v>
      </c>
      <c r="U1186" s="30">
        <f t="shared" si="176"/>
        <v>0.25</v>
      </c>
      <c r="V1186" s="10">
        <f>VLOOKUP(D1186,A!B$1:T$1125,18,FALSE)</f>
        <v>0</v>
      </c>
      <c r="W1186" s="10">
        <f t="shared" si="179"/>
        <v>0</v>
      </c>
      <c r="AC1186" s="30"/>
      <c r="AD1186" s="30"/>
      <c r="AE1186" s="115"/>
      <c r="AF1186" s="115"/>
      <c r="AG1186" s="115"/>
      <c r="AH1186" s="115"/>
      <c r="AI1186" s="115"/>
      <c r="AJ1186" s="115"/>
      <c r="AK1186" s="115"/>
      <c r="AL1186" s="115"/>
      <c r="AM1186" s="115"/>
      <c r="AN1186" s="115"/>
      <c r="AO1186" s="115"/>
      <c r="AP1186" s="115"/>
      <c r="AQ1186" s="115"/>
      <c r="AR1186" s="115"/>
      <c r="AS1186" s="115"/>
      <c r="AT1186" s="115"/>
      <c r="AU1186" s="115"/>
      <c r="AV1186" s="115"/>
      <c r="AW1186" s="115"/>
      <c r="AX1186" s="115"/>
      <c r="AY1186" s="115"/>
      <c r="AZ1186" s="115"/>
      <c r="BA1186" s="115"/>
      <c r="BB1186" s="115"/>
      <c r="BC1186" s="115"/>
      <c r="BD1186" s="115"/>
      <c r="BE1186" s="115"/>
      <c r="BF1186" s="115"/>
      <c r="BG1186" s="115"/>
      <c r="BH1186" s="115"/>
      <c r="BI1186" s="115"/>
      <c r="BJ1186" s="115"/>
      <c r="BK1186" s="115"/>
      <c r="BL1186" s="115"/>
      <c r="BM1186" s="115"/>
      <c r="BN1186" s="115"/>
      <c r="BO1186" s="115"/>
    </row>
    <row r="1187" spans="1:67" ht="13.5" customHeight="1" x14ac:dyDescent="0.25">
      <c r="A1187" t="str">
        <f>IF(R1187=0,"",COUNTIF(A$13:A1186,"&gt;0")+1)</f>
        <v/>
      </c>
      <c r="B1187" s="4"/>
      <c r="C1187" s="5" t="s">
        <v>29</v>
      </c>
      <c r="D1187" s="7" t="s">
        <v>759</v>
      </c>
      <c r="E1187" s="195"/>
      <c r="F1187" s="195"/>
      <c r="G1187" s="6" t="s">
        <v>49</v>
      </c>
      <c r="H1187" s="7">
        <f>VLOOKUP(D1187,A!B$1:P$1126,13,FALSE)</f>
        <v>2</v>
      </c>
      <c r="I1187" s="31">
        <f>VLOOKUP(D1187,A!B$1:P$1126,13,FALSE)</f>
        <v>2</v>
      </c>
      <c r="J1187" s="92"/>
      <c r="K1187" s="63" t="str">
        <f>VLOOKUP(D1187,A!B$1:Q$1126,16,FALSE)</f>
        <v/>
      </c>
      <c r="L1187" s="196"/>
      <c r="M1187" s="223" t="s">
        <v>760</v>
      </c>
      <c r="N1187" s="94" t="str">
        <f>VLOOKUP(D1187,A!B$1:P$1125,12,FALSE)</f>
        <v>y</v>
      </c>
      <c r="O1187" s="94">
        <f>VLOOKUP(D1187,A!B$1:P$1126,14,FALSE)</f>
        <v>0</v>
      </c>
      <c r="P1187" s="10">
        <v>15</v>
      </c>
      <c r="Q1187" s="10">
        <v>1.05</v>
      </c>
      <c r="R1187" s="10">
        <f t="shared" si="177"/>
        <v>0</v>
      </c>
      <c r="S1187" s="10">
        <f t="shared" si="178"/>
        <v>0</v>
      </c>
      <c r="T1187" s="30" t="s">
        <v>332</v>
      </c>
      <c r="U1187" s="30">
        <f t="shared" si="176"/>
        <v>0.25</v>
      </c>
      <c r="V1187" s="10">
        <f>VLOOKUP(D1187,A!B$1:T$1125,18,FALSE)</f>
        <v>0</v>
      </c>
      <c r="W1187" s="10">
        <f t="shared" si="179"/>
        <v>0</v>
      </c>
      <c r="AC1187" s="30"/>
      <c r="AD1187" s="30"/>
      <c r="AE1187" s="115"/>
      <c r="AF1187" s="115"/>
      <c r="AG1187" s="115"/>
      <c r="AH1187" s="115"/>
      <c r="AI1187" s="115"/>
      <c r="AJ1187" s="115"/>
      <c r="AK1187" s="115"/>
      <c r="AL1187" s="115"/>
      <c r="AM1187" s="115"/>
      <c r="AN1187" s="115"/>
      <c r="AO1187" s="115"/>
      <c r="AP1187" s="115"/>
      <c r="AQ1187" s="115"/>
      <c r="AR1187" s="115"/>
      <c r="AS1187" s="115"/>
      <c r="AT1187" s="115"/>
      <c r="AU1187" s="115"/>
      <c r="AV1187" s="115"/>
      <c r="AW1187" s="115"/>
      <c r="AX1187" s="115"/>
      <c r="AY1187" s="115"/>
      <c r="AZ1187" s="115"/>
      <c r="BA1187" s="115"/>
      <c r="BB1187" s="115"/>
      <c r="BC1187" s="115"/>
      <c r="BD1187" s="115"/>
      <c r="BE1187" s="115"/>
      <c r="BF1187" s="115"/>
      <c r="BG1187" s="115"/>
      <c r="BH1187" s="115"/>
      <c r="BI1187" s="115"/>
      <c r="BJ1187" s="115"/>
      <c r="BK1187" s="115"/>
      <c r="BL1187" s="115"/>
      <c r="BM1187" s="115"/>
      <c r="BN1187" s="115"/>
      <c r="BO1187" s="115"/>
    </row>
    <row r="1188" spans="1:67" ht="13.5" customHeight="1" x14ac:dyDescent="0.25">
      <c r="A1188" t="str">
        <f>IF(R1188=0,"",COUNTIF(A$13:A1187,"&gt;0")+1)</f>
        <v/>
      </c>
      <c r="B1188" s="4"/>
      <c r="C1188" s="5" t="s">
        <v>29</v>
      </c>
      <c r="D1188" s="7" t="s">
        <v>1782</v>
      </c>
      <c r="E1188" s="195"/>
      <c r="F1188" s="195"/>
      <c r="G1188" s="6" t="s">
        <v>49</v>
      </c>
      <c r="H1188" s="7">
        <f>VLOOKUP(D1188,A!B$1:P$1126,13,FALSE)</f>
        <v>2</v>
      </c>
      <c r="I1188" s="31">
        <f>VLOOKUP(D1188,A!B$1:P$1126,13,FALSE)</f>
        <v>2</v>
      </c>
      <c r="J1188" s="92"/>
      <c r="K1188" s="63" t="str">
        <f>VLOOKUP(D1188,A!B$1:Q$1126,16,FALSE)</f>
        <v/>
      </c>
      <c r="L1188" s="2"/>
      <c r="M1188" s="49" t="s">
        <v>1801</v>
      </c>
      <c r="N1188" s="94" t="str">
        <f>VLOOKUP(D1188,A!B$1:P$1125,12,FALSE)</f>
        <v>y</v>
      </c>
      <c r="O1188" s="94">
        <f>VLOOKUP(D1188,A!B$1:P$1126,14,FALSE)</f>
        <v>0</v>
      </c>
      <c r="P1188" s="10">
        <v>15</v>
      </c>
      <c r="Q1188" s="10">
        <v>1.05</v>
      </c>
      <c r="R1188" s="10">
        <f t="shared" si="177"/>
        <v>0</v>
      </c>
      <c r="S1188" s="10">
        <f t="shared" si="178"/>
        <v>0</v>
      </c>
      <c r="T1188" s="30" t="s">
        <v>332</v>
      </c>
      <c r="U1188" s="30">
        <f t="shared" si="176"/>
        <v>0.25</v>
      </c>
      <c r="V1188" s="10">
        <f>VLOOKUP(D1188,A!B$1:T$1125,18,FALSE)</f>
        <v>0</v>
      </c>
      <c r="W1188" s="10">
        <f t="shared" si="179"/>
        <v>0</v>
      </c>
      <c r="AC1188" s="30"/>
      <c r="AD1188" s="30"/>
      <c r="AE1188" s="115"/>
      <c r="AF1188" s="115"/>
      <c r="AG1188" s="115"/>
      <c r="AH1188" s="115"/>
      <c r="AI1188" s="115"/>
      <c r="AJ1188" s="115"/>
      <c r="AK1188" s="115"/>
      <c r="AL1188" s="115"/>
      <c r="AM1188" s="115"/>
      <c r="AN1188" s="115"/>
      <c r="AO1188" s="115"/>
      <c r="AP1188" s="115"/>
      <c r="AQ1188" s="115"/>
      <c r="AR1188" s="115"/>
      <c r="AS1188" s="115"/>
      <c r="AT1188" s="115"/>
      <c r="AU1188" s="115"/>
      <c r="AV1188" s="115"/>
      <c r="AW1188" s="115"/>
      <c r="AX1188" s="115"/>
      <c r="AY1188" s="115"/>
      <c r="AZ1188" s="115"/>
      <c r="BA1188" s="115"/>
      <c r="BB1188" s="115"/>
      <c r="BC1188" s="115"/>
      <c r="BD1188" s="115"/>
      <c r="BE1188" s="115"/>
      <c r="BF1188" s="115"/>
      <c r="BG1188" s="115"/>
      <c r="BH1188" s="115"/>
      <c r="BI1188" s="115"/>
      <c r="BJ1188" s="115"/>
      <c r="BK1188" s="115"/>
      <c r="BL1188" s="115"/>
      <c r="BM1188" s="115"/>
      <c r="BN1188" s="115"/>
      <c r="BO1188" s="115"/>
    </row>
    <row r="1189" spans="1:67" ht="13.5" customHeight="1" x14ac:dyDescent="0.25">
      <c r="A1189" t="str">
        <f>IF(R1189=0,"",COUNTIF(A$13:A1188,"&gt;0")+1)</f>
        <v/>
      </c>
      <c r="B1189" s="82">
        <f>SUM(B1180:B1188)</f>
        <v>0</v>
      </c>
      <c r="C1189" s="5" t="s">
        <v>29</v>
      </c>
      <c r="D1189" s="24" t="s">
        <v>36</v>
      </c>
      <c r="E1189" s="88"/>
      <c r="F1189" s="96"/>
      <c r="G1189" s="84"/>
      <c r="H1189" s="84"/>
      <c r="I1189" s="84"/>
      <c r="J1189" s="84"/>
      <c r="K1189" s="84"/>
      <c r="L1189" s="84"/>
      <c r="M1189" s="84"/>
      <c r="N1189" s="94"/>
      <c r="O1189" s="94"/>
      <c r="P1189" s="10">
        <v>15</v>
      </c>
      <c r="Q1189" s="151"/>
      <c r="R1189" s="10">
        <f>B1189*P1189</f>
        <v>0</v>
      </c>
      <c r="S1189" s="10"/>
      <c r="V1189" s="10"/>
      <c r="W1189" s="10"/>
      <c r="AC1189" s="30"/>
      <c r="AD1189" s="30"/>
      <c r="AE1189" s="115"/>
      <c r="AF1189" s="115"/>
      <c r="AG1189" s="115"/>
      <c r="AH1189" s="115"/>
      <c r="AI1189" s="115"/>
      <c r="AJ1189" s="115"/>
      <c r="AK1189" s="115"/>
      <c r="AL1189" s="115"/>
      <c r="AM1189" s="115"/>
      <c r="AN1189" s="115"/>
      <c r="AO1189" s="115"/>
      <c r="AP1189" s="115"/>
      <c r="AQ1189" s="115"/>
      <c r="AR1189" s="115"/>
      <c r="AS1189" s="115"/>
      <c r="AT1189" s="115"/>
      <c r="AU1189" s="115"/>
      <c r="AV1189" s="115"/>
      <c r="AW1189" s="115"/>
      <c r="AX1189" s="115"/>
      <c r="AY1189" s="115"/>
      <c r="AZ1189" s="115"/>
      <c r="BA1189" s="115"/>
      <c r="BB1189" s="115"/>
      <c r="BC1189" s="115"/>
      <c r="BD1189" s="115"/>
      <c r="BE1189" s="115"/>
      <c r="BF1189" s="115"/>
      <c r="BG1189" s="115"/>
      <c r="BH1189" s="115"/>
      <c r="BI1189" s="115"/>
      <c r="BJ1189" s="115"/>
      <c r="BK1189" s="115"/>
      <c r="BL1189" s="115"/>
      <c r="BM1189" s="115"/>
      <c r="BN1189" s="115"/>
      <c r="BO1189" s="115"/>
    </row>
    <row r="1190" spans="1:67" ht="12.75" customHeight="1" x14ac:dyDescent="0.25">
      <c r="A1190" t="str">
        <f>IF(R1190=0,"",COUNTIF(A$14:A1189,"&gt;0")+1)</f>
        <v/>
      </c>
      <c r="AC1190" s="30"/>
      <c r="AD1190" s="30"/>
      <c r="AE1190" s="115"/>
      <c r="AF1190" s="115"/>
      <c r="AG1190" s="115"/>
      <c r="AH1190" s="115"/>
      <c r="AI1190" s="115"/>
      <c r="AJ1190" s="115"/>
      <c r="AK1190" s="115"/>
      <c r="AL1190" s="115"/>
      <c r="AM1190" s="115"/>
      <c r="AN1190" s="115"/>
      <c r="AO1190" s="115"/>
      <c r="AP1190" s="115"/>
      <c r="AQ1190" s="115"/>
      <c r="AR1190" s="115"/>
      <c r="AS1190" s="115"/>
      <c r="AT1190" s="115"/>
      <c r="AU1190" s="115"/>
      <c r="AV1190" s="115"/>
      <c r="AW1190" s="115"/>
      <c r="AX1190" s="115"/>
      <c r="AY1190" s="115"/>
      <c r="AZ1190" s="115"/>
      <c r="BA1190" s="115"/>
      <c r="BB1190" s="115"/>
      <c r="BC1190" s="115"/>
      <c r="BD1190" s="115"/>
      <c r="BE1190" s="115"/>
      <c r="BF1190" s="115"/>
      <c r="BG1190" s="115"/>
      <c r="BH1190" s="115"/>
      <c r="BI1190" s="115"/>
      <c r="BJ1190" s="115"/>
      <c r="BK1190" s="115"/>
      <c r="BL1190" s="115"/>
      <c r="BM1190" s="115"/>
      <c r="BN1190" s="115"/>
      <c r="BO1190" s="115"/>
    </row>
    <row r="1191" spans="1:67" ht="12.75" customHeight="1" x14ac:dyDescent="0.25">
      <c r="A1191" t="str">
        <f>IF(R1191=0,"",COUNTIF(A$14:A1190,"&gt;0")+1)</f>
        <v/>
      </c>
      <c r="AC1191" s="30"/>
      <c r="AD1191" s="30"/>
      <c r="AE1191" s="115"/>
      <c r="AF1191" s="115"/>
      <c r="AG1191" s="115"/>
      <c r="AH1191" s="115"/>
      <c r="AI1191" s="115"/>
      <c r="AJ1191" s="115"/>
      <c r="AK1191" s="115"/>
      <c r="AL1191" s="115"/>
      <c r="AM1191" s="115"/>
      <c r="AN1191" s="115"/>
      <c r="AO1191" s="115"/>
      <c r="AP1191" s="115"/>
      <c r="AQ1191" s="115"/>
      <c r="AR1191" s="115"/>
      <c r="AS1191" s="115"/>
      <c r="AT1191" s="115"/>
      <c r="AU1191" s="115"/>
      <c r="AV1191" s="115"/>
      <c r="AW1191" s="115"/>
      <c r="AX1191" s="115"/>
      <c r="AY1191" s="115"/>
      <c r="AZ1191" s="115"/>
      <c r="BA1191" s="115"/>
      <c r="BB1191" s="115"/>
      <c r="BC1191" s="115"/>
      <c r="BD1191" s="115"/>
      <c r="BE1191" s="115"/>
      <c r="BF1191" s="115"/>
      <c r="BG1191" s="115"/>
      <c r="BH1191" s="115"/>
      <c r="BI1191" s="115"/>
      <c r="BJ1191" s="115"/>
      <c r="BK1191" s="115"/>
      <c r="BL1191" s="115"/>
      <c r="BM1191" s="115"/>
      <c r="BN1191" s="115"/>
      <c r="BO1191" s="115"/>
    </row>
    <row r="1192" spans="1:67" ht="12.75" customHeight="1" x14ac:dyDescent="0.25">
      <c r="A1192" t="str">
        <f>IF(R1192=0,"",COUNTIF(A$14:A1191,"&gt;0")+1)</f>
        <v/>
      </c>
      <c r="AC1192" s="30"/>
      <c r="AD1192" s="30"/>
      <c r="AE1192" s="115"/>
      <c r="AF1192" s="115"/>
      <c r="AG1192" s="115"/>
      <c r="AH1192" s="115"/>
      <c r="AI1192" s="115"/>
      <c r="AJ1192" s="115"/>
      <c r="AK1192" s="115"/>
      <c r="AL1192" s="115"/>
      <c r="AM1192" s="115"/>
      <c r="AN1192" s="115"/>
      <c r="AO1192" s="115"/>
      <c r="AP1192" s="115"/>
      <c r="AQ1192" s="115"/>
      <c r="AR1192" s="115"/>
      <c r="AS1192" s="115"/>
      <c r="AT1192" s="115"/>
      <c r="AU1192" s="115"/>
      <c r="AV1192" s="115"/>
      <c r="AW1192" s="115"/>
      <c r="AX1192" s="115"/>
      <c r="AY1192" s="115"/>
      <c r="AZ1192" s="115"/>
      <c r="BA1192" s="115"/>
      <c r="BB1192" s="115"/>
      <c r="BC1192" s="115"/>
      <c r="BD1192" s="115"/>
      <c r="BE1192" s="115"/>
      <c r="BF1192" s="115"/>
      <c r="BG1192" s="115"/>
      <c r="BH1192" s="115"/>
      <c r="BI1192" s="115"/>
      <c r="BJ1192" s="115"/>
      <c r="BK1192" s="115"/>
      <c r="BL1192" s="115"/>
      <c r="BM1192" s="115"/>
      <c r="BN1192" s="115"/>
      <c r="BO1192" s="115"/>
    </row>
    <row r="1193" spans="1:67" ht="12.75" customHeight="1" x14ac:dyDescent="0.25">
      <c r="AC1193" s="30"/>
      <c r="AD1193" s="30"/>
      <c r="AE1193" s="115"/>
      <c r="AF1193" s="115"/>
      <c r="AG1193" s="115"/>
      <c r="AH1193" s="115"/>
      <c r="AI1193" s="115"/>
      <c r="AJ1193" s="115"/>
      <c r="AK1193" s="115"/>
      <c r="AL1193" s="115"/>
      <c r="AM1193" s="115"/>
      <c r="AN1193" s="115"/>
      <c r="AO1193" s="115"/>
      <c r="AP1193" s="115"/>
      <c r="AQ1193" s="115"/>
      <c r="AR1193" s="115"/>
      <c r="AS1193" s="115"/>
      <c r="AT1193" s="115"/>
      <c r="AU1193" s="115"/>
      <c r="AV1193" s="115"/>
      <c r="AW1193" s="115"/>
      <c r="AX1193" s="115"/>
      <c r="AY1193" s="115"/>
      <c r="AZ1193" s="115"/>
      <c r="BA1193" s="115"/>
      <c r="BB1193" s="115"/>
      <c r="BC1193" s="115"/>
      <c r="BD1193" s="115"/>
      <c r="BE1193" s="115"/>
      <c r="BF1193" s="115"/>
      <c r="BG1193" s="115"/>
      <c r="BH1193" s="115"/>
      <c r="BI1193" s="115"/>
      <c r="BJ1193" s="115"/>
      <c r="BK1193" s="115"/>
      <c r="BL1193" s="115"/>
      <c r="BM1193" s="115"/>
      <c r="BN1193" s="115"/>
      <c r="BO1193" s="115"/>
    </row>
    <row r="1194" spans="1:67" ht="12.75" customHeight="1" x14ac:dyDescent="0.25">
      <c r="AC1194" s="30"/>
      <c r="AD1194" s="30"/>
      <c r="AE1194" s="115"/>
      <c r="AF1194" s="115"/>
      <c r="AG1194" s="115"/>
      <c r="AH1194" s="115"/>
      <c r="AI1194" s="115"/>
      <c r="AJ1194" s="115"/>
      <c r="AK1194" s="115"/>
      <c r="AL1194" s="115"/>
      <c r="AM1194" s="115"/>
      <c r="AN1194" s="115"/>
      <c r="AO1194" s="115"/>
      <c r="AP1194" s="115"/>
      <c r="AQ1194" s="115"/>
      <c r="AR1194" s="115"/>
      <c r="AS1194" s="115"/>
      <c r="AT1194" s="115"/>
      <c r="AU1194" s="115"/>
      <c r="AV1194" s="115"/>
      <c r="AW1194" s="115"/>
      <c r="AX1194" s="115"/>
      <c r="AY1194" s="115"/>
      <c r="AZ1194" s="115"/>
      <c r="BA1194" s="115"/>
      <c r="BB1194" s="115"/>
      <c r="BC1194" s="115"/>
      <c r="BD1194" s="115"/>
      <c r="BE1194" s="115"/>
      <c r="BF1194" s="115"/>
      <c r="BG1194" s="115"/>
      <c r="BH1194" s="115"/>
      <c r="BI1194" s="115"/>
      <c r="BJ1194" s="115"/>
      <c r="BK1194" s="115"/>
      <c r="BL1194" s="115"/>
      <c r="BM1194" s="115"/>
      <c r="BN1194" s="115"/>
      <c r="BO1194" s="115"/>
    </row>
    <row r="1195" spans="1:67" ht="12.75" customHeight="1" x14ac:dyDescent="0.25">
      <c r="AC1195" s="30"/>
      <c r="AD1195" s="30"/>
      <c r="AE1195" s="115"/>
      <c r="AF1195" s="115"/>
      <c r="AG1195" s="115"/>
      <c r="AH1195" s="115"/>
      <c r="AI1195" s="115"/>
      <c r="AJ1195" s="115"/>
      <c r="AK1195" s="115"/>
      <c r="AL1195" s="115"/>
      <c r="AM1195" s="115"/>
      <c r="AN1195" s="115"/>
      <c r="AO1195" s="115"/>
      <c r="AP1195" s="115"/>
      <c r="AQ1195" s="115"/>
      <c r="AR1195" s="115"/>
      <c r="AS1195" s="115"/>
      <c r="AT1195" s="115"/>
      <c r="AU1195" s="115"/>
      <c r="AV1195" s="115"/>
      <c r="AW1195" s="115"/>
      <c r="AX1195" s="115"/>
      <c r="AY1195" s="115"/>
      <c r="AZ1195" s="115"/>
      <c r="BA1195" s="115"/>
      <c r="BB1195" s="115"/>
      <c r="BC1195" s="115"/>
      <c r="BD1195" s="115"/>
      <c r="BE1195" s="115"/>
      <c r="BF1195" s="115"/>
      <c r="BG1195" s="115"/>
      <c r="BH1195" s="115"/>
      <c r="BI1195" s="115"/>
      <c r="BJ1195" s="115"/>
      <c r="BK1195" s="115"/>
      <c r="BL1195" s="115"/>
      <c r="BM1195" s="115"/>
      <c r="BN1195" s="115"/>
      <c r="BO1195" s="115"/>
    </row>
  </sheetData>
  <sortState xmlns:xlrd2="http://schemas.microsoft.com/office/spreadsheetml/2017/richdata2" ref="D1107:Y1131">
    <sortCondition ref="D1107"/>
  </sortState>
  <mergeCells count="48">
    <mergeCell ref="AH1:AS1"/>
    <mergeCell ref="AN2:AR2"/>
    <mergeCell ref="AY2:BC2"/>
    <mergeCell ref="BJ2:BN2"/>
    <mergeCell ref="B700:G700"/>
    <mergeCell ref="B3:L3"/>
    <mergeCell ref="B6:M7"/>
    <mergeCell ref="H8:M8"/>
    <mergeCell ref="B10:M10"/>
    <mergeCell ref="F4:M4"/>
    <mergeCell ref="B9:M9"/>
    <mergeCell ref="B11:G11"/>
    <mergeCell ref="AB1:AF1"/>
    <mergeCell ref="B12:C12"/>
    <mergeCell ref="B608:D608"/>
    <mergeCell ref="B244:G244"/>
    <mergeCell ref="B1045:D1045"/>
    <mergeCell ref="B844:C844"/>
    <mergeCell ref="B245:C245"/>
    <mergeCell ref="B727:C727"/>
    <mergeCell ref="B731:G731"/>
    <mergeCell ref="B732:C732"/>
    <mergeCell ref="F608:G608"/>
    <mergeCell ref="B670:C670"/>
    <mergeCell ref="B669:D669"/>
    <mergeCell ref="B609:C609"/>
    <mergeCell ref="B502:C502"/>
    <mergeCell ref="B501:G501"/>
    <mergeCell ref="B718:F718"/>
    <mergeCell ref="B701:C701"/>
    <mergeCell ref="B719:B722"/>
    <mergeCell ref="C719:C722"/>
    <mergeCell ref="B737:G737"/>
    <mergeCell ref="B726:G726"/>
    <mergeCell ref="B1179:C1179"/>
    <mergeCell ref="B738:C738"/>
    <mergeCell ref="B843:G843"/>
    <mergeCell ref="B1160:C1160"/>
    <mergeCell ref="B1170:G1170"/>
    <mergeCell ref="B1104:G1104"/>
    <mergeCell ref="B1137:G1137"/>
    <mergeCell ref="B1138:C1138"/>
    <mergeCell ref="B1159:G1159"/>
    <mergeCell ref="B1171:C1171"/>
    <mergeCell ref="B1046:C1046"/>
    <mergeCell ref="B1178:G1178"/>
    <mergeCell ref="F1045:G1045"/>
    <mergeCell ref="B1105:C1105"/>
  </mergeCells>
  <phoneticPr fontId="44" type="noConversion"/>
  <pageMargins left="0.23622047244094491" right="0.19685039370078741" top="0.15748031496062992" bottom="0.15748031496062992" header="0" footer="0"/>
  <pageSetup paperSize="9" orientation="portrait" horizontalDpi="1200" verticalDpi="1200" r:id="rId1"/>
  <headerFooter scaleWithDoc="0" alignWithMargins="0">
    <oddHeader xml:space="preserve">&amp;R&amp;10
   Page &amp;P of &amp;N      </oddHeader>
  </headerFooter>
  <rowBreaks count="3" manualBreakCount="3">
    <brk id="499" max="12" man="1"/>
    <brk id="698" max="12" man="1"/>
    <brk id="1135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print="0" autoLine="0" autoPict="0">
                <anchor moveWithCells="1">
                  <from>
                    <xdr:col>15</xdr:col>
                    <xdr:colOff>428625</xdr:colOff>
                    <xdr:row>7</xdr:row>
                    <xdr:rowOff>66675</xdr:rowOff>
                  </from>
                  <to>
                    <xdr:col>17</xdr:col>
                    <xdr:colOff>200025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Drop Down 1">
              <controlPr defaultSize="0" print="0" autoLine="0" autoPict="0">
                <anchor moveWithCells="1">
                  <from>
                    <xdr:col>15</xdr:col>
                    <xdr:colOff>419100</xdr:colOff>
                    <xdr:row>2</xdr:row>
                    <xdr:rowOff>238125</xdr:rowOff>
                  </from>
                  <to>
                    <xdr:col>17</xdr:col>
                    <xdr:colOff>190500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9" r:id="rId6" name="Drop Down 29551">
              <controlPr defaultSize="0" print="0" autoLine="0" autoPict="0">
                <anchor moveWithCells="1">
                  <from>
                    <xdr:col>15</xdr:col>
                    <xdr:colOff>419100</xdr:colOff>
                    <xdr:row>11</xdr:row>
                    <xdr:rowOff>38100</xdr:rowOff>
                  </from>
                  <to>
                    <xdr:col>17</xdr:col>
                    <xdr:colOff>209550</xdr:colOff>
                    <xdr:row>12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1" id="{D8EEA868-78F5-4860-B885-6D9942124B1D}">
            <x14:iconSet iconSet="3Star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H1157:H1160 H1043:H1046 H1102:H1105 H1132:H1138 H1168:H1171 H1176:H1179 H242:H844</xm:sqref>
        </x14:conditionalFormatting>
        <x14:conditionalFormatting xmlns:xm="http://schemas.microsoft.com/office/excel/2006/main">
          <x14:cfRule type="iconSet" priority="50" id="{5B7C5A1D-4AC9-4D94-AFAF-252C5A171AC4}">
            <x14:iconSet iconSet="3Stars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NoIcons" iconId="0"/>
              <x14:cfIcon iconSet="3Stars" iconId="2"/>
            </x14:iconSet>
          </x14:cfRule>
          <xm:sqref>I1157:I1160 I1043:I1046 I1102:I1105 I1132:I1138 I1168:I1171 I1176:I1179 I242:I844</xm:sqref>
        </x14:conditionalFormatting>
        <x14:conditionalFormatting xmlns:xm="http://schemas.microsoft.com/office/excel/2006/main">
          <x14:cfRule type="iconSet" priority="42" id="{620BD3AB-9479-40CF-870A-B4919483A34E}">
            <x14:iconSet iconSet="3Stars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NoIcons" iconId="0"/>
              <x14:cfIcon iconSet="3Stars" iconId="2"/>
            </x14:iconSet>
          </x14:cfRule>
          <xm:sqref>I1047:I1101</xm:sqref>
        </x14:conditionalFormatting>
        <x14:conditionalFormatting xmlns:xm="http://schemas.microsoft.com/office/excel/2006/main">
          <x14:cfRule type="iconSet" priority="23" id="{DB7DA5BC-EA07-403D-B90D-553B0F1C628E}">
            <x14:iconSet iconSet="3Star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H1139:H1156</xm:sqref>
        </x14:conditionalFormatting>
        <x14:conditionalFormatting xmlns:xm="http://schemas.microsoft.com/office/excel/2006/main">
          <x14:cfRule type="iconSet" priority="22" id="{B4E376B2-40E8-4307-8838-7A2321F92018}">
            <x14:iconSet iconSet="3Stars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NoIcons" iconId="0"/>
              <x14:cfIcon iconSet="3Stars" iconId="2"/>
            </x14:iconSet>
          </x14:cfRule>
          <xm:sqref>I1139:I1156</xm:sqref>
        </x14:conditionalFormatting>
        <x14:conditionalFormatting xmlns:xm="http://schemas.microsoft.com/office/excel/2006/main">
          <x14:cfRule type="iconSet" priority="21" id="{9187DA07-048B-4DF3-83A4-2322BB43A080}">
            <x14:iconSet iconSet="3Star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H1161:H1167</xm:sqref>
        </x14:conditionalFormatting>
        <x14:conditionalFormatting xmlns:xm="http://schemas.microsoft.com/office/excel/2006/main">
          <x14:cfRule type="iconSet" priority="20" id="{193FBA49-4D36-4029-B937-DAEED3AECE06}">
            <x14:iconSet iconSet="3Stars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NoIcons" iconId="0"/>
              <x14:cfIcon iconSet="3Stars" iconId="2"/>
            </x14:iconSet>
          </x14:cfRule>
          <xm:sqref>I1161:I1167</xm:sqref>
        </x14:conditionalFormatting>
        <x14:conditionalFormatting xmlns:xm="http://schemas.microsoft.com/office/excel/2006/main">
          <x14:cfRule type="iconSet" priority="19" id="{FE2BE170-8AFA-42EE-8519-FBB1FCDE4DBD}">
            <x14:iconSet iconSet="3Star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H1172:H1175</xm:sqref>
        </x14:conditionalFormatting>
        <x14:conditionalFormatting xmlns:xm="http://schemas.microsoft.com/office/excel/2006/main">
          <x14:cfRule type="iconSet" priority="18" id="{4888C6B5-EA79-46DB-A93A-70B034B8B0FE}">
            <x14:iconSet iconSet="3Stars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NoIcons" iconId="0"/>
              <x14:cfIcon iconSet="3Stars" iconId="2"/>
            </x14:iconSet>
          </x14:cfRule>
          <xm:sqref>I1172:I1175</xm:sqref>
        </x14:conditionalFormatting>
        <x14:conditionalFormatting xmlns:xm="http://schemas.microsoft.com/office/excel/2006/main">
          <x14:cfRule type="iconSet" priority="14" id="{92680767-6D99-4662-9812-952A832A5AC6}">
            <x14:iconSet iconSet="3Star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H1047:H1101</xm:sqref>
        </x14:conditionalFormatting>
        <x14:conditionalFormatting xmlns:xm="http://schemas.microsoft.com/office/excel/2006/main">
          <x14:cfRule type="iconSet" priority="5" id="{08DE9D6B-6311-46A2-8D36-3DE29EAB6E2F}">
            <x14:iconSet iconSet="3Star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H13:H241</xm:sqref>
        </x14:conditionalFormatting>
        <x14:conditionalFormatting xmlns:xm="http://schemas.microsoft.com/office/excel/2006/main">
          <x14:cfRule type="iconSet" priority="6" id="{595B9C3F-BD10-4146-B34E-0B308DC5D6B1}">
            <x14:iconSet iconSet="3Stars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NoIcons" iconId="0"/>
              <x14:cfIcon iconSet="3Stars" iconId="2"/>
            </x14:iconSet>
          </x14:cfRule>
          <xm:sqref>I13:I241</xm:sqref>
        </x14:conditionalFormatting>
        <x14:conditionalFormatting xmlns:xm="http://schemas.microsoft.com/office/excel/2006/main">
          <x14:cfRule type="iconSet" priority="799" id="{207CAB65-CBB6-4DB9-B404-E8D50F9861D0}">
            <x14:iconSet iconSet="3Stars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NoIcons" iconId="0"/>
              <x14:cfIcon iconSet="3Stars" iconId="2"/>
            </x14:iconSet>
          </x14:cfRule>
          <xm:sqref>I1106:I1131</xm:sqref>
        </x14:conditionalFormatting>
        <x14:conditionalFormatting xmlns:xm="http://schemas.microsoft.com/office/excel/2006/main">
          <x14:cfRule type="iconSet" priority="801" id="{89D1A856-226B-4CB7-9958-EF99A18A3DD5}">
            <x14:iconSet iconSet="3Star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H1106:H1131</xm:sqref>
        </x14:conditionalFormatting>
        <x14:conditionalFormatting xmlns:xm="http://schemas.microsoft.com/office/excel/2006/main">
          <x14:cfRule type="iconSet" priority="2" id="{3DD2B187-7EC8-4950-93A3-CB4ECBA45505}">
            <x14:iconSet iconSet="3Star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H1181</xm:sqref>
        </x14:conditionalFormatting>
        <x14:conditionalFormatting xmlns:xm="http://schemas.microsoft.com/office/excel/2006/main">
          <x14:cfRule type="iconSet" priority="1" id="{26AA49CC-911F-447F-B4A7-BA0CEC80221F}">
            <x14:iconSet iconSet="3Stars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NoIcons" iconId="0"/>
              <x14:cfIcon iconSet="3Stars" iconId="2"/>
            </x14:iconSet>
          </x14:cfRule>
          <xm:sqref>I1181</xm:sqref>
        </x14:conditionalFormatting>
        <x14:conditionalFormatting xmlns:xm="http://schemas.microsoft.com/office/excel/2006/main">
          <x14:cfRule type="iconSet" priority="802" id="{47D5BC3B-FBA3-410C-89B3-A80C8636A8F7}">
            <x14:iconSet iconSet="3Star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H1180 H1182:H1188</xm:sqref>
        </x14:conditionalFormatting>
        <x14:conditionalFormatting xmlns:xm="http://schemas.microsoft.com/office/excel/2006/main">
          <x14:cfRule type="iconSet" priority="805" id="{70314200-8C50-4E5C-BD9B-53BFBE454274}">
            <x14:iconSet iconSet="3Stars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NoIcons" iconId="0"/>
              <x14:cfIcon iconSet="3Stars" iconId="2"/>
            </x14:iconSet>
          </x14:cfRule>
          <xm:sqref>I1180 I1182:I1188</xm:sqref>
        </x14:conditionalFormatting>
        <x14:conditionalFormatting xmlns:xm="http://schemas.microsoft.com/office/excel/2006/main">
          <x14:cfRule type="iconSet" priority="818" id="{24EFE4C1-80E3-4A39-BA65-1F603FB9DBE2}">
            <x14:iconSet iconSet="3Stars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NoIcons" iconId="0"/>
              <x14:cfIcon iconSet="NoIcons" iconId="0"/>
              <x14:cfIcon iconSet="3Stars" iconId="2"/>
            </x14:iconSet>
          </x14:cfRule>
          <xm:sqref>I845:I1042</xm:sqref>
        </x14:conditionalFormatting>
        <x14:conditionalFormatting xmlns:xm="http://schemas.microsoft.com/office/excel/2006/main">
          <x14:cfRule type="iconSet" priority="820" id="{D32913E6-5797-49A2-84F7-969180B9E3B3}">
            <x14:iconSet iconSet="3Star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H845:H1042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6"/>
  <sheetViews>
    <sheetView zoomScaleNormal="100" workbookViewId="0">
      <selection activeCell="S17" sqref="S17:S18"/>
    </sheetView>
  </sheetViews>
  <sheetFormatPr defaultRowHeight="15" x14ac:dyDescent="0.25"/>
  <cols>
    <col min="1" max="1" width="23.42578125" customWidth="1"/>
    <col min="2" max="2" width="41.7109375" customWidth="1"/>
    <col min="3" max="3" width="6.28515625" customWidth="1"/>
    <col min="4" max="4" width="4.42578125" customWidth="1"/>
    <col min="8" max="11" width="9.140625" style="115" hidden="1" customWidth="1"/>
    <col min="12" max="12" width="9.140625" customWidth="1"/>
  </cols>
  <sheetData>
    <row r="1" spans="1:11" x14ac:dyDescent="0.25">
      <c r="A1" s="98" t="s">
        <v>317</v>
      </c>
      <c r="B1" s="105">
        <f>Order!F4</f>
        <v>0</v>
      </c>
      <c r="D1" s="99" t="s">
        <v>318</v>
      </c>
      <c r="E1" t="str">
        <f>IF(Order!T5=2,"Yes",IF(Order!T5=3,"No",IF(Order!T5=4,"Contact Customer","")))</f>
        <v/>
      </c>
    </row>
    <row r="2" spans="1:11" x14ac:dyDescent="0.25">
      <c r="B2" s="105">
        <f>Order!F5</f>
        <v>0</v>
      </c>
      <c r="D2" s="99" t="s">
        <v>319</v>
      </c>
      <c r="E2" t="str">
        <f>IF(Order!U9=2,"Yes","No")</f>
        <v>No</v>
      </c>
    </row>
    <row r="3" spans="1:11" x14ac:dyDescent="0.25">
      <c r="B3" s="105">
        <f>Order!L5</f>
        <v>0</v>
      </c>
      <c r="D3" s="99" t="s">
        <v>320</v>
      </c>
      <c r="E3" t="str">
        <f>IF(Order!U10=2,"Yes","No")</f>
        <v>No</v>
      </c>
    </row>
    <row r="4" spans="1:11" x14ac:dyDescent="0.25">
      <c r="A4" s="104" t="s">
        <v>333</v>
      </c>
      <c r="B4" s="104" t="s">
        <v>334</v>
      </c>
      <c r="C4" s="260" t="s">
        <v>170</v>
      </c>
      <c r="D4" s="261"/>
    </row>
    <row r="5" spans="1:11" x14ac:dyDescent="0.25">
      <c r="A5" s="61" t="e">
        <f>J5</f>
        <v>#N/A</v>
      </c>
      <c r="B5" s="106" t="e">
        <f>H5</f>
        <v>#N/A</v>
      </c>
      <c r="C5" s="112" t="e">
        <f>I5</f>
        <v>#N/A</v>
      </c>
      <c r="D5" s="109" t="e">
        <f>K5</f>
        <v>#N/A</v>
      </c>
      <c r="H5" s="115" t="e">
        <f>VLOOKUP(1,Order!A$14:U$1980,4,TRUE)</f>
        <v>#N/A</v>
      </c>
      <c r="I5" s="115" t="e">
        <f>VLOOKUP(1,Order!A$14:U$1980,2,TRUE)</f>
        <v>#N/A</v>
      </c>
      <c r="J5" s="115" t="e">
        <f>VLOOKUP(1,Order!A$14:U$1980,20,TRUE)</f>
        <v>#N/A</v>
      </c>
      <c r="K5" s="115" t="e">
        <f>VLOOKUP(1,Order!A$14:V$1980,3,FALSE)</f>
        <v>#N/A</v>
      </c>
    </row>
    <row r="6" spans="1:11" x14ac:dyDescent="0.25">
      <c r="A6" s="61" t="e">
        <f>IF(J6=0,"",IF(J6=J5,"",J6))</f>
        <v>#N/A</v>
      </c>
      <c r="B6" s="107" t="e">
        <f>IF(H6=H5,"",H6)</f>
        <v>#N/A</v>
      </c>
      <c r="C6" s="113" t="e">
        <f>IF(H6=H5,"",I6)</f>
        <v>#N/A</v>
      </c>
      <c r="D6" s="110" t="e">
        <f>IF(H6=H5,"",K6)</f>
        <v>#N/A</v>
      </c>
      <c r="H6" s="115" t="e">
        <f>VLOOKUP(2,Order!A$14:U$1980,4,TRUE)</f>
        <v>#N/A</v>
      </c>
      <c r="I6" s="115" t="e">
        <f>VLOOKUP(2,Order!A$14:U$1980,2,TRUE)</f>
        <v>#N/A</v>
      </c>
      <c r="J6" s="115" t="e">
        <f>VLOOKUP(2,Order!A$14:U$1980,20,TRUE)</f>
        <v>#N/A</v>
      </c>
      <c r="K6" s="115" t="e">
        <f>VLOOKUP(2,Order!A$14:V$1980,3,FALSE)</f>
        <v>#N/A</v>
      </c>
    </row>
    <row r="7" spans="1:11" x14ac:dyDescent="0.25">
      <c r="A7" s="61" t="e">
        <f t="shared" ref="A7:A70" si="0">IF(J7=0,"",IF(J7=J6,"",J7))</f>
        <v>#N/A</v>
      </c>
      <c r="B7" s="107" t="e">
        <f t="shared" ref="B7:B70" si="1">IF(H7=H6,"",H7)</f>
        <v>#N/A</v>
      </c>
      <c r="C7" s="113" t="e">
        <f t="shared" ref="C7:C70" si="2">IF(H7=H6,"",I7)</f>
        <v>#N/A</v>
      </c>
      <c r="D7" s="110" t="e">
        <f t="shared" ref="D7:D70" si="3">IF(H7=H6,"",K7)</f>
        <v>#N/A</v>
      </c>
      <c r="H7" s="115" t="e">
        <f>VLOOKUP(3,Order!A$14:U$1980,4,TRUE)</f>
        <v>#N/A</v>
      </c>
      <c r="I7" s="115" t="e">
        <f>VLOOKUP(3,Order!A$14:U$1980,2,TRUE)</f>
        <v>#N/A</v>
      </c>
      <c r="J7" s="115" t="e">
        <f>VLOOKUP(3,Order!A$14:U$1980,20,TRUE)</f>
        <v>#N/A</v>
      </c>
      <c r="K7" s="115" t="e">
        <f>VLOOKUP(3,Order!A$14:V$1980,3,FALSE)</f>
        <v>#N/A</v>
      </c>
    </row>
    <row r="8" spans="1:11" x14ac:dyDescent="0.25">
      <c r="A8" s="61" t="e">
        <f t="shared" si="0"/>
        <v>#N/A</v>
      </c>
      <c r="B8" s="107" t="e">
        <f t="shared" si="1"/>
        <v>#N/A</v>
      </c>
      <c r="C8" s="113" t="e">
        <f t="shared" si="2"/>
        <v>#N/A</v>
      </c>
      <c r="D8" s="110" t="e">
        <f t="shared" si="3"/>
        <v>#N/A</v>
      </c>
      <c r="H8" s="115" t="e">
        <f>VLOOKUP(4,Order!A$14:U$1980,4,TRUE)</f>
        <v>#N/A</v>
      </c>
      <c r="I8" s="115" t="e">
        <f>VLOOKUP(4,Order!A$14:U$1980,2,TRUE)</f>
        <v>#N/A</v>
      </c>
      <c r="J8" s="115" t="e">
        <f>VLOOKUP(4,Order!A$14:U$1980,20,TRUE)</f>
        <v>#N/A</v>
      </c>
      <c r="K8" s="115" t="e">
        <f>VLOOKUP(4,Order!A$14:V$1980,3,FALSE)</f>
        <v>#N/A</v>
      </c>
    </row>
    <row r="9" spans="1:11" x14ac:dyDescent="0.25">
      <c r="A9" s="61" t="e">
        <f t="shared" si="0"/>
        <v>#N/A</v>
      </c>
      <c r="B9" s="107" t="e">
        <f t="shared" si="1"/>
        <v>#N/A</v>
      </c>
      <c r="C9" s="113" t="e">
        <f t="shared" si="2"/>
        <v>#N/A</v>
      </c>
      <c r="D9" s="110" t="e">
        <f t="shared" si="3"/>
        <v>#N/A</v>
      </c>
      <c r="H9" s="115" t="e">
        <f>VLOOKUP(5,Order!A$14:U$1980,4,TRUE)</f>
        <v>#N/A</v>
      </c>
      <c r="I9" s="115" t="e">
        <f>VLOOKUP(5,Order!A$14:U$1980,2,TRUE)</f>
        <v>#N/A</v>
      </c>
      <c r="J9" s="115" t="e">
        <f>VLOOKUP(5,Order!A$14:U$1980,20,TRUE)</f>
        <v>#N/A</v>
      </c>
      <c r="K9" s="115" t="e">
        <f>VLOOKUP(5,Order!A$14:V$1980,3,FALSE)</f>
        <v>#N/A</v>
      </c>
    </row>
    <row r="10" spans="1:11" x14ac:dyDescent="0.25">
      <c r="A10" s="61" t="e">
        <f t="shared" si="0"/>
        <v>#N/A</v>
      </c>
      <c r="B10" s="107" t="e">
        <f t="shared" si="1"/>
        <v>#N/A</v>
      </c>
      <c r="C10" s="113" t="e">
        <f t="shared" si="2"/>
        <v>#N/A</v>
      </c>
      <c r="D10" s="110" t="e">
        <f t="shared" si="3"/>
        <v>#N/A</v>
      </c>
      <c r="H10" s="115" t="e">
        <f>VLOOKUP(6,Order!A$14:U$1980,4,TRUE)</f>
        <v>#N/A</v>
      </c>
      <c r="I10" s="115" t="e">
        <f>VLOOKUP(6,Order!A$14:U$1980,2,TRUE)</f>
        <v>#N/A</v>
      </c>
      <c r="J10" s="115" t="e">
        <f>VLOOKUP(6,Order!A$14:U$1980,20,TRUE)</f>
        <v>#N/A</v>
      </c>
      <c r="K10" s="115" t="e">
        <f>VLOOKUP(6,Order!A$14:V$1980,3,FALSE)</f>
        <v>#N/A</v>
      </c>
    </row>
    <row r="11" spans="1:11" x14ac:dyDescent="0.25">
      <c r="A11" s="61" t="e">
        <f t="shared" si="0"/>
        <v>#N/A</v>
      </c>
      <c r="B11" s="107" t="e">
        <f t="shared" si="1"/>
        <v>#N/A</v>
      </c>
      <c r="C11" s="113" t="e">
        <f t="shared" si="2"/>
        <v>#N/A</v>
      </c>
      <c r="D11" s="110" t="e">
        <f t="shared" si="3"/>
        <v>#N/A</v>
      </c>
      <c r="H11" s="115" t="e">
        <f>VLOOKUP(7,Order!A$14:U$1980,4,TRUE)</f>
        <v>#N/A</v>
      </c>
      <c r="I11" s="115" t="e">
        <f>VLOOKUP(7,Order!A$14:U$1980,2,TRUE)</f>
        <v>#N/A</v>
      </c>
      <c r="J11" s="115" t="e">
        <f>VLOOKUP(7,Order!A$14:U$1980,20,TRUE)</f>
        <v>#N/A</v>
      </c>
      <c r="K11" s="115" t="e">
        <f>VLOOKUP(7,Order!A$14:V$1980,3,FALSE)</f>
        <v>#N/A</v>
      </c>
    </row>
    <row r="12" spans="1:11" x14ac:dyDescent="0.25">
      <c r="A12" s="61" t="e">
        <f t="shared" si="0"/>
        <v>#N/A</v>
      </c>
      <c r="B12" s="107" t="e">
        <f t="shared" si="1"/>
        <v>#N/A</v>
      </c>
      <c r="C12" s="113" t="e">
        <f t="shared" si="2"/>
        <v>#N/A</v>
      </c>
      <c r="D12" s="110" t="e">
        <f t="shared" si="3"/>
        <v>#N/A</v>
      </c>
      <c r="H12" s="115" t="e">
        <f>VLOOKUP(8,Order!A$14:U$1980,4,TRUE)</f>
        <v>#N/A</v>
      </c>
      <c r="I12" s="115" t="e">
        <f>VLOOKUP(8,Order!A$14:U$1980,2,TRUE)</f>
        <v>#N/A</v>
      </c>
      <c r="J12" s="115" t="e">
        <f>VLOOKUP(8,Order!A$14:U$1980,20,TRUE)</f>
        <v>#N/A</v>
      </c>
      <c r="K12" s="115" t="e">
        <f>VLOOKUP(8,Order!A$14:V$1980,3,FALSE)</f>
        <v>#N/A</v>
      </c>
    </row>
    <row r="13" spans="1:11" x14ac:dyDescent="0.25">
      <c r="A13" s="61" t="e">
        <f t="shared" si="0"/>
        <v>#N/A</v>
      </c>
      <c r="B13" s="107" t="e">
        <f t="shared" si="1"/>
        <v>#N/A</v>
      </c>
      <c r="C13" s="113" t="e">
        <f t="shared" si="2"/>
        <v>#N/A</v>
      </c>
      <c r="D13" s="110" t="e">
        <f t="shared" si="3"/>
        <v>#N/A</v>
      </c>
      <c r="H13" s="115" t="e">
        <f>VLOOKUP(9,Order!A$14:U$1980,4,TRUE)</f>
        <v>#N/A</v>
      </c>
      <c r="I13" s="115" t="e">
        <f>VLOOKUP(9,Order!A$14:U$1980,2,TRUE)</f>
        <v>#N/A</v>
      </c>
      <c r="J13" s="115" t="e">
        <f>VLOOKUP(9,Order!A$14:U$1980,20,TRUE)</f>
        <v>#N/A</v>
      </c>
      <c r="K13" s="115" t="e">
        <f>VLOOKUP(9,Order!A$14:V$1980,3,FALSE)</f>
        <v>#N/A</v>
      </c>
    </row>
    <row r="14" spans="1:11" x14ac:dyDescent="0.25">
      <c r="A14" s="61" t="e">
        <f t="shared" si="0"/>
        <v>#N/A</v>
      </c>
      <c r="B14" s="107" t="e">
        <f t="shared" si="1"/>
        <v>#N/A</v>
      </c>
      <c r="C14" s="113" t="e">
        <f t="shared" si="2"/>
        <v>#N/A</v>
      </c>
      <c r="D14" s="110" t="e">
        <f t="shared" si="3"/>
        <v>#N/A</v>
      </c>
      <c r="H14" s="115" t="e">
        <f>VLOOKUP(10,Order!A$14:U$1980,4,TRUE)</f>
        <v>#N/A</v>
      </c>
      <c r="I14" s="115" t="e">
        <f>VLOOKUP(10,Order!A$14:U$1980,2,TRUE)</f>
        <v>#N/A</v>
      </c>
      <c r="J14" s="115" t="e">
        <f>VLOOKUP(10,Order!A$14:U$1980,20,TRUE)</f>
        <v>#N/A</v>
      </c>
      <c r="K14" s="115" t="e">
        <f>VLOOKUP(10,Order!A$14:V$1980,3,FALSE)</f>
        <v>#N/A</v>
      </c>
    </row>
    <row r="15" spans="1:11" x14ac:dyDescent="0.25">
      <c r="A15" s="61" t="e">
        <f t="shared" si="0"/>
        <v>#N/A</v>
      </c>
      <c r="B15" s="107" t="e">
        <f t="shared" si="1"/>
        <v>#N/A</v>
      </c>
      <c r="C15" s="113" t="e">
        <f t="shared" si="2"/>
        <v>#N/A</v>
      </c>
      <c r="D15" s="110" t="e">
        <f t="shared" si="3"/>
        <v>#N/A</v>
      </c>
      <c r="H15" s="115" t="e">
        <f>VLOOKUP(11,Order!A$14:U$1980,4,TRUE)</f>
        <v>#N/A</v>
      </c>
      <c r="I15" s="115" t="e">
        <f>VLOOKUP(11,Order!A$14:U$1980,2,TRUE)</f>
        <v>#N/A</v>
      </c>
      <c r="J15" s="115" t="e">
        <f>VLOOKUP(11,Order!A$14:U$1980,20,TRUE)</f>
        <v>#N/A</v>
      </c>
      <c r="K15" s="115" t="e">
        <f>VLOOKUP(11,Order!A$14:V$1980,3,FALSE)</f>
        <v>#N/A</v>
      </c>
    </row>
    <row r="16" spans="1:11" x14ac:dyDescent="0.25">
      <c r="A16" s="61" t="e">
        <f t="shared" si="0"/>
        <v>#N/A</v>
      </c>
      <c r="B16" s="107" t="e">
        <f t="shared" si="1"/>
        <v>#N/A</v>
      </c>
      <c r="C16" s="113" t="e">
        <f t="shared" si="2"/>
        <v>#N/A</v>
      </c>
      <c r="D16" s="110" t="e">
        <f t="shared" si="3"/>
        <v>#N/A</v>
      </c>
      <c r="H16" s="115" t="e">
        <f>VLOOKUP(12,Order!A$14:U$1980,4,TRUE)</f>
        <v>#N/A</v>
      </c>
      <c r="I16" s="115" t="e">
        <f>VLOOKUP(12,Order!A$14:U$1980,2,TRUE)</f>
        <v>#N/A</v>
      </c>
      <c r="J16" s="115" t="e">
        <f>VLOOKUP(12,Order!A$14:U$1980,20,TRUE)</f>
        <v>#N/A</v>
      </c>
      <c r="K16" s="115" t="e">
        <f>VLOOKUP(12,Order!A$14:V$1980,3,FALSE)</f>
        <v>#N/A</v>
      </c>
    </row>
    <row r="17" spans="1:11" x14ac:dyDescent="0.25">
      <c r="A17" s="61" t="e">
        <f t="shared" si="0"/>
        <v>#N/A</v>
      </c>
      <c r="B17" s="107" t="e">
        <f t="shared" si="1"/>
        <v>#N/A</v>
      </c>
      <c r="C17" s="113" t="e">
        <f t="shared" si="2"/>
        <v>#N/A</v>
      </c>
      <c r="D17" s="110" t="e">
        <f t="shared" si="3"/>
        <v>#N/A</v>
      </c>
      <c r="H17" s="115" t="e">
        <f>VLOOKUP(13,Order!A$14:U$1980,4,TRUE)</f>
        <v>#N/A</v>
      </c>
      <c r="I17" s="115" t="e">
        <f>VLOOKUP(13,Order!A$14:U$1980,2,TRUE)</f>
        <v>#N/A</v>
      </c>
      <c r="J17" s="115" t="e">
        <f>VLOOKUP(13,Order!A$14:U$1980,20,TRUE)</f>
        <v>#N/A</v>
      </c>
      <c r="K17" s="115" t="e">
        <f>VLOOKUP(13,Order!A$14:V$1980,3,FALSE)</f>
        <v>#N/A</v>
      </c>
    </row>
    <row r="18" spans="1:11" x14ac:dyDescent="0.25">
      <c r="A18" s="61" t="e">
        <f t="shared" si="0"/>
        <v>#N/A</v>
      </c>
      <c r="B18" s="107" t="e">
        <f t="shared" si="1"/>
        <v>#N/A</v>
      </c>
      <c r="C18" s="113" t="e">
        <f t="shared" si="2"/>
        <v>#N/A</v>
      </c>
      <c r="D18" s="110" t="e">
        <f t="shared" si="3"/>
        <v>#N/A</v>
      </c>
      <c r="H18" s="115" t="e">
        <f>VLOOKUP(14,Order!A$14:U$1980,4,TRUE)</f>
        <v>#N/A</v>
      </c>
      <c r="I18" s="115" t="e">
        <f>VLOOKUP(14,Order!A$14:U$1980,2,TRUE)</f>
        <v>#N/A</v>
      </c>
      <c r="J18" s="115" t="e">
        <f>VLOOKUP(14,Order!A$14:U$1980,20,TRUE)</f>
        <v>#N/A</v>
      </c>
      <c r="K18" s="115" t="e">
        <f>VLOOKUP(14,Order!A$14:V$1980,3,FALSE)</f>
        <v>#N/A</v>
      </c>
    </row>
    <row r="19" spans="1:11" x14ac:dyDescent="0.25">
      <c r="A19" s="61" t="e">
        <f t="shared" si="0"/>
        <v>#N/A</v>
      </c>
      <c r="B19" s="107" t="e">
        <f t="shared" si="1"/>
        <v>#N/A</v>
      </c>
      <c r="C19" s="113" t="e">
        <f t="shared" si="2"/>
        <v>#N/A</v>
      </c>
      <c r="D19" s="110" t="e">
        <f t="shared" si="3"/>
        <v>#N/A</v>
      </c>
      <c r="H19" s="115" t="e">
        <f>VLOOKUP(15,Order!A$14:U$1980,4,TRUE)</f>
        <v>#N/A</v>
      </c>
      <c r="I19" s="115" t="e">
        <f>VLOOKUP(15,Order!A$14:U$1980,2,TRUE)</f>
        <v>#N/A</v>
      </c>
      <c r="J19" s="115" t="e">
        <f>VLOOKUP(15,Order!A$14:U$1980,20,TRUE)</f>
        <v>#N/A</v>
      </c>
      <c r="K19" s="115" t="e">
        <f>VLOOKUP(15,Order!A$14:V$1980,3,FALSE)</f>
        <v>#N/A</v>
      </c>
    </row>
    <row r="20" spans="1:11" x14ac:dyDescent="0.25">
      <c r="A20" s="61" t="e">
        <f t="shared" si="0"/>
        <v>#N/A</v>
      </c>
      <c r="B20" s="107" t="e">
        <f t="shared" si="1"/>
        <v>#N/A</v>
      </c>
      <c r="C20" s="113" t="e">
        <f t="shared" si="2"/>
        <v>#N/A</v>
      </c>
      <c r="D20" s="110" t="e">
        <f t="shared" si="3"/>
        <v>#N/A</v>
      </c>
      <c r="H20" s="115" t="e">
        <f>VLOOKUP(16,Order!A$14:U$1980,4,TRUE)</f>
        <v>#N/A</v>
      </c>
      <c r="I20" s="115" t="e">
        <f>VLOOKUP(16,Order!A$14:U$1980,2,TRUE)</f>
        <v>#N/A</v>
      </c>
      <c r="J20" s="115" t="e">
        <f>VLOOKUP(16,Order!A$14:U$1980,20,TRUE)</f>
        <v>#N/A</v>
      </c>
      <c r="K20" s="115" t="e">
        <f>VLOOKUP(16,Order!A$14:V$1980,3,FALSE)</f>
        <v>#N/A</v>
      </c>
    </row>
    <row r="21" spans="1:11" x14ac:dyDescent="0.25">
      <c r="A21" s="61" t="e">
        <f t="shared" si="0"/>
        <v>#N/A</v>
      </c>
      <c r="B21" s="107" t="e">
        <f t="shared" si="1"/>
        <v>#N/A</v>
      </c>
      <c r="C21" s="113" t="e">
        <f t="shared" si="2"/>
        <v>#N/A</v>
      </c>
      <c r="D21" s="110" t="e">
        <f t="shared" si="3"/>
        <v>#N/A</v>
      </c>
      <c r="H21" s="115" t="e">
        <f>VLOOKUP(17,Order!A$14:U$1980,4,TRUE)</f>
        <v>#N/A</v>
      </c>
      <c r="I21" s="115" t="e">
        <f>VLOOKUP(17,Order!A$14:U$1980,2,TRUE)</f>
        <v>#N/A</v>
      </c>
      <c r="J21" s="115" t="e">
        <f>VLOOKUP(17,Order!A$14:U$1980,20,TRUE)</f>
        <v>#N/A</v>
      </c>
      <c r="K21" s="115" t="e">
        <f>VLOOKUP(17,Order!A$14:V$1980,3,FALSE)</f>
        <v>#N/A</v>
      </c>
    </row>
    <row r="22" spans="1:11" x14ac:dyDescent="0.25">
      <c r="A22" s="61" t="e">
        <f t="shared" si="0"/>
        <v>#N/A</v>
      </c>
      <c r="B22" s="107" t="e">
        <f t="shared" si="1"/>
        <v>#N/A</v>
      </c>
      <c r="C22" s="113" t="e">
        <f t="shared" si="2"/>
        <v>#N/A</v>
      </c>
      <c r="D22" s="110" t="e">
        <f t="shared" si="3"/>
        <v>#N/A</v>
      </c>
      <c r="H22" s="115" t="e">
        <f>VLOOKUP(18,Order!A$14:U$1980,4,TRUE)</f>
        <v>#N/A</v>
      </c>
      <c r="I22" s="115" t="e">
        <f>VLOOKUP(18,Order!A$14:U$1980,2,TRUE)</f>
        <v>#N/A</v>
      </c>
      <c r="J22" s="115" t="e">
        <f>VLOOKUP(18,Order!A$14:U$1980,20,TRUE)</f>
        <v>#N/A</v>
      </c>
      <c r="K22" s="115" t="e">
        <f>VLOOKUP(18,Order!A$14:V$1980,3,FALSE)</f>
        <v>#N/A</v>
      </c>
    </row>
    <row r="23" spans="1:11" x14ac:dyDescent="0.25">
      <c r="A23" s="61" t="e">
        <f t="shared" si="0"/>
        <v>#N/A</v>
      </c>
      <c r="B23" s="107" t="e">
        <f t="shared" si="1"/>
        <v>#N/A</v>
      </c>
      <c r="C23" s="113" t="e">
        <f t="shared" si="2"/>
        <v>#N/A</v>
      </c>
      <c r="D23" s="110" t="e">
        <f t="shared" si="3"/>
        <v>#N/A</v>
      </c>
      <c r="H23" s="115" t="e">
        <f>VLOOKUP(19,Order!A$14:U$1980,4,TRUE)</f>
        <v>#N/A</v>
      </c>
      <c r="I23" s="115" t="e">
        <f>VLOOKUP(19,Order!A$14:U$1980,2,TRUE)</f>
        <v>#N/A</v>
      </c>
      <c r="J23" s="115" t="e">
        <f>VLOOKUP(19,Order!A$14:U$1980,20,TRUE)</f>
        <v>#N/A</v>
      </c>
      <c r="K23" s="115" t="e">
        <f>VLOOKUP(19,Order!A$14:V$1980,3,FALSE)</f>
        <v>#N/A</v>
      </c>
    </row>
    <row r="24" spans="1:11" x14ac:dyDescent="0.25">
      <c r="A24" s="61" t="e">
        <f t="shared" si="0"/>
        <v>#N/A</v>
      </c>
      <c r="B24" s="107" t="e">
        <f t="shared" si="1"/>
        <v>#N/A</v>
      </c>
      <c r="C24" s="113" t="e">
        <f t="shared" si="2"/>
        <v>#N/A</v>
      </c>
      <c r="D24" s="110" t="e">
        <f t="shared" si="3"/>
        <v>#N/A</v>
      </c>
      <c r="H24" s="115" t="e">
        <f>VLOOKUP(20,Order!A$14:U$1980,4,TRUE)</f>
        <v>#N/A</v>
      </c>
      <c r="I24" s="115" t="e">
        <f>VLOOKUP(20,Order!A$14:U$1980,2,TRUE)</f>
        <v>#N/A</v>
      </c>
      <c r="J24" s="115" t="e">
        <f>VLOOKUP(20,Order!A$14:U$1980,20,TRUE)</f>
        <v>#N/A</v>
      </c>
      <c r="K24" s="115" t="e">
        <f>VLOOKUP(20,Order!A$14:V$1980,3,FALSE)</f>
        <v>#N/A</v>
      </c>
    </row>
    <row r="25" spans="1:11" x14ac:dyDescent="0.25">
      <c r="A25" s="61" t="e">
        <f t="shared" si="0"/>
        <v>#N/A</v>
      </c>
      <c r="B25" s="107" t="e">
        <f t="shared" si="1"/>
        <v>#N/A</v>
      </c>
      <c r="C25" s="113" t="e">
        <f t="shared" si="2"/>
        <v>#N/A</v>
      </c>
      <c r="D25" s="110" t="e">
        <f t="shared" si="3"/>
        <v>#N/A</v>
      </c>
      <c r="H25" s="115" t="e">
        <f>VLOOKUP(21,Order!A$14:U$1980,4,TRUE)</f>
        <v>#N/A</v>
      </c>
      <c r="I25" s="115" t="e">
        <f>VLOOKUP(21,Order!A$14:U$1980,2,TRUE)</f>
        <v>#N/A</v>
      </c>
      <c r="J25" s="115" t="e">
        <f>VLOOKUP(21,Order!A$14:U$1980,20,TRUE)</f>
        <v>#N/A</v>
      </c>
      <c r="K25" s="115" t="e">
        <f>VLOOKUP(21,Order!A$14:V$1980,3,FALSE)</f>
        <v>#N/A</v>
      </c>
    </row>
    <row r="26" spans="1:11" x14ac:dyDescent="0.25">
      <c r="A26" s="61" t="e">
        <f t="shared" si="0"/>
        <v>#N/A</v>
      </c>
      <c r="B26" s="107" t="e">
        <f t="shared" si="1"/>
        <v>#N/A</v>
      </c>
      <c r="C26" s="113" t="e">
        <f t="shared" si="2"/>
        <v>#N/A</v>
      </c>
      <c r="D26" s="110" t="e">
        <f t="shared" si="3"/>
        <v>#N/A</v>
      </c>
      <c r="H26" s="115" t="e">
        <f>VLOOKUP(22,Order!A$14:U$1980,4,TRUE)</f>
        <v>#N/A</v>
      </c>
      <c r="I26" s="115" t="e">
        <f>VLOOKUP(22,Order!A$14:U$1980,2,TRUE)</f>
        <v>#N/A</v>
      </c>
      <c r="J26" s="115" t="e">
        <f>VLOOKUP(22,Order!A$14:U$1980,20,TRUE)</f>
        <v>#N/A</v>
      </c>
      <c r="K26" s="115" t="e">
        <f>VLOOKUP(22,Order!A$14:V$1980,3,FALSE)</f>
        <v>#N/A</v>
      </c>
    </row>
    <row r="27" spans="1:11" x14ac:dyDescent="0.25">
      <c r="A27" s="61" t="e">
        <f t="shared" si="0"/>
        <v>#N/A</v>
      </c>
      <c r="B27" s="107" t="e">
        <f t="shared" si="1"/>
        <v>#N/A</v>
      </c>
      <c r="C27" s="113" t="e">
        <f t="shared" si="2"/>
        <v>#N/A</v>
      </c>
      <c r="D27" s="110" t="e">
        <f t="shared" si="3"/>
        <v>#N/A</v>
      </c>
      <c r="H27" s="115" t="e">
        <f>VLOOKUP(23,Order!A$14:U$1980,4,TRUE)</f>
        <v>#N/A</v>
      </c>
      <c r="I27" s="115" t="e">
        <f>VLOOKUP(23,Order!A$14:U$1980,2,TRUE)</f>
        <v>#N/A</v>
      </c>
      <c r="J27" s="115" t="e">
        <f>VLOOKUP(23,Order!A$14:U$1980,20,TRUE)</f>
        <v>#N/A</v>
      </c>
      <c r="K27" s="115" t="e">
        <f>VLOOKUP(23,Order!A$14:V$1980,3,FALSE)</f>
        <v>#N/A</v>
      </c>
    </row>
    <row r="28" spans="1:11" x14ac:dyDescent="0.25">
      <c r="A28" s="61" t="e">
        <f t="shared" si="0"/>
        <v>#N/A</v>
      </c>
      <c r="B28" s="107" t="e">
        <f t="shared" si="1"/>
        <v>#N/A</v>
      </c>
      <c r="C28" s="113" t="e">
        <f t="shared" si="2"/>
        <v>#N/A</v>
      </c>
      <c r="D28" s="110" t="e">
        <f t="shared" si="3"/>
        <v>#N/A</v>
      </c>
      <c r="H28" s="115" t="e">
        <f>VLOOKUP(24,Order!A$14:U$1980,4,TRUE)</f>
        <v>#N/A</v>
      </c>
      <c r="I28" s="115" t="e">
        <f>VLOOKUP(24,Order!A$14:U$1980,2,TRUE)</f>
        <v>#N/A</v>
      </c>
      <c r="J28" s="115" t="e">
        <f>VLOOKUP(24,Order!A$14:U$1980,20,TRUE)</f>
        <v>#N/A</v>
      </c>
      <c r="K28" s="115" t="e">
        <f>VLOOKUP(24,Order!A$14:V$1980,3,FALSE)</f>
        <v>#N/A</v>
      </c>
    </row>
    <row r="29" spans="1:11" x14ac:dyDescent="0.25">
      <c r="A29" s="61" t="e">
        <f t="shared" si="0"/>
        <v>#N/A</v>
      </c>
      <c r="B29" s="107" t="e">
        <f t="shared" si="1"/>
        <v>#N/A</v>
      </c>
      <c r="C29" s="113" t="e">
        <f t="shared" si="2"/>
        <v>#N/A</v>
      </c>
      <c r="D29" s="110" t="e">
        <f t="shared" si="3"/>
        <v>#N/A</v>
      </c>
      <c r="H29" s="115" t="e">
        <f>VLOOKUP(25,Order!A$14:U$1980,4,TRUE)</f>
        <v>#N/A</v>
      </c>
      <c r="I29" s="115" t="e">
        <f>VLOOKUP(25,Order!A$14:U$1980,2,TRUE)</f>
        <v>#N/A</v>
      </c>
      <c r="J29" s="115" t="e">
        <f>VLOOKUP(25,Order!A$14:U$1980,20,TRUE)</f>
        <v>#N/A</v>
      </c>
      <c r="K29" s="115" t="e">
        <f>VLOOKUP(25,Order!A$14:V$1980,3,FALSE)</f>
        <v>#N/A</v>
      </c>
    </row>
    <row r="30" spans="1:11" x14ac:dyDescent="0.25">
      <c r="A30" s="61" t="e">
        <f t="shared" si="0"/>
        <v>#N/A</v>
      </c>
      <c r="B30" s="107" t="e">
        <f t="shared" si="1"/>
        <v>#N/A</v>
      </c>
      <c r="C30" s="113" t="e">
        <f t="shared" si="2"/>
        <v>#N/A</v>
      </c>
      <c r="D30" s="110" t="e">
        <f t="shared" si="3"/>
        <v>#N/A</v>
      </c>
      <c r="H30" s="115" t="e">
        <f>VLOOKUP(26,Order!A$14:U$1980,4,TRUE)</f>
        <v>#N/A</v>
      </c>
      <c r="I30" s="115" t="e">
        <f>VLOOKUP(26,Order!A$14:U$1980,2,TRUE)</f>
        <v>#N/A</v>
      </c>
      <c r="J30" s="115" t="e">
        <f>VLOOKUP(26,Order!A$14:U$1980,20,TRUE)</f>
        <v>#N/A</v>
      </c>
      <c r="K30" s="115" t="e">
        <f>VLOOKUP(26,Order!A$14:V$1980,3,FALSE)</f>
        <v>#N/A</v>
      </c>
    </row>
    <row r="31" spans="1:11" x14ac:dyDescent="0.25">
      <c r="A31" s="61" t="e">
        <f t="shared" si="0"/>
        <v>#N/A</v>
      </c>
      <c r="B31" s="107" t="e">
        <f t="shared" si="1"/>
        <v>#N/A</v>
      </c>
      <c r="C31" s="113" t="e">
        <f t="shared" si="2"/>
        <v>#N/A</v>
      </c>
      <c r="D31" s="110" t="e">
        <f t="shared" si="3"/>
        <v>#N/A</v>
      </c>
      <c r="H31" s="115" t="e">
        <f>VLOOKUP(27,Order!A$14:U$1980,4,TRUE)</f>
        <v>#N/A</v>
      </c>
      <c r="I31" s="115" t="e">
        <f>VLOOKUP(27,Order!A$14:U$1980,2,TRUE)</f>
        <v>#N/A</v>
      </c>
      <c r="J31" s="115" t="e">
        <f>VLOOKUP(27,Order!A$14:U$1980,20,TRUE)</f>
        <v>#N/A</v>
      </c>
      <c r="K31" s="115" t="e">
        <f>VLOOKUP(27,Order!A$14:V$1980,3,FALSE)</f>
        <v>#N/A</v>
      </c>
    </row>
    <row r="32" spans="1:11" x14ac:dyDescent="0.25">
      <c r="A32" s="61" t="e">
        <f t="shared" si="0"/>
        <v>#N/A</v>
      </c>
      <c r="B32" s="107" t="e">
        <f t="shared" si="1"/>
        <v>#N/A</v>
      </c>
      <c r="C32" s="113" t="e">
        <f t="shared" si="2"/>
        <v>#N/A</v>
      </c>
      <c r="D32" s="110" t="e">
        <f t="shared" si="3"/>
        <v>#N/A</v>
      </c>
      <c r="H32" s="115" t="e">
        <f>VLOOKUP(28,Order!A$14:U$1980,4,TRUE)</f>
        <v>#N/A</v>
      </c>
      <c r="I32" s="115" t="e">
        <f>VLOOKUP(28,Order!A$14:U$1980,2,TRUE)</f>
        <v>#N/A</v>
      </c>
      <c r="J32" s="115" t="e">
        <f>VLOOKUP(28,Order!A$14:U$1980,20,TRUE)</f>
        <v>#N/A</v>
      </c>
      <c r="K32" s="115" t="e">
        <f>VLOOKUP(28,Order!A$14:V$1980,3,FALSE)</f>
        <v>#N/A</v>
      </c>
    </row>
    <row r="33" spans="1:11" x14ac:dyDescent="0.25">
      <c r="A33" s="61" t="e">
        <f t="shared" si="0"/>
        <v>#N/A</v>
      </c>
      <c r="B33" s="107" t="e">
        <f t="shared" si="1"/>
        <v>#N/A</v>
      </c>
      <c r="C33" s="113" t="e">
        <f t="shared" si="2"/>
        <v>#N/A</v>
      </c>
      <c r="D33" s="110" t="e">
        <f t="shared" si="3"/>
        <v>#N/A</v>
      </c>
      <c r="H33" s="115" t="e">
        <f>VLOOKUP(29,Order!A$14:U$1980,4,TRUE)</f>
        <v>#N/A</v>
      </c>
      <c r="I33" s="115" t="e">
        <f>VLOOKUP(29,Order!A$14:U$1980,2,TRUE)</f>
        <v>#N/A</v>
      </c>
      <c r="J33" s="115" t="e">
        <f>VLOOKUP(29,Order!A$14:U$1980,20,TRUE)</f>
        <v>#N/A</v>
      </c>
      <c r="K33" s="115" t="e">
        <f>VLOOKUP(29,Order!A$14:V$1980,3,FALSE)</f>
        <v>#N/A</v>
      </c>
    </row>
    <row r="34" spans="1:11" x14ac:dyDescent="0.25">
      <c r="A34" s="61" t="e">
        <f t="shared" si="0"/>
        <v>#N/A</v>
      </c>
      <c r="B34" s="107" t="e">
        <f t="shared" si="1"/>
        <v>#N/A</v>
      </c>
      <c r="C34" s="113" t="e">
        <f t="shared" si="2"/>
        <v>#N/A</v>
      </c>
      <c r="D34" s="110" t="e">
        <f t="shared" si="3"/>
        <v>#N/A</v>
      </c>
      <c r="H34" s="115" t="e">
        <f>VLOOKUP(30,Order!A$14:U$1980,4,TRUE)</f>
        <v>#N/A</v>
      </c>
      <c r="I34" s="115" t="e">
        <f>VLOOKUP(30,Order!A$14:U$1980,2,TRUE)</f>
        <v>#N/A</v>
      </c>
      <c r="J34" s="115" t="e">
        <f>VLOOKUP(30,Order!A$14:U$1980,20,TRUE)</f>
        <v>#N/A</v>
      </c>
      <c r="K34" s="115" t="e">
        <f>VLOOKUP(30,Order!A$14:V$1980,3,FALSE)</f>
        <v>#N/A</v>
      </c>
    </row>
    <row r="35" spans="1:11" x14ac:dyDescent="0.25">
      <c r="A35" s="61" t="e">
        <f t="shared" si="0"/>
        <v>#N/A</v>
      </c>
      <c r="B35" s="107" t="e">
        <f t="shared" si="1"/>
        <v>#N/A</v>
      </c>
      <c r="C35" s="113" t="e">
        <f t="shared" si="2"/>
        <v>#N/A</v>
      </c>
      <c r="D35" s="110" t="e">
        <f t="shared" si="3"/>
        <v>#N/A</v>
      </c>
      <c r="H35" s="115" t="e">
        <f>VLOOKUP(31,Order!A$14:U$1980,4,TRUE)</f>
        <v>#N/A</v>
      </c>
      <c r="I35" s="115" t="e">
        <f>VLOOKUP(31,Order!A$14:U$1980,2,TRUE)</f>
        <v>#N/A</v>
      </c>
      <c r="J35" s="115" t="e">
        <f>VLOOKUP(31,Order!A$14:U$1980,20,TRUE)</f>
        <v>#N/A</v>
      </c>
      <c r="K35" s="115" t="e">
        <f>VLOOKUP(31,Order!A$14:V$1980,3,FALSE)</f>
        <v>#N/A</v>
      </c>
    </row>
    <row r="36" spans="1:11" x14ac:dyDescent="0.25">
      <c r="A36" s="61" t="e">
        <f t="shared" si="0"/>
        <v>#N/A</v>
      </c>
      <c r="B36" s="107" t="e">
        <f t="shared" si="1"/>
        <v>#N/A</v>
      </c>
      <c r="C36" s="113" t="e">
        <f t="shared" si="2"/>
        <v>#N/A</v>
      </c>
      <c r="D36" s="110" t="e">
        <f t="shared" si="3"/>
        <v>#N/A</v>
      </c>
      <c r="H36" s="115" t="e">
        <f>VLOOKUP(32,Order!A$14:U$1980,4,TRUE)</f>
        <v>#N/A</v>
      </c>
      <c r="I36" s="115" t="e">
        <f>VLOOKUP(32,Order!A$14:U$1980,2,TRUE)</f>
        <v>#N/A</v>
      </c>
      <c r="J36" s="115" t="e">
        <f>VLOOKUP(32,Order!A$14:U$1980,20,TRUE)</f>
        <v>#N/A</v>
      </c>
      <c r="K36" s="115" t="e">
        <f>VLOOKUP(32,Order!A$14:V$1980,3,FALSE)</f>
        <v>#N/A</v>
      </c>
    </row>
    <row r="37" spans="1:11" x14ac:dyDescent="0.25">
      <c r="A37" s="61" t="e">
        <f t="shared" si="0"/>
        <v>#N/A</v>
      </c>
      <c r="B37" s="107" t="e">
        <f t="shared" si="1"/>
        <v>#N/A</v>
      </c>
      <c r="C37" s="113" t="e">
        <f t="shared" si="2"/>
        <v>#N/A</v>
      </c>
      <c r="D37" s="110" t="e">
        <f t="shared" si="3"/>
        <v>#N/A</v>
      </c>
      <c r="H37" s="115" t="e">
        <f>VLOOKUP(33,Order!A$14:U$1980,4,TRUE)</f>
        <v>#N/A</v>
      </c>
      <c r="I37" s="115" t="e">
        <f>VLOOKUP(33,Order!A$14:U$1980,2,TRUE)</f>
        <v>#N/A</v>
      </c>
      <c r="J37" s="115" t="e">
        <f>VLOOKUP(33,Order!A$14:U$1980,20,TRUE)</f>
        <v>#N/A</v>
      </c>
      <c r="K37" s="115" t="e">
        <f>VLOOKUP(33,Order!A$14:V$1980,3,FALSE)</f>
        <v>#N/A</v>
      </c>
    </row>
    <row r="38" spans="1:11" x14ac:dyDescent="0.25">
      <c r="A38" s="61" t="e">
        <f t="shared" si="0"/>
        <v>#N/A</v>
      </c>
      <c r="B38" s="107" t="e">
        <f t="shared" si="1"/>
        <v>#N/A</v>
      </c>
      <c r="C38" s="113" t="e">
        <f t="shared" si="2"/>
        <v>#N/A</v>
      </c>
      <c r="D38" s="110" t="e">
        <f t="shared" si="3"/>
        <v>#N/A</v>
      </c>
      <c r="H38" s="115" t="e">
        <f>VLOOKUP(34,Order!A$14:U$1980,4,TRUE)</f>
        <v>#N/A</v>
      </c>
      <c r="I38" s="115" t="e">
        <f>VLOOKUP(34,Order!A$14:U$1980,2,TRUE)</f>
        <v>#N/A</v>
      </c>
      <c r="J38" s="115" t="e">
        <f>VLOOKUP(34,Order!A$14:U$1980,20,TRUE)</f>
        <v>#N/A</v>
      </c>
      <c r="K38" s="115" t="e">
        <f>VLOOKUP(34,Order!A$14:V$1980,3,FALSE)</f>
        <v>#N/A</v>
      </c>
    </row>
    <row r="39" spans="1:11" x14ac:dyDescent="0.25">
      <c r="A39" s="61" t="e">
        <f t="shared" si="0"/>
        <v>#N/A</v>
      </c>
      <c r="B39" s="107" t="e">
        <f t="shared" si="1"/>
        <v>#N/A</v>
      </c>
      <c r="C39" s="113" t="e">
        <f t="shared" si="2"/>
        <v>#N/A</v>
      </c>
      <c r="D39" s="110" t="e">
        <f t="shared" si="3"/>
        <v>#N/A</v>
      </c>
      <c r="H39" s="115" t="e">
        <f>VLOOKUP(35,Order!A$14:U$1980,4,TRUE)</f>
        <v>#N/A</v>
      </c>
      <c r="I39" s="115" t="e">
        <f>VLOOKUP(35,Order!A$14:U$1980,2,TRUE)</f>
        <v>#N/A</v>
      </c>
      <c r="J39" s="115" t="e">
        <f>VLOOKUP(35,Order!A$14:U$1980,20,TRUE)</f>
        <v>#N/A</v>
      </c>
      <c r="K39" s="115" t="e">
        <f>VLOOKUP(35,Order!A$14:V$1980,3,FALSE)</f>
        <v>#N/A</v>
      </c>
    </row>
    <row r="40" spans="1:11" x14ac:dyDescent="0.25">
      <c r="A40" s="61" t="e">
        <f t="shared" si="0"/>
        <v>#N/A</v>
      </c>
      <c r="B40" s="107" t="e">
        <f t="shared" si="1"/>
        <v>#N/A</v>
      </c>
      <c r="C40" s="113" t="e">
        <f t="shared" si="2"/>
        <v>#N/A</v>
      </c>
      <c r="D40" s="110" t="e">
        <f t="shared" si="3"/>
        <v>#N/A</v>
      </c>
      <c r="H40" s="115" t="e">
        <f>VLOOKUP(36,Order!A$14:U$1980,4,TRUE)</f>
        <v>#N/A</v>
      </c>
      <c r="I40" s="115" t="e">
        <f>VLOOKUP(36,Order!A$14:U$1980,2,TRUE)</f>
        <v>#N/A</v>
      </c>
      <c r="J40" s="115" t="e">
        <f>VLOOKUP(36,Order!A$14:U$1980,20,TRUE)</f>
        <v>#N/A</v>
      </c>
      <c r="K40" s="115" t="e">
        <f>VLOOKUP(36,Order!A$14:V$1980,3,FALSE)</f>
        <v>#N/A</v>
      </c>
    </row>
    <row r="41" spans="1:11" x14ac:dyDescent="0.25">
      <c r="A41" s="61" t="e">
        <f t="shared" si="0"/>
        <v>#N/A</v>
      </c>
      <c r="B41" s="107" t="e">
        <f t="shared" si="1"/>
        <v>#N/A</v>
      </c>
      <c r="C41" s="113" t="e">
        <f t="shared" si="2"/>
        <v>#N/A</v>
      </c>
      <c r="D41" s="110" t="e">
        <f t="shared" si="3"/>
        <v>#N/A</v>
      </c>
      <c r="H41" s="115" t="e">
        <f>VLOOKUP(37,Order!A$14:U$1980,4,TRUE)</f>
        <v>#N/A</v>
      </c>
      <c r="I41" s="115" t="e">
        <f>VLOOKUP(37,Order!A$14:U$1980,2,TRUE)</f>
        <v>#N/A</v>
      </c>
      <c r="J41" s="115" t="e">
        <f>VLOOKUP(37,Order!A$14:U$1980,20,TRUE)</f>
        <v>#N/A</v>
      </c>
      <c r="K41" s="115" t="e">
        <f>VLOOKUP(37,Order!A$14:V$1980,3,FALSE)</f>
        <v>#N/A</v>
      </c>
    </row>
    <row r="42" spans="1:11" x14ac:dyDescent="0.25">
      <c r="A42" s="61" t="e">
        <f t="shared" si="0"/>
        <v>#N/A</v>
      </c>
      <c r="B42" s="107" t="e">
        <f t="shared" si="1"/>
        <v>#N/A</v>
      </c>
      <c r="C42" s="113" t="e">
        <f t="shared" si="2"/>
        <v>#N/A</v>
      </c>
      <c r="D42" s="110" t="e">
        <f t="shared" si="3"/>
        <v>#N/A</v>
      </c>
      <c r="H42" s="115" t="e">
        <f>VLOOKUP(38,Order!A$14:U$1980,4,TRUE)</f>
        <v>#N/A</v>
      </c>
      <c r="I42" s="115" t="e">
        <f>VLOOKUP(38,Order!A$14:U$1980,2,TRUE)</f>
        <v>#N/A</v>
      </c>
      <c r="J42" s="115" t="e">
        <f>VLOOKUP(38,Order!A$14:U$1980,20,TRUE)</f>
        <v>#N/A</v>
      </c>
      <c r="K42" s="115" t="e">
        <f>VLOOKUP(38,Order!A$14:V$1980,3,FALSE)</f>
        <v>#N/A</v>
      </c>
    </row>
    <row r="43" spans="1:11" x14ac:dyDescent="0.25">
      <c r="A43" s="61" t="e">
        <f t="shared" si="0"/>
        <v>#N/A</v>
      </c>
      <c r="B43" s="107" t="e">
        <f t="shared" si="1"/>
        <v>#N/A</v>
      </c>
      <c r="C43" s="113" t="e">
        <f t="shared" si="2"/>
        <v>#N/A</v>
      </c>
      <c r="D43" s="110" t="e">
        <f t="shared" si="3"/>
        <v>#N/A</v>
      </c>
      <c r="H43" s="115" t="e">
        <f>VLOOKUP(39,Order!A$14:U$1980,4,TRUE)</f>
        <v>#N/A</v>
      </c>
      <c r="I43" s="115" t="e">
        <f>VLOOKUP(39,Order!A$14:U$1980,2,TRUE)</f>
        <v>#N/A</v>
      </c>
      <c r="J43" s="115" t="e">
        <f>VLOOKUP(39,Order!A$14:U$1980,20,TRUE)</f>
        <v>#N/A</v>
      </c>
      <c r="K43" s="115" t="e">
        <f>VLOOKUP(39,Order!A$14:V$1980,3,FALSE)</f>
        <v>#N/A</v>
      </c>
    </row>
    <row r="44" spans="1:11" x14ac:dyDescent="0.25">
      <c r="A44" s="61" t="e">
        <f t="shared" si="0"/>
        <v>#N/A</v>
      </c>
      <c r="B44" s="107" t="e">
        <f t="shared" si="1"/>
        <v>#N/A</v>
      </c>
      <c r="C44" s="113" t="e">
        <f t="shared" si="2"/>
        <v>#N/A</v>
      </c>
      <c r="D44" s="110" t="e">
        <f t="shared" si="3"/>
        <v>#N/A</v>
      </c>
      <c r="H44" s="115" t="e">
        <f>VLOOKUP(40,Order!A$14:U$1980,4,TRUE)</f>
        <v>#N/A</v>
      </c>
      <c r="I44" s="115" t="e">
        <f>VLOOKUP(40,Order!A$14:U$1980,2,TRUE)</f>
        <v>#N/A</v>
      </c>
      <c r="J44" s="115" t="e">
        <f>VLOOKUP(40,Order!A$14:U$1980,20,TRUE)</f>
        <v>#N/A</v>
      </c>
      <c r="K44" s="115" t="e">
        <f>VLOOKUP(40,Order!A$14:V$1980,3,FALSE)</f>
        <v>#N/A</v>
      </c>
    </row>
    <row r="45" spans="1:11" x14ac:dyDescent="0.25">
      <c r="A45" s="61" t="e">
        <f t="shared" si="0"/>
        <v>#N/A</v>
      </c>
      <c r="B45" s="107" t="e">
        <f t="shared" si="1"/>
        <v>#N/A</v>
      </c>
      <c r="C45" s="113" t="e">
        <f t="shared" si="2"/>
        <v>#N/A</v>
      </c>
      <c r="D45" s="110" t="e">
        <f t="shared" si="3"/>
        <v>#N/A</v>
      </c>
      <c r="H45" s="115" t="e">
        <f>VLOOKUP(41,Order!A$14:U$1980,4,TRUE)</f>
        <v>#N/A</v>
      </c>
      <c r="I45" s="115" t="e">
        <f>VLOOKUP(41,Order!A$14:U$1980,2,TRUE)</f>
        <v>#N/A</v>
      </c>
      <c r="J45" s="115" t="e">
        <f>VLOOKUP(41,Order!A$14:U$1980,20,TRUE)</f>
        <v>#N/A</v>
      </c>
      <c r="K45" s="115" t="e">
        <f>VLOOKUP(41,Order!A$14:V$1980,3,FALSE)</f>
        <v>#N/A</v>
      </c>
    </row>
    <row r="46" spans="1:11" x14ac:dyDescent="0.25">
      <c r="A46" s="61" t="e">
        <f t="shared" si="0"/>
        <v>#N/A</v>
      </c>
      <c r="B46" s="107" t="e">
        <f t="shared" si="1"/>
        <v>#N/A</v>
      </c>
      <c r="C46" s="113" t="e">
        <f t="shared" si="2"/>
        <v>#N/A</v>
      </c>
      <c r="D46" s="110" t="e">
        <f t="shared" si="3"/>
        <v>#N/A</v>
      </c>
      <c r="H46" s="115" t="e">
        <f>VLOOKUP(42,Order!A$14:U$1980,4,TRUE)</f>
        <v>#N/A</v>
      </c>
      <c r="I46" s="115" t="e">
        <f>VLOOKUP(42,Order!A$14:U$1980,2,TRUE)</f>
        <v>#N/A</v>
      </c>
      <c r="J46" s="115" t="e">
        <f>VLOOKUP(42,Order!A$14:U$1980,20,TRUE)</f>
        <v>#N/A</v>
      </c>
      <c r="K46" s="115" t="e">
        <f>VLOOKUP(42,Order!A$14:V$1980,3,FALSE)</f>
        <v>#N/A</v>
      </c>
    </row>
    <row r="47" spans="1:11" x14ac:dyDescent="0.25">
      <c r="A47" s="61" t="e">
        <f t="shared" si="0"/>
        <v>#N/A</v>
      </c>
      <c r="B47" s="107" t="e">
        <f t="shared" si="1"/>
        <v>#N/A</v>
      </c>
      <c r="C47" s="113" t="e">
        <f t="shared" si="2"/>
        <v>#N/A</v>
      </c>
      <c r="D47" s="110" t="e">
        <f t="shared" si="3"/>
        <v>#N/A</v>
      </c>
      <c r="H47" s="115" t="e">
        <f>VLOOKUP(43,Order!A$14:U$1980,4,TRUE)</f>
        <v>#N/A</v>
      </c>
      <c r="I47" s="115" t="e">
        <f>VLOOKUP(43,Order!A$14:U$1980,2,TRUE)</f>
        <v>#N/A</v>
      </c>
      <c r="J47" s="115" t="e">
        <f>VLOOKUP(43,Order!A$14:U$1980,20,TRUE)</f>
        <v>#N/A</v>
      </c>
      <c r="K47" s="115" t="e">
        <f>VLOOKUP(43,Order!A$14:V$1980,3,FALSE)</f>
        <v>#N/A</v>
      </c>
    </row>
    <row r="48" spans="1:11" x14ac:dyDescent="0.25">
      <c r="A48" s="61" t="e">
        <f t="shared" si="0"/>
        <v>#N/A</v>
      </c>
      <c r="B48" s="107" t="e">
        <f t="shared" si="1"/>
        <v>#N/A</v>
      </c>
      <c r="C48" s="113" t="e">
        <f t="shared" si="2"/>
        <v>#N/A</v>
      </c>
      <c r="D48" s="110" t="e">
        <f t="shared" si="3"/>
        <v>#N/A</v>
      </c>
      <c r="H48" s="115" t="e">
        <f>VLOOKUP(44,Order!A$14:U$1980,4,TRUE)</f>
        <v>#N/A</v>
      </c>
      <c r="I48" s="115" t="e">
        <f>VLOOKUP(44,Order!A$14:U$1980,2,TRUE)</f>
        <v>#N/A</v>
      </c>
      <c r="J48" s="115" t="e">
        <f>VLOOKUP(44,Order!A$14:U$1980,20,TRUE)</f>
        <v>#N/A</v>
      </c>
      <c r="K48" s="115" t="e">
        <f>VLOOKUP(44,Order!A$14:V$1980,3,FALSE)</f>
        <v>#N/A</v>
      </c>
    </row>
    <row r="49" spans="1:11" x14ac:dyDescent="0.25">
      <c r="A49" s="61" t="e">
        <f t="shared" si="0"/>
        <v>#N/A</v>
      </c>
      <c r="B49" s="107" t="e">
        <f t="shared" si="1"/>
        <v>#N/A</v>
      </c>
      <c r="C49" s="113" t="e">
        <f t="shared" si="2"/>
        <v>#N/A</v>
      </c>
      <c r="D49" s="110" t="e">
        <f t="shared" si="3"/>
        <v>#N/A</v>
      </c>
      <c r="H49" s="115" t="e">
        <f>VLOOKUP(45,Order!A$14:U$1980,4,TRUE)</f>
        <v>#N/A</v>
      </c>
      <c r="I49" s="115" t="e">
        <f>VLOOKUP(45,Order!A$14:U$1980,2,TRUE)</f>
        <v>#N/A</v>
      </c>
      <c r="J49" s="115" t="e">
        <f>VLOOKUP(45,Order!A$14:U$1980,20,TRUE)</f>
        <v>#N/A</v>
      </c>
      <c r="K49" s="115" t="e">
        <f>VLOOKUP(45,Order!A$14:V$1980,3,FALSE)</f>
        <v>#N/A</v>
      </c>
    </row>
    <row r="50" spans="1:11" x14ac:dyDescent="0.25">
      <c r="A50" s="61" t="e">
        <f t="shared" si="0"/>
        <v>#N/A</v>
      </c>
      <c r="B50" s="107" t="e">
        <f t="shared" si="1"/>
        <v>#N/A</v>
      </c>
      <c r="C50" s="113" t="e">
        <f t="shared" si="2"/>
        <v>#N/A</v>
      </c>
      <c r="D50" s="110" t="e">
        <f t="shared" si="3"/>
        <v>#N/A</v>
      </c>
      <c r="H50" s="115" t="e">
        <f>VLOOKUP(46,Order!A$14:U$1980,4,TRUE)</f>
        <v>#N/A</v>
      </c>
      <c r="I50" s="115" t="e">
        <f>VLOOKUP(46,Order!A$14:U$1980,2,TRUE)</f>
        <v>#N/A</v>
      </c>
      <c r="J50" s="115" t="e">
        <f>VLOOKUP(46,Order!A$14:U$1980,20,TRUE)</f>
        <v>#N/A</v>
      </c>
      <c r="K50" s="115" t="e">
        <f>VLOOKUP(46,Order!A$14:V$1980,3,FALSE)</f>
        <v>#N/A</v>
      </c>
    </row>
    <row r="51" spans="1:11" x14ac:dyDescent="0.25">
      <c r="A51" s="61" t="e">
        <f t="shared" si="0"/>
        <v>#N/A</v>
      </c>
      <c r="B51" s="107" t="e">
        <f t="shared" si="1"/>
        <v>#N/A</v>
      </c>
      <c r="C51" s="113" t="e">
        <f t="shared" si="2"/>
        <v>#N/A</v>
      </c>
      <c r="D51" s="110" t="e">
        <f t="shared" si="3"/>
        <v>#N/A</v>
      </c>
      <c r="H51" s="115" t="e">
        <f>VLOOKUP(47,Order!A$14:U$1980,4,TRUE)</f>
        <v>#N/A</v>
      </c>
      <c r="I51" s="115" t="e">
        <f>VLOOKUP(47,Order!A$14:U$1980,2,TRUE)</f>
        <v>#N/A</v>
      </c>
      <c r="J51" s="115" t="e">
        <f>VLOOKUP(47,Order!A$14:U$1980,20,TRUE)</f>
        <v>#N/A</v>
      </c>
      <c r="K51" s="115" t="e">
        <f>VLOOKUP(47,Order!A$14:V$1980,3,FALSE)</f>
        <v>#N/A</v>
      </c>
    </row>
    <row r="52" spans="1:11" x14ac:dyDescent="0.25">
      <c r="A52" s="61" t="e">
        <f t="shared" si="0"/>
        <v>#N/A</v>
      </c>
      <c r="B52" s="107" t="e">
        <f t="shared" si="1"/>
        <v>#N/A</v>
      </c>
      <c r="C52" s="113" t="e">
        <f t="shared" si="2"/>
        <v>#N/A</v>
      </c>
      <c r="D52" s="110" t="e">
        <f t="shared" si="3"/>
        <v>#N/A</v>
      </c>
      <c r="H52" s="115" t="e">
        <f>VLOOKUP(47,Order!A$14:U$1980,4,TRUE)</f>
        <v>#N/A</v>
      </c>
      <c r="I52" s="115" t="e">
        <f>VLOOKUP(48,Order!A$14:U$1980,2,TRUE)</f>
        <v>#N/A</v>
      </c>
      <c r="J52" s="115" t="e">
        <f>VLOOKUP(48,Order!A$14:U$1980,20,TRUE)</f>
        <v>#N/A</v>
      </c>
      <c r="K52" s="115" t="e">
        <f>VLOOKUP(48,Order!A$14:V$1980,3,FALSE)</f>
        <v>#N/A</v>
      </c>
    </row>
    <row r="53" spans="1:11" x14ac:dyDescent="0.25">
      <c r="A53" s="61" t="e">
        <f t="shared" si="0"/>
        <v>#N/A</v>
      </c>
      <c r="B53" s="107" t="e">
        <f t="shared" si="1"/>
        <v>#N/A</v>
      </c>
      <c r="C53" s="113" t="e">
        <f t="shared" si="2"/>
        <v>#N/A</v>
      </c>
      <c r="D53" s="110" t="e">
        <f t="shared" si="3"/>
        <v>#N/A</v>
      </c>
      <c r="H53" s="115" t="e">
        <f>VLOOKUP(49,Order!A$14:U$1980,4,TRUE)</f>
        <v>#N/A</v>
      </c>
      <c r="I53" s="115" t="e">
        <f>VLOOKUP(49,Order!A$14:U$1980,2,TRUE)</f>
        <v>#N/A</v>
      </c>
      <c r="J53" s="115" t="e">
        <f>VLOOKUP(49,Order!A$14:U$1980,20,TRUE)</f>
        <v>#N/A</v>
      </c>
      <c r="K53" s="115" t="e">
        <f>VLOOKUP(49,Order!A$14:V$1980,3,FALSE)</f>
        <v>#N/A</v>
      </c>
    </row>
    <row r="54" spans="1:11" x14ac:dyDescent="0.25">
      <c r="A54" s="61" t="e">
        <f t="shared" si="0"/>
        <v>#N/A</v>
      </c>
      <c r="B54" s="107" t="e">
        <f t="shared" si="1"/>
        <v>#N/A</v>
      </c>
      <c r="C54" s="113" t="e">
        <f t="shared" si="2"/>
        <v>#N/A</v>
      </c>
      <c r="D54" s="110" t="e">
        <f t="shared" si="3"/>
        <v>#N/A</v>
      </c>
      <c r="H54" s="115" t="e">
        <f>VLOOKUP(50,Order!A$14:U$1980,4,TRUE)</f>
        <v>#N/A</v>
      </c>
      <c r="I54" s="115" t="e">
        <f>VLOOKUP(50,Order!A$14:U$1980,2,TRUE)</f>
        <v>#N/A</v>
      </c>
      <c r="J54" s="115" t="e">
        <f>VLOOKUP(50,Order!A$14:U$1980,20,TRUE)</f>
        <v>#N/A</v>
      </c>
      <c r="K54" s="115" t="e">
        <f>VLOOKUP(50,Order!A$14:V$1980,3,FALSE)</f>
        <v>#N/A</v>
      </c>
    </row>
    <row r="55" spans="1:11" x14ac:dyDescent="0.25">
      <c r="A55" s="61" t="e">
        <f t="shared" si="0"/>
        <v>#N/A</v>
      </c>
      <c r="B55" s="107" t="e">
        <f t="shared" si="1"/>
        <v>#N/A</v>
      </c>
      <c r="C55" s="113" t="e">
        <f t="shared" si="2"/>
        <v>#N/A</v>
      </c>
      <c r="D55" s="110" t="e">
        <f t="shared" si="3"/>
        <v>#N/A</v>
      </c>
      <c r="H55" s="115" t="e">
        <f>VLOOKUP(51,Order!A$14:U$1980,4,TRUE)</f>
        <v>#N/A</v>
      </c>
      <c r="I55" s="115" t="e">
        <f>VLOOKUP(51,Order!A$14:U$1980,2,TRUE)</f>
        <v>#N/A</v>
      </c>
      <c r="J55" s="115" t="e">
        <f>VLOOKUP(51,Order!A$14:U$1980,20,TRUE)</f>
        <v>#N/A</v>
      </c>
      <c r="K55" s="115" t="e">
        <f>VLOOKUP(51,Order!A$14:V$1980,3,FALSE)</f>
        <v>#N/A</v>
      </c>
    </row>
    <row r="56" spans="1:11" x14ac:dyDescent="0.25">
      <c r="A56" s="61" t="e">
        <f t="shared" si="0"/>
        <v>#N/A</v>
      </c>
      <c r="B56" s="107" t="e">
        <f t="shared" si="1"/>
        <v>#N/A</v>
      </c>
      <c r="C56" s="113" t="e">
        <f t="shared" si="2"/>
        <v>#N/A</v>
      </c>
      <c r="D56" s="110" t="e">
        <f t="shared" si="3"/>
        <v>#N/A</v>
      </c>
      <c r="H56" s="115" t="e">
        <f>VLOOKUP(52,Order!A$14:U$1980,4,TRUE)</f>
        <v>#N/A</v>
      </c>
      <c r="I56" s="115" t="e">
        <f>VLOOKUP(52,Order!A$14:U$1980,2,TRUE)</f>
        <v>#N/A</v>
      </c>
      <c r="J56" s="115" t="e">
        <f>VLOOKUP(52,Order!A$14:U$1980,20,TRUE)</f>
        <v>#N/A</v>
      </c>
      <c r="K56" s="115" t="e">
        <f>VLOOKUP(52,Order!A$14:V$1980,3,FALSE)</f>
        <v>#N/A</v>
      </c>
    </row>
    <row r="57" spans="1:11" x14ac:dyDescent="0.25">
      <c r="A57" s="61" t="e">
        <f t="shared" si="0"/>
        <v>#N/A</v>
      </c>
      <c r="B57" s="107" t="e">
        <f t="shared" si="1"/>
        <v>#N/A</v>
      </c>
      <c r="C57" s="113" t="e">
        <f t="shared" si="2"/>
        <v>#N/A</v>
      </c>
      <c r="D57" s="110" t="e">
        <f t="shared" si="3"/>
        <v>#N/A</v>
      </c>
      <c r="H57" s="115" t="e">
        <f>VLOOKUP(53,Order!A$14:U$1980,4,TRUE)</f>
        <v>#N/A</v>
      </c>
      <c r="I57" s="115" t="e">
        <f>VLOOKUP(53,Order!A$14:U$1980,2,TRUE)</f>
        <v>#N/A</v>
      </c>
      <c r="J57" s="115" t="e">
        <f>VLOOKUP(53,Order!A$14:U$1980,20,TRUE)</f>
        <v>#N/A</v>
      </c>
      <c r="K57" s="115" t="e">
        <f>VLOOKUP(53,Order!A$14:V$1980,3,FALSE)</f>
        <v>#N/A</v>
      </c>
    </row>
    <row r="58" spans="1:11" x14ac:dyDescent="0.25">
      <c r="A58" s="61" t="e">
        <f t="shared" si="0"/>
        <v>#N/A</v>
      </c>
      <c r="B58" s="107" t="e">
        <f t="shared" si="1"/>
        <v>#N/A</v>
      </c>
      <c r="C58" s="113" t="e">
        <f t="shared" si="2"/>
        <v>#N/A</v>
      </c>
      <c r="D58" s="110" t="e">
        <f t="shared" si="3"/>
        <v>#N/A</v>
      </c>
      <c r="H58" s="115" t="e">
        <f>VLOOKUP(54,Order!A$14:U$1980,4,TRUE)</f>
        <v>#N/A</v>
      </c>
      <c r="I58" s="115" t="e">
        <f>VLOOKUP(54,Order!A$14:U$1980,2,TRUE)</f>
        <v>#N/A</v>
      </c>
      <c r="J58" s="115" t="e">
        <f>VLOOKUP(54,Order!A$14:U$1980,20,TRUE)</f>
        <v>#N/A</v>
      </c>
      <c r="K58" s="115" t="e">
        <f>VLOOKUP(54,Order!A$14:V$1980,3,FALSE)</f>
        <v>#N/A</v>
      </c>
    </row>
    <row r="59" spans="1:11" x14ac:dyDescent="0.25">
      <c r="A59" s="61" t="e">
        <f t="shared" si="0"/>
        <v>#N/A</v>
      </c>
      <c r="B59" s="107" t="e">
        <f t="shared" si="1"/>
        <v>#N/A</v>
      </c>
      <c r="C59" s="113" t="e">
        <f t="shared" si="2"/>
        <v>#N/A</v>
      </c>
      <c r="D59" s="110" t="e">
        <f t="shared" si="3"/>
        <v>#N/A</v>
      </c>
      <c r="H59" s="115" t="e">
        <f>VLOOKUP(55,Order!A$14:U$1980,4,TRUE)</f>
        <v>#N/A</v>
      </c>
      <c r="I59" s="115" t="e">
        <f>VLOOKUP(55,Order!A$14:U$1980,2,TRUE)</f>
        <v>#N/A</v>
      </c>
      <c r="J59" s="115" t="e">
        <f>VLOOKUP(55,Order!A$14:U$1980,20,TRUE)</f>
        <v>#N/A</v>
      </c>
      <c r="K59" s="115" t="e">
        <f>VLOOKUP(55,Order!A$14:V$1980,3,FALSE)</f>
        <v>#N/A</v>
      </c>
    </row>
    <row r="60" spans="1:11" x14ac:dyDescent="0.25">
      <c r="A60" s="61" t="e">
        <f t="shared" si="0"/>
        <v>#N/A</v>
      </c>
      <c r="B60" s="107" t="e">
        <f t="shared" si="1"/>
        <v>#N/A</v>
      </c>
      <c r="C60" s="113" t="e">
        <f t="shared" si="2"/>
        <v>#N/A</v>
      </c>
      <c r="D60" s="110" t="e">
        <f t="shared" si="3"/>
        <v>#N/A</v>
      </c>
      <c r="H60" s="115" t="e">
        <f>VLOOKUP(56,Order!A$14:U$1980,4,TRUE)</f>
        <v>#N/A</v>
      </c>
      <c r="I60" s="115" t="e">
        <f>VLOOKUP(56,Order!A$14:U$1980,2,TRUE)</f>
        <v>#N/A</v>
      </c>
      <c r="J60" s="115" t="e">
        <f>VLOOKUP(56,Order!A$14:U$1980,20,TRUE)</f>
        <v>#N/A</v>
      </c>
      <c r="K60" s="115" t="e">
        <f>VLOOKUP(56,Order!A$14:V$1980,3,FALSE)</f>
        <v>#N/A</v>
      </c>
    </row>
    <row r="61" spans="1:11" x14ac:dyDescent="0.25">
      <c r="A61" s="61" t="e">
        <f t="shared" si="0"/>
        <v>#N/A</v>
      </c>
      <c r="B61" s="107" t="e">
        <f t="shared" si="1"/>
        <v>#N/A</v>
      </c>
      <c r="C61" s="113" t="e">
        <f t="shared" si="2"/>
        <v>#N/A</v>
      </c>
      <c r="D61" s="110" t="e">
        <f t="shared" si="3"/>
        <v>#N/A</v>
      </c>
      <c r="H61" s="115" t="e">
        <f>VLOOKUP(57,Order!A$14:U$1980,4,TRUE)</f>
        <v>#N/A</v>
      </c>
      <c r="I61" s="115" t="e">
        <f>VLOOKUP(57,Order!A$14:U$1980,2,TRUE)</f>
        <v>#N/A</v>
      </c>
      <c r="J61" s="115" t="e">
        <f>VLOOKUP(57,Order!A$14:U$1980,20,TRUE)</f>
        <v>#N/A</v>
      </c>
      <c r="K61" s="115" t="e">
        <f>VLOOKUP(57,Order!A$14:V$1980,3,FALSE)</f>
        <v>#N/A</v>
      </c>
    </row>
    <row r="62" spans="1:11" x14ac:dyDescent="0.25">
      <c r="A62" s="61" t="e">
        <f t="shared" si="0"/>
        <v>#N/A</v>
      </c>
      <c r="B62" s="107" t="e">
        <f t="shared" si="1"/>
        <v>#N/A</v>
      </c>
      <c r="C62" s="113" t="e">
        <f t="shared" si="2"/>
        <v>#N/A</v>
      </c>
      <c r="D62" s="110" t="e">
        <f t="shared" si="3"/>
        <v>#N/A</v>
      </c>
      <c r="H62" s="115" t="e">
        <f>VLOOKUP(58,Order!A$14:U$1980,4,TRUE)</f>
        <v>#N/A</v>
      </c>
      <c r="I62" s="115" t="e">
        <f>VLOOKUP(58,Order!A$14:U$1980,2,TRUE)</f>
        <v>#N/A</v>
      </c>
      <c r="J62" s="115" t="e">
        <f>VLOOKUP(58,Order!A$14:U$1980,20,TRUE)</f>
        <v>#N/A</v>
      </c>
      <c r="K62" s="115" t="e">
        <f>VLOOKUP(58,Order!A$14:V$1980,3,FALSE)</f>
        <v>#N/A</v>
      </c>
    </row>
    <row r="63" spans="1:11" x14ac:dyDescent="0.25">
      <c r="A63" s="61" t="e">
        <f t="shared" si="0"/>
        <v>#N/A</v>
      </c>
      <c r="B63" s="107" t="e">
        <f t="shared" si="1"/>
        <v>#N/A</v>
      </c>
      <c r="C63" s="113" t="e">
        <f t="shared" si="2"/>
        <v>#N/A</v>
      </c>
      <c r="D63" s="110" t="e">
        <f t="shared" si="3"/>
        <v>#N/A</v>
      </c>
      <c r="H63" s="115" t="e">
        <f>VLOOKUP(59,Order!A$14:U$1980,4,TRUE)</f>
        <v>#N/A</v>
      </c>
      <c r="I63" s="115" t="e">
        <f>VLOOKUP(59,Order!A$14:U$1980,2,TRUE)</f>
        <v>#N/A</v>
      </c>
      <c r="J63" s="115" t="e">
        <f>VLOOKUP(59,Order!A$14:U$1980,20,TRUE)</f>
        <v>#N/A</v>
      </c>
      <c r="K63" s="115" t="e">
        <f>VLOOKUP(59,Order!A$14:V$1980,3,FALSE)</f>
        <v>#N/A</v>
      </c>
    </row>
    <row r="64" spans="1:11" x14ac:dyDescent="0.25">
      <c r="A64" s="61" t="e">
        <f t="shared" si="0"/>
        <v>#N/A</v>
      </c>
      <c r="B64" s="107" t="e">
        <f t="shared" si="1"/>
        <v>#N/A</v>
      </c>
      <c r="C64" s="113" t="e">
        <f t="shared" si="2"/>
        <v>#N/A</v>
      </c>
      <c r="D64" s="110" t="e">
        <f t="shared" si="3"/>
        <v>#N/A</v>
      </c>
      <c r="H64" s="115" t="e">
        <f>VLOOKUP(60,Order!A$14:U$1980,4,TRUE)</f>
        <v>#N/A</v>
      </c>
      <c r="I64" s="115" t="e">
        <f>VLOOKUP(60,Order!A$14:U$1980,2,TRUE)</f>
        <v>#N/A</v>
      </c>
      <c r="J64" s="115" t="e">
        <f>VLOOKUP(60,Order!A$14:U$1980,20,TRUE)</f>
        <v>#N/A</v>
      </c>
      <c r="K64" s="115" t="e">
        <f>VLOOKUP(60,Order!A$14:V$1980,3,FALSE)</f>
        <v>#N/A</v>
      </c>
    </row>
    <row r="65" spans="1:11" x14ac:dyDescent="0.25">
      <c r="A65" s="61" t="e">
        <f t="shared" si="0"/>
        <v>#N/A</v>
      </c>
      <c r="B65" s="107" t="e">
        <f t="shared" si="1"/>
        <v>#N/A</v>
      </c>
      <c r="C65" s="113" t="e">
        <f t="shared" si="2"/>
        <v>#N/A</v>
      </c>
      <c r="D65" s="110" t="e">
        <f t="shared" si="3"/>
        <v>#N/A</v>
      </c>
      <c r="H65" s="115" t="e">
        <f>VLOOKUP(61,Order!A$14:U$1980,4,TRUE)</f>
        <v>#N/A</v>
      </c>
      <c r="I65" s="115" t="e">
        <f>VLOOKUP(61,Order!A$14:U$1980,2,TRUE)</f>
        <v>#N/A</v>
      </c>
      <c r="J65" s="115" t="e">
        <f>VLOOKUP(61,Order!A$14:U$1980,20,TRUE)</f>
        <v>#N/A</v>
      </c>
      <c r="K65" s="115" t="e">
        <f>VLOOKUP(61,Order!A$14:V$1980,3,FALSE)</f>
        <v>#N/A</v>
      </c>
    </row>
    <row r="66" spans="1:11" x14ac:dyDescent="0.25">
      <c r="A66" s="61" t="e">
        <f t="shared" si="0"/>
        <v>#N/A</v>
      </c>
      <c r="B66" s="107" t="e">
        <f t="shared" si="1"/>
        <v>#N/A</v>
      </c>
      <c r="C66" s="113" t="e">
        <f t="shared" si="2"/>
        <v>#N/A</v>
      </c>
      <c r="D66" s="110" t="e">
        <f t="shared" si="3"/>
        <v>#N/A</v>
      </c>
      <c r="H66" s="115" t="e">
        <f>VLOOKUP(62,Order!A$14:U$1980,4,TRUE)</f>
        <v>#N/A</v>
      </c>
      <c r="I66" s="115" t="e">
        <f>VLOOKUP(62,Order!A$14:U$1980,2,TRUE)</f>
        <v>#N/A</v>
      </c>
      <c r="J66" s="115" t="e">
        <f>VLOOKUP(62,Order!A$14:U$1980,20,TRUE)</f>
        <v>#N/A</v>
      </c>
      <c r="K66" s="115" t="e">
        <f>VLOOKUP(62,Order!A$14:V$1980,3,FALSE)</f>
        <v>#N/A</v>
      </c>
    </row>
    <row r="67" spans="1:11" x14ac:dyDescent="0.25">
      <c r="A67" s="61" t="e">
        <f t="shared" si="0"/>
        <v>#N/A</v>
      </c>
      <c r="B67" s="107" t="e">
        <f t="shared" si="1"/>
        <v>#N/A</v>
      </c>
      <c r="C67" s="113" t="e">
        <f t="shared" si="2"/>
        <v>#N/A</v>
      </c>
      <c r="D67" s="110" t="e">
        <f t="shared" si="3"/>
        <v>#N/A</v>
      </c>
      <c r="H67" s="115" t="e">
        <f>VLOOKUP(63,Order!A$14:U$1980,4,TRUE)</f>
        <v>#N/A</v>
      </c>
      <c r="I67" s="115" t="e">
        <f>VLOOKUP(63,Order!A$14:U$1980,2,TRUE)</f>
        <v>#N/A</v>
      </c>
      <c r="J67" s="115" t="e">
        <f>VLOOKUP(63,Order!A$14:U$1980,20,TRUE)</f>
        <v>#N/A</v>
      </c>
      <c r="K67" s="115" t="e">
        <f>VLOOKUP(63,Order!A$14:V$1980,3,FALSE)</f>
        <v>#N/A</v>
      </c>
    </row>
    <row r="68" spans="1:11" x14ac:dyDescent="0.25">
      <c r="A68" s="61" t="e">
        <f t="shared" si="0"/>
        <v>#N/A</v>
      </c>
      <c r="B68" s="107" t="e">
        <f t="shared" si="1"/>
        <v>#N/A</v>
      </c>
      <c r="C68" s="113" t="e">
        <f t="shared" si="2"/>
        <v>#N/A</v>
      </c>
      <c r="D68" s="110" t="e">
        <f t="shared" si="3"/>
        <v>#N/A</v>
      </c>
      <c r="H68" s="115" t="e">
        <f>VLOOKUP(64,Order!A$14:U$1980,4,TRUE)</f>
        <v>#N/A</v>
      </c>
      <c r="I68" s="115" t="e">
        <f>VLOOKUP(64,Order!A$14:U$1980,2,TRUE)</f>
        <v>#N/A</v>
      </c>
      <c r="J68" s="115" t="e">
        <f>VLOOKUP(64,Order!A$14:U$1980,20,TRUE)</f>
        <v>#N/A</v>
      </c>
      <c r="K68" s="115" t="e">
        <f>VLOOKUP(64,Order!A$14:V$1980,3,FALSE)</f>
        <v>#N/A</v>
      </c>
    </row>
    <row r="69" spans="1:11" x14ac:dyDescent="0.25">
      <c r="A69" s="61" t="e">
        <f t="shared" si="0"/>
        <v>#N/A</v>
      </c>
      <c r="B69" s="107" t="e">
        <f t="shared" si="1"/>
        <v>#N/A</v>
      </c>
      <c r="C69" s="113" t="e">
        <f t="shared" si="2"/>
        <v>#N/A</v>
      </c>
      <c r="D69" s="110" t="e">
        <f t="shared" si="3"/>
        <v>#N/A</v>
      </c>
      <c r="H69" s="115" t="e">
        <f>VLOOKUP(65,Order!A$14:U$1980,4,TRUE)</f>
        <v>#N/A</v>
      </c>
      <c r="I69" s="115" t="e">
        <f>VLOOKUP(65,Order!A$14:U$1980,2,TRUE)</f>
        <v>#N/A</v>
      </c>
      <c r="J69" s="115" t="e">
        <f>VLOOKUP(65,Order!A$14:U$1980,20,TRUE)</f>
        <v>#N/A</v>
      </c>
      <c r="K69" s="115" t="e">
        <f>VLOOKUP(65,Order!A$14:V$1980,3,FALSE)</f>
        <v>#N/A</v>
      </c>
    </row>
    <row r="70" spans="1:11" x14ac:dyDescent="0.25">
      <c r="A70" s="61" t="e">
        <f t="shared" si="0"/>
        <v>#N/A</v>
      </c>
      <c r="B70" s="107" t="e">
        <f t="shared" si="1"/>
        <v>#N/A</v>
      </c>
      <c r="C70" s="113" t="e">
        <f t="shared" si="2"/>
        <v>#N/A</v>
      </c>
      <c r="D70" s="110" t="e">
        <f t="shared" si="3"/>
        <v>#N/A</v>
      </c>
      <c r="H70" s="115" t="e">
        <f>VLOOKUP(66,Order!A$14:U$1980,4,TRUE)</f>
        <v>#N/A</v>
      </c>
      <c r="I70" s="115" t="e">
        <f>VLOOKUP(66,Order!A$14:U$1980,2,TRUE)</f>
        <v>#N/A</v>
      </c>
      <c r="J70" s="115" t="e">
        <f>VLOOKUP(66,Order!A$14:U$1980,20,TRUE)</f>
        <v>#N/A</v>
      </c>
      <c r="K70" s="115" t="e">
        <f>VLOOKUP(66,Order!A$14:V$1980,3,FALSE)</f>
        <v>#N/A</v>
      </c>
    </row>
    <row r="71" spans="1:11" x14ac:dyDescent="0.25">
      <c r="A71" s="61" t="e">
        <f t="shared" ref="A71:A104" si="4">IF(J71=0,"",IF(J71=J70,"",J71))</f>
        <v>#N/A</v>
      </c>
      <c r="B71" s="107" t="e">
        <f t="shared" ref="B71:B104" si="5">IF(H71=H70,"",H71)</f>
        <v>#N/A</v>
      </c>
      <c r="C71" s="113" t="e">
        <f t="shared" ref="C71:C104" si="6">IF(H71=H70,"",I71)</f>
        <v>#N/A</v>
      </c>
      <c r="D71" s="110" t="e">
        <f t="shared" ref="D71:D104" si="7">IF(H71=H70,"",K71)</f>
        <v>#N/A</v>
      </c>
      <c r="H71" s="115" t="e">
        <f>VLOOKUP(67,Order!A$14:U$1980,4,TRUE)</f>
        <v>#N/A</v>
      </c>
      <c r="I71" s="115" t="e">
        <f>VLOOKUP(67,Order!A$14:U$1980,2,TRUE)</f>
        <v>#N/A</v>
      </c>
      <c r="J71" s="115" t="e">
        <f>VLOOKUP(67,Order!A$14:U$1980,20,TRUE)</f>
        <v>#N/A</v>
      </c>
      <c r="K71" s="115" t="e">
        <f>VLOOKUP(67,Order!A$14:V$1980,3,FALSE)</f>
        <v>#N/A</v>
      </c>
    </row>
    <row r="72" spans="1:11" x14ac:dyDescent="0.25">
      <c r="A72" s="61" t="e">
        <f t="shared" si="4"/>
        <v>#N/A</v>
      </c>
      <c r="B72" s="107" t="e">
        <f t="shared" si="5"/>
        <v>#N/A</v>
      </c>
      <c r="C72" s="113" t="e">
        <f t="shared" si="6"/>
        <v>#N/A</v>
      </c>
      <c r="D72" s="110" t="e">
        <f t="shared" si="7"/>
        <v>#N/A</v>
      </c>
      <c r="H72" s="115" t="e">
        <f>VLOOKUP(68,Order!A$14:U$1980,4,TRUE)</f>
        <v>#N/A</v>
      </c>
      <c r="I72" s="115" t="e">
        <f>VLOOKUP(68,Order!A$14:U$1980,2,TRUE)</f>
        <v>#N/A</v>
      </c>
      <c r="J72" s="115" t="e">
        <f>VLOOKUP(68,Order!A$14:U$1980,20,TRUE)</f>
        <v>#N/A</v>
      </c>
      <c r="K72" s="115" t="e">
        <f>VLOOKUP(68,Order!A$14:V$1980,3,FALSE)</f>
        <v>#N/A</v>
      </c>
    </row>
    <row r="73" spans="1:11" x14ac:dyDescent="0.25">
      <c r="A73" s="61" t="e">
        <f t="shared" si="4"/>
        <v>#N/A</v>
      </c>
      <c r="B73" s="107" t="e">
        <f t="shared" si="5"/>
        <v>#N/A</v>
      </c>
      <c r="C73" s="113" t="e">
        <f t="shared" si="6"/>
        <v>#N/A</v>
      </c>
      <c r="D73" s="110" t="e">
        <f t="shared" si="7"/>
        <v>#N/A</v>
      </c>
      <c r="H73" s="115" t="e">
        <f>VLOOKUP(69,Order!A$14:U$1980,4,TRUE)</f>
        <v>#N/A</v>
      </c>
      <c r="I73" s="115" t="e">
        <f>VLOOKUP(69,Order!A$14:U$1980,2,TRUE)</f>
        <v>#N/A</v>
      </c>
      <c r="J73" s="115" t="e">
        <f>VLOOKUP(69,Order!A$14:U$1980,20,TRUE)</f>
        <v>#N/A</v>
      </c>
      <c r="K73" s="115" t="e">
        <f>VLOOKUP(69,Order!A$14:V$1980,3,FALSE)</f>
        <v>#N/A</v>
      </c>
    </row>
    <row r="74" spans="1:11" x14ac:dyDescent="0.25">
      <c r="A74" s="61" t="e">
        <f t="shared" si="4"/>
        <v>#N/A</v>
      </c>
      <c r="B74" s="107" t="e">
        <f t="shared" si="5"/>
        <v>#N/A</v>
      </c>
      <c r="C74" s="113" t="e">
        <f t="shared" si="6"/>
        <v>#N/A</v>
      </c>
      <c r="D74" s="110" t="e">
        <f t="shared" si="7"/>
        <v>#N/A</v>
      </c>
      <c r="H74" s="115" t="e">
        <f>VLOOKUP(70,Order!A$14:U$1980,4,TRUE)</f>
        <v>#N/A</v>
      </c>
      <c r="I74" s="115" t="e">
        <f>VLOOKUP(70,Order!A$14:U$1980,2,TRUE)</f>
        <v>#N/A</v>
      </c>
      <c r="J74" s="115" t="e">
        <f>VLOOKUP(70,Order!A$14:U$1980,20,TRUE)</f>
        <v>#N/A</v>
      </c>
      <c r="K74" s="115" t="e">
        <f>VLOOKUP(70,Order!A$14:V$1980,3,FALSE)</f>
        <v>#N/A</v>
      </c>
    </row>
    <row r="75" spans="1:11" x14ac:dyDescent="0.25">
      <c r="A75" s="61" t="e">
        <f t="shared" si="4"/>
        <v>#N/A</v>
      </c>
      <c r="B75" s="107" t="e">
        <f t="shared" si="5"/>
        <v>#N/A</v>
      </c>
      <c r="C75" s="113" t="e">
        <f t="shared" si="6"/>
        <v>#N/A</v>
      </c>
      <c r="D75" s="110" t="e">
        <f t="shared" si="7"/>
        <v>#N/A</v>
      </c>
      <c r="H75" s="115" t="e">
        <f>VLOOKUP(71,Order!A$14:U$1980,4,TRUE)</f>
        <v>#N/A</v>
      </c>
      <c r="I75" s="115" t="e">
        <f>VLOOKUP(71,Order!A$14:U$1980,2,TRUE)</f>
        <v>#N/A</v>
      </c>
      <c r="J75" s="115" t="e">
        <f>VLOOKUP(71,Order!A$14:U$1980,20,TRUE)</f>
        <v>#N/A</v>
      </c>
      <c r="K75" s="115" t="e">
        <f>VLOOKUP(71,Order!A$14:V$1980,3,FALSE)</f>
        <v>#N/A</v>
      </c>
    </row>
    <row r="76" spans="1:11" x14ac:dyDescent="0.25">
      <c r="A76" s="61" t="e">
        <f t="shared" si="4"/>
        <v>#N/A</v>
      </c>
      <c r="B76" s="107" t="e">
        <f t="shared" si="5"/>
        <v>#N/A</v>
      </c>
      <c r="C76" s="113" t="e">
        <f t="shared" si="6"/>
        <v>#N/A</v>
      </c>
      <c r="D76" s="110" t="e">
        <f t="shared" si="7"/>
        <v>#N/A</v>
      </c>
      <c r="H76" s="115" t="e">
        <f>VLOOKUP(72,Order!A$14:U$1980,4,TRUE)</f>
        <v>#N/A</v>
      </c>
      <c r="I76" s="115" t="e">
        <f>VLOOKUP(72,Order!A$14:U$1980,2,TRUE)</f>
        <v>#N/A</v>
      </c>
      <c r="J76" s="115" t="e">
        <f>VLOOKUP(72,Order!A$14:U$1980,20,TRUE)</f>
        <v>#N/A</v>
      </c>
      <c r="K76" s="115" t="e">
        <f>VLOOKUP(72,Order!A$14:V$1980,3,FALSE)</f>
        <v>#N/A</v>
      </c>
    </row>
    <row r="77" spans="1:11" x14ac:dyDescent="0.25">
      <c r="A77" s="61" t="e">
        <f t="shared" si="4"/>
        <v>#N/A</v>
      </c>
      <c r="B77" s="107" t="e">
        <f t="shared" si="5"/>
        <v>#N/A</v>
      </c>
      <c r="C77" s="113" t="e">
        <f t="shared" si="6"/>
        <v>#N/A</v>
      </c>
      <c r="D77" s="110" t="e">
        <f t="shared" si="7"/>
        <v>#N/A</v>
      </c>
      <c r="H77" s="115" t="e">
        <f>VLOOKUP(73,Order!A$14:U$1980,4,TRUE)</f>
        <v>#N/A</v>
      </c>
      <c r="I77" s="115" t="e">
        <f>VLOOKUP(73,Order!A$14:U$1980,2,TRUE)</f>
        <v>#N/A</v>
      </c>
      <c r="J77" s="115" t="e">
        <f>VLOOKUP(73,Order!A$14:U$1980,20,TRUE)</f>
        <v>#N/A</v>
      </c>
      <c r="K77" s="115" t="e">
        <f>VLOOKUP(73,Order!A$14:V$1980,3,FALSE)</f>
        <v>#N/A</v>
      </c>
    </row>
    <row r="78" spans="1:11" x14ac:dyDescent="0.25">
      <c r="A78" s="61" t="e">
        <f t="shared" si="4"/>
        <v>#N/A</v>
      </c>
      <c r="B78" s="107" t="e">
        <f t="shared" si="5"/>
        <v>#N/A</v>
      </c>
      <c r="C78" s="113" t="e">
        <f t="shared" si="6"/>
        <v>#N/A</v>
      </c>
      <c r="D78" s="110" t="e">
        <f t="shared" si="7"/>
        <v>#N/A</v>
      </c>
      <c r="H78" s="115" t="e">
        <f>VLOOKUP(74,Order!A$14:U$1980,4,TRUE)</f>
        <v>#N/A</v>
      </c>
      <c r="I78" s="115" t="e">
        <f>VLOOKUP(74,Order!A$14:U$1980,2,TRUE)</f>
        <v>#N/A</v>
      </c>
      <c r="J78" s="115" t="e">
        <f>VLOOKUP(74,Order!A$14:U$1980,20,TRUE)</f>
        <v>#N/A</v>
      </c>
      <c r="K78" s="115" t="e">
        <f>VLOOKUP(74,Order!A$14:V$1980,3,FALSE)</f>
        <v>#N/A</v>
      </c>
    </row>
    <row r="79" spans="1:11" x14ac:dyDescent="0.25">
      <c r="A79" s="61" t="e">
        <f t="shared" si="4"/>
        <v>#N/A</v>
      </c>
      <c r="B79" s="107" t="e">
        <f t="shared" si="5"/>
        <v>#N/A</v>
      </c>
      <c r="C79" s="113" t="e">
        <f t="shared" si="6"/>
        <v>#N/A</v>
      </c>
      <c r="D79" s="110" t="e">
        <f t="shared" si="7"/>
        <v>#N/A</v>
      </c>
      <c r="H79" s="115" t="e">
        <f>VLOOKUP(75,Order!A$14:U$1980,4,TRUE)</f>
        <v>#N/A</v>
      </c>
      <c r="I79" s="115" t="e">
        <f>VLOOKUP(75,Order!A$14:U$1980,2,TRUE)</f>
        <v>#N/A</v>
      </c>
      <c r="J79" s="115" t="e">
        <f>VLOOKUP(75,Order!A$14:U$1980,20,TRUE)</f>
        <v>#N/A</v>
      </c>
      <c r="K79" s="115" t="e">
        <f>VLOOKUP(75,Order!A$14:V$1980,3,FALSE)</f>
        <v>#N/A</v>
      </c>
    </row>
    <row r="80" spans="1:11" x14ac:dyDescent="0.25">
      <c r="A80" s="61" t="e">
        <f t="shared" si="4"/>
        <v>#N/A</v>
      </c>
      <c r="B80" s="107" t="e">
        <f t="shared" si="5"/>
        <v>#N/A</v>
      </c>
      <c r="C80" s="113" t="e">
        <f t="shared" si="6"/>
        <v>#N/A</v>
      </c>
      <c r="D80" s="110" t="e">
        <f t="shared" si="7"/>
        <v>#N/A</v>
      </c>
      <c r="H80" s="115" t="e">
        <f>VLOOKUP(76,Order!A$14:U$1980,4,TRUE)</f>
        <v>#N/A</v>
      </c>
      <c r="I80" s="115" t="e">
        <f>VLOOKUP(76,Order!A$14:U$1980,2,TRUE)</f>
        <v>#N/A</v>
      </c>
      <c r="J80" s="115" t="e">
        <f>VLOOKUP(76,Order!A$14:U$1980,20,TRUE)</f>
        <v>#N/A</v>
      </c>
      <c r="K80" s="115" t="e">
        <f>VLOOKUP(76,Order!A$14:V$1980,3,FALSE)</f>
        <v>#N/A</v>
      </c>
    </row>
    <row r="81" spans="1:11" x14ac:dyDescent="0.25">
      <c r="A81" s="61" t="e">
        <f t="shared" si="4"/>
        <v>#N/A</v>
      </c>
      <c r="B81" s="107" t="e">
        <f t="shared" si="5"/>
        <v>#N/A</v>
      </c>
      <c r="C81" s="113" t="e">
        <f t="shared" si="6"/>
        <v>#N/A</v>
      </c>
      <c r="D81" s="110" t="e">
        <f t="shared" si="7"/>
        <v>#N/A</v>
      </c>
      <c r="H81" s="115" t="e">
        <f>VLOOKUP(77,Order!A$14:U$1980,4,TRUE)</f>
        <v>#N/A</v>
      </c>
      <c r="I81" s="115" t="e">
        <f>VLOOKUP(77,Order!A$14:U$1980,2,TRUE)</f>
        <v>#N/A</v>
      </c>
      <c r="J81" s="115" t="e">
        <f>VLOOKUP(77,Order!A$14:U$1980,20,TRUE)</f>
        <v>#N/A</v>
      </c>
      <c r="K81" s="115" t="e">
        <f>VLOOKUP(77,Order!A$14:V$1980,3,FALSE)</f>
        <v>#N/A</v>
      </c>
    </row>
    <row r="82" spans="1:11" x14ac:dyDescent="0.25">
      <c r="A82" s="61" t="e">
        <f t="shared" si="4"/>
        <v>#N/A</v>
      </c>
      <c r="B82" s="107" t="e">
        <f t="shared" si="5"/>
        <v>#N/A</v>
      </c>
      <c r="C82" s="113" t="e">
        <f t="shared" si="6"/>
        <v>#N/A</v>
      </c>
      <c r="D82" s="110" t="e">
        <f t="shared" si="7"/>
        <v>#N/A</v>
      </c>
      <c r="H82" s="115" t="e">
        <f>VLOOKUP(78,Order!A$14:U$1980,4,TRUE)</f>
        <v>#N/A</v>
      </c>
      <c r="I82" s="115" t="e">
        <f>VLOOKUP(78,Order!A$14:U$1980,2,TRUE)</f>
        <v>#N/A</v>
      </c>
      <c r="J82" s="115" t="e">
        <f>VLOOKUP(78,Order!A$14:U$1980,20,TRUE)</f>
        <v>#N/A</v>
      </c>
      <c r="K82" s="115" t="e">
        <f>VLOOKUP(78,Order!A$14:V$1980,3,FALSE)</f>
        <v>#N/A</v>
      </c>
    </row>
    <row r="83" spans="1:11" x14ac:dyDescent="0.25">
      <c r="A83" s="61" t="e">
        <f t="shared" si="4"/>
        <v>#N/A</v>
      </c>
      <c r="B83" s="107" t="e">
        <f t="shared" si="5"/>
        <v>#N/A</v>
      </c>
      <c r="C83" s="113" t="e">
        <f t="shared" si="6"/>
        <v>#N/A</v>
      </c>
      <c r="D83" s="110" t="e">
        <f t="shared" si="7"/>
        <v>#N/A</v>
      </c>
      <c r="H83" s="115" t="e">
        <f>VLOOKUP(79,Order!A$14:U$1980,4,TRUE)</f>
        <v>#N/A</v>
      </c>
      <c r="I83" s="115" t="e">
        <f>VLOOKUP(79,Order!A$14:U$1980,2,TRUE)</f>
        <v>#N/A</v>
      </c>
      <c r="J83" s="115" t="e">
        <f>VLOOKUP(79,Order!A$14:U$1980,20,TRUE)</f>
        <v>#N/A</v>
      </c>
      <c r="K83" s="115" t="e">
        <f>VLOOKUP(79,Order!A$14:V$1980,3,FALSE)</f>
        <v>#N/A</v>
      </c>
    </row>
    <row r="84" spans="1:11" x14ac:dyDescent="0.25">
      <c r="A84" s="61" t="e">
        <f t="shared" si="4"/>
        <v>#N/A</v>
      </c>
      <c r="B84" s="107" t="e">
        <f t="shared" si="5"/>
        <v>#N/A</v>
      </c>
      <c r="C84" s="113" t="e">
        <f t="shared" si="6"/>
        <v>#N/A</v>
      </c>
      <c r="D84" s="110" t="e">
        <f t="shared" si="7"/>
        <v>#N/A</v>
      </c>
      <c r="H84" s="115" t="e">
        <f>VLOOKUP(80,Order!A$14:U$1980,4,TRUE)</f>
        <v>#N/A</v>
      </c>
      <c r="I84" s="115" t="e">
        <f>VLOOKUP(80,Order!A$14:U$1980,2,TRUE)</f>
        <v>#N/A</v>
      </c>
      <c r="J84" s="115" t="e">
        <f>VLOOKUP(80,Order!A$14:U$1980,20,TRUE)</f>
        <v>#N/A</v>
      </c>
      <c r="K84" s="115" t="e">
        <f>VLOOKUP(80,Order!A$14:V$1980,3,FALSE)</f>
        <v>#N/A</v>
      </c>
    </row>
    <row r="85" spans="1:11" x14ac:dyDescent="0.25">
      <c r="A85" s="61" t="e">
        <f t="shared" si="4"/>
        <v>#N/A</v>
      </c>
      <c r="B85" s="107" t="e">
        <f t="shared" si="5"/>
        <v>#N/A</v>
      </c>
      <c r="C85" s="113" t="e">
        <f t="shared" si="6"/>
        <v>#N/A</v>
      </c>
      <c r="D85" s="110" t="e">
        <f t="shared" si="7"/>
        <v>#N/A</v>
      </c>
      <c r="H85" s="115" t="e">
        <f>VLOOKUP(81,Order!A$14:U$1980,4,TRUE)</f>
        <v>#N/A</v>
      </c>
      <c r="I85" s="115" t="e">
        <f>VLOOKUP(81,Order!A$14:U$1980,2,TRUE)</f>
        <v>#N/A</v>
      </c>
      <c r="J85" s="115" t="e">
        <f>VLOOKUP(81,Order!A$14:U$1980,20,TRUE)</f>
        <v>#N/A</v>
      </c>
      <c r="K85" s="115" t="e">
        <f>VLOOKUP(81,Order!A$14:V$1980,3,FALSE)</f>
        <v>#N/A</v>
      </c>
    </row>
    <row r="86" spans="1:11" x14ac:dyDescent="0.25">
      <c r="A86" s="61" t="e">
        <f t="shared" si="4"/>
        <v>#N/A</v>
      </c>
      <c r="B86" s="107" t="e">
        <f t="shared" si="5"/>
        <v>#N/A</v>
      </c>
      <c r="C86" s="113" t="e">
        <f t="shared" si="6"/>
        <v>#N/A</v>
      </c>
      <c r="D86" s="110" t="e">
        <f t="shared" si="7"/>
        <v>#N/A</v>
      </c>
      <c r="H86" s="115" t="e">
        <f>VLOOKUP(82,Order!A$14:U$1980,4,TRUE)</f>
        <v>#N/A</v>
      </c>
      <c r="I86" s="115" t="e">
        <f>VLOOKUP(82,Order!A$14:U$1980,2,TRUE)</f>
        <v>#N/A</v>
      </c>
      <c r="J86" s="115" t="e">
        <f>VLOOKUP(82,Order!A$14:U$1980,20,TRUE)</f>
        <v>#N/A</v>
      </c>
      <c r="K86" s="115" t="e">
        <f>VLOOKUP(82,Order!A$14:V$1980,3,FALSE)</f>
        <v>#N/A</v>
      </c>
    </row>
    <row r="87" spans="1:11" x14ac:dyDescent="0.25">
      <c r="A87" s="61" t="e">
        <f t="shared" si="4"/>
        <v>#N/A</v>
      </c>
      <c r="B87" s="107" t="e">
        <f t="shared" si="5"/>
        <v>#N/A</v>
      </c>
      <c r="C87" s="113" t="e">
        <f t="shared" si="6"/>
        <v>#N/A</v>
      </c>
      <c r="D87" s="110" t="e">
        <f t="shared" si="7"/>
        <v>#N/A</v>
      </c>
      <c r="H87" s="115" t="e">
        <f>VLOOKUP(83,Order!A$14:U$1980,4,TRUE)</f>
        <v>#N/A</v>
      </c>
      <c r="I87" s="115" t="e">
        <f>VLOOKUP(83,Order!A$14:U$1980,2,TRUE)</f>
        <v>#N/A</v>
      </c>
      <c r="J87" s="115" t="e">
        <f>VLOOKUP(83,Order!A$14:U$1980,20,TRUE)</f>
        <v>#N/A</v>
      </c>
      <c r="K87" s="115" t="e">
        <f>VLOOKUP(83,Order!A$14:V$1980,3,FALSE)</f>
        <v>#N/A</v>
      </c>
    </row>
    <row r="88" spans="1:11" x14ac:dyDescent="0.25">
      <c r="A88" s="61" t="e">
        <f t="shared" si="4"/>
        <v>#N/A</v>
      </c>
      <c r="B88" s="107" t="e">
        <f t="shared" si="5"/>
        <v>#N/A</v>
      </c>
      <c r="C88" s="113" t="e">
        <f t="shared" si="6"/>
        <v>#N/A</v>
      </c>
      <c r="D88" s="110" t="e">
        <f t="shared" si="7"/>
        <v>#N/A</v>
      </c>
      <c r="H88" s="115" t="e">
        <f>VLOOKUP(84,Order!A$14:U$1980,4,TRUE)</f>
        <v>#N/A</v>
      </c>
      <c r="I88" s="115" t="e">
        <f>VLOOKUP(84,Order!A$14:U$1980,2,TRUE)</f>
        <v>#N/A</v>
      </c>
      <c r="J88" s="115" t="e">
        <f>VLOOKUP(84,Order!A$14:U$1980,20,TRUE)</f>
        <v>#N/A</v>
      </c>
      <c r="K88" s="115" t="e">
        <f>VLOOKUP(84,Order!A$14:V$1980,3,FALSE)</f>
        <v>#N/A</v>
      </c>
    </row>
    <row r="89" spans="1:11" x14ac:dyDescent="0.25">
      <c r="A89" s="61" t="e">
        <f t="shared" si="4"/>
        <v>#N/A</v>
      </c>
      <c r="B89" s="107" t="e">
        <f t="shared" si="5"/>
        <v>#N/A</v>
      </c>
      <c r="C89" s="113" t="e">
        <f t="shared" si="6"/>
        <v>#N/A</v>
      </c>
      <c r="D89" s="110" t="e">
        <f t="shared" si="7"/>
        <v>#N/A</v>
      </c>
      <c r="H89" s="115" t="e">
        <f>VLOOKUP(85,Order!A$14:U$1980,4,TRUE)</f>
        <v>#N/A</v>
      </c>
      <c r="I89" s="115" t="e">
        <f>VLOOKUP(85,Order!A$14:U$1980,2,TRUE)</f>
        <v>#N/A</v>
      </c>
      <c r="J89" s="115" t="e">
        <f>VLOOKUP(85,Order!A$14:U$1980,20,TRUE)</f>
        <v>#N/A</v>
      </c>
      <c r="K89" s="115" t="e">
        <f>VLOOKUP(85,Order!A$14:V$1980,3,FALSE)</f>
        <v>#N/A</v>
      </c>
    </row>
    <row r="90" spans="1:11" x14ac:dyDescent="0.25">
      <c r="A90" s="61" t="e">
        <f t="shared" si="4"/>
        <v>#N/A</v>
      </c>
      <c r="B90" s="107" t="e">
        <f t="shared" si="5"/>
        <v>#N/A</v>
      </c>
      <c r="C90" s="113" t="e">
        <f t="shared" si="6"/>
        <v>#N/A</v>
      </c>
      <c r="D90" s="110" t="e">
        <f t="shared" si="7"/>
        <v>#N/A</v>
      </c>
      <c r="H90" s="115" t="e">
        <f>VLOOKUP(86,Order!A$14:U$1980,4,TRUE)</f>
        <v>#N/A</v>
      </c>
      <c r="I90" s="115" t="e">
        <f>VLOOKUP(86,Order!A$14:U$1980,2,TRUE)</f>
        <v>#N/A</v>
      </c>
      <c r="J90" s="115" t="e">
        <f>VLOOKUP(86,Order!A$14:U$1980,20,TRUE)</f>
        <v>#N/A</v>
      </c>
      <c r="K90" s="115" t="e">
        <f>VLOOKUP(86,Order!A$14:V$1980,3,FALSE)</f>
        <v>#N/A</v>
      </c>
    </row>
    <row r="91" spans="1:11" x14ac:dyDescent="0.25">
      <c r="A91" s="61" t="e">
        <f t="shared" si="4"/>
        <v>#N/A</v>
      </c>
      <c r="B91" s="107" t="e">
        <f t="shared" si="5"/>
        <v>#N/A</v>
      </c>
      <c r="C91" s="113" t="e">
        <f t="shared" si="6"/>
        <v>#N/A</v>
      </c>
      <c r="D91" s="110" t="e">
        <f t="shared" si="7"/>
        <v>#N/A</v>
      </c>
      <c r="H91" s="115" t="e">
        <f>VLOOKUP(87,Order!A$14:U$1980,4,TRUE)</f>
        <v>#N/A</v>
      </c>
      <c r="I91" s="115" t="e">
        <f>VLOOKUP(87,Order!A$14:U$1980,2,TRUE)</f>
        <v>#N/A</v>
      </c>
      <c r="J91" s="115" t="e">
        <f>VLOOKUP(87,Order!A$14:U$1980,20,TRUE)</f>
        <v>#N/A</v>
      </c>
      <c r="K91" s="115" t="e">
        <f>VLOOKUP(87,Order!A$14:V$1980,3,FALSE)</f>
        <v>#N/A</v>
      </c>
    </row>
    <row r="92" spans="1:11" x14ac:dyDescent="0.25">
      <c r="A92" s="61" t="e">
        <f t="shared" si="4"/>
        <v>#N/A</v>
      </c>
      <c r="B92" s="107" t="e">
        <f t="shared" si="5"/>
        <v>#N/A</v>
      </c>
      <c r="C92" s="113" t="e">
        <f t="shared" si="6"/>
        <v>#N/A</v>
      </c>
      <c r="D92" s="110" t="e">
        <f t="shared" si="7"/>
        <v>#N/A</v>
      </c>
      <c r="H92" s="115" t="e">
        <f>VLOOKUP(88,Order!A$14:U$1980,4,TRUE)</f>
        <v>#N/A</v>
      </c>
      <c r="I92" s="115" t="e">
        <f>VLOOKUP(88,Order!A$14:U$1980,2,TRUE)</f>
        <v>#N/A</v>
      </c>
      <c r="J92" s="115" t="e">
        <f>VLOOKUP(88,Order!A$14:U$1980,20,TRUE)</f>
        <v>#N/A</v>
      </c>
      <c r="K92" s="115" t="e">
        <f>VLOOKUP(88,Order!A$14:V$1980,3,FALSE)</f>
        <v>#N/A</v>
      </c>
    </row>
    <row r="93" spans="1:11" x14ac:dyDescent="0.25">
      <c r="A93" s="61" t="e">
        <f t="shared" si="4"/>
        <v>#N/A</v>
      </c>
      <c r="B93" s="107" t="e">
        <f t="shared" si="5"/>
        <v>#N/A</v>
      </c>
      <c r="C93" s="113" t="e">
        <f t="shared" si="6"/>
        <v>#N/A</v>
      </c>
      <c r="D93" s="110" t="e">
        <f t="shared" si="7"/>
        <v>#N/A</v>
      </c>
      <c r="H93" s="115" t="e">
        <f>VLOOKUP(89,Order!A$14:U$1980,4,TRUE)</f>
        <v>#N/A</v>
      </c>
      <c r="I93" s="115" t="e">
        <f>VLOOKUP(89,Order!A$14:U$1980,2,TRUE)</f>
        <v>#N/A</v>
      </c>
      <c r="J93" s="115" t="e">
        <f>VLOOKUP(89,Order!A$14:U$1980,20,TRUE)</f>
        <v>#N/A</v>
      </c>
      <c r="K93" s="115" t="e">
        <f>VLOOKUP(89,Order!A$14:V$1980,3,FALSE)</f>
        <v>#N/A</v>
      </c>
    </row>
    <row r="94" spans="1:11" x14ac:dyDescent="0.25">
      <c r="A94" s="61" t="e">
        <f t="shared" si="4"/>
        <v>#N/A</v>
      </c>
      <c r="B94" s="107" t="e">
        <f t="shared" si="5"/>
        <v>#N/A</v>
      </c>
      <c r="C94" s="113" t="e">
        <f t="shared" si="6"/>
        <v>#N/A</v>
      </c>
      <c r="D94" s="110" t="e">
        <f t="shared" si="7"/>
        <v>#N/A</v>
      </c>
      <c r="H94" s="115" t="e">
        <f>VLOOKUP(90,Order!A$14:U$1980,4,TRUE)</f>
        <v>#N/A</v>
      </c>
      <c r="I94" s="115" t="e">
        <f>VLOOKUP(90,Order!A$14:U$1980,2,TRUE)</f>
        <v>#N/A</v>
      </c>
      <c r="J94" s="115" t="e">
        <f>VLOOKUP(90,Order!A$14:U$1980,20,TRUE)</f>
        <v>#N/A</v>
      </c>
      <c r="K94" s="115" t="e">
        <f>VLOOKUP(90,Order!A$14:V$1980,3,FALSE)</f>
        <v>#N/A</v>
      </c>
    </row>
    <row r="95" spans="1:11" x14ac:dyDescent="0.25">
      <c r="A95" s="61" t="e">
        <f t="shared" si="4"/>
        <v>#N/A</v>
      </c>
      <c r="B95" s="107" t="e">
        <f t="shared" si="5"/>
        <v>#N/A</v>
      </c>
      <c r="C95" s="113" t="e">
        <f t="shared" si="6"/>
        <v>#N/A</v>
      </c>
      <c r="D95" s="110" t="e">
        <f t="shared" si="7"/>
        <v>#N/A</v>
      </c>
      <c r="H95" s="115" t="e">
        <f>VLOOKUP(91,Order!A$14:U$1980,4,TRUE)</f>
        <v>#N/A</v>
      </c>
      <c r="I95" s="115" t="e">
        <f>VLOOKUP(91,Order!A$14:U$1980,2,TRUE)</f>
        <v>#N/A</v>
      </c>
      <c r="J95" s="115" t="e">
        <f>VLOOKUP(91,Order!A$14:U$1980,20,TRUE)</f>
        <v>#N/A</v>
      </c>
      <c r="K95" s="115" t="e">
        <f>VLOOKUP(91,Order!A$14:V$1980,3,FALSE)</f>
        <v>#N/A</v>
      </c>
    </row>
    <row r="96" spans="1:11" x14ac:dyDescent="0.25">
      <c r="A96" s="61" t="e">
        <f t="shared" si="4"/>
        <v>#N/A</v>
      </c>
      <c r="B96" s="107" t="e">
        <f t="shared" si="5"/>
        <v>#N/A</v>
      </c>
      <c r="C96" s="113" t="e">
        <f t="shared" si="6"/>
        <v>#N/A</v>
      </c>
      <c r="D96" s="110" t="e">
        <f t="shared" si="7"/>
        <v>#N/A</v>
      </c>
      <c r="H96" s="115" t="e">
        <f>VLOOKUP(92,Order!A$14:U$1980,4,TRUE)</f>
        <v>#N/A</v>
      </c>
      <c r="I96" s="115" t="e">
        <f>VLOOKUP(92,Order!A$14:U$1980,2,TRUE)</f>
        <v>#N/A</v>
      </c>
      <c r="J96" s="115" t="e">
        <f>VLOOKUP(92,Order!A$14:U$1980,20,TRUE)</f>
        <v>#N/A</v>
      </c>
      <c r="K96" s="115" t="e">
        <f>VLOOKUP(92,Order!A$14:V$1980,3,FALSE)</f>
        <v>#N/A</v>
      </c>
    </row>
    <row r="97" spans="1:11" x14ac:dyDescent="0.25">
      <c r="A97" s="61" t="e">
        <f t="shared" si="4"/>
        <v>#N/A</v>
      </c>
      <c r="B97" s="107" t="e">
        <f t="shared" si="5"/>
        <v>#N/A</v>
      </c>
      <c r="C97" s="113" t="e">
        <f t="shared" si="6"/>
        <v>#N/A</v>
      </c>
      <c r="D97" s="110" t="e">
        <f t="shared" si="7"/>
        <v>#N/A</v>
      </c>
      <c r="H97" s="115" t="e">
        <f>VLOOKUP(93,Order!A$14:U$1980,4,TRUE)</f>
        <v>#N/A</v>
      </c>
      <c r="I97" s="115" t="e">
        <f>VLOOKUP(93,Order!A$14:U$1980,2,TRUE)</f>
        <v>#N/A</v>
      </c>
      <c r="J97" s="115" t="e">
        <f>VLOOKUP(93,Order!A$14:U$1980,20,TRUE)</f>
        <v>#N/A</v>
      </c>
      <c r="K97" s="115" t="e">
        <f>VLOOKUP(93,Order!A$14:V$1980,3,FALSE)</f>
        <v>#N/A</v>
      </c>
    </row>
    <row r="98" spans="1:11" x14ac:dyDescent="0.25">
      <c r="A98" s="61" t="e">
        <f t="shared" si="4"/>
        <v>#N/A</v>
      </c>
      <c r="B98" s="107" t="e">
        <f t="shared" si="5"/>
        <v>#N/A</v>
      </c>
      <c r="C98" s="113" t="e">
        <f t="shared" si="6"/>
        <v>#N/A</v>
      </c>
      <c r="D98" s="110" t="e">
        <f t="shared" si="7"/>
        <v>#N/A</v>
      </c>
      <c r="H98" s="115" t="e">
        <f>VLOOKUP(94,Order!A$14:U$1980,4,TRUE)</f>
        <v>#N/A</v>
      </c>
      <c r="I98" s="115" t="e">
        <f>VLOOKUP(94,Order!A$14:U$1980,2,TRUE)</f>
        <v>#N/A</v>
      </c>
      <c r="J98" s="115" t="e">
        <f>VLOOKUP(94,Order!A$14:U$1980,20,TRUE)</f>
        <v>#N/A</v>
      </c>
      <c r="K98" s="115" t="e">
        <f>VLOOKUP(94,Order!A$14:V$1980,3,FALSE)</f>
        <v>#N/A</v>
      </c>
    </row>
    <row r="99" spans="1:11" x14ac:dyDescent="0.25">
      <c r="A99" s="61" t="e">
        <f t="shared" si="4"/>
        <v>#N/A</v>
      </c>
      <c r="B99" s="107" t="e">
        <f t="shared" si="5"/>
        <v>#N/A</v>
      </c>
      <c r="C99" s="113" t="e">
        <f t="shared" si="6"/>
        <v>#N/A</v>
      </c>
      <c r="D99" s="110" t="e">
        <f t="shared" si="7"/>
        <v>#N/A</v>
      </c>
      <c r="H99" s="115" t="e">
        <f>VLOOKUP(95,Order!A$14:U$1980,4,TRUE)</f>
        <v>#N/A</v>
      </c>
      <c r="I99" s="115" t="e">
        <f>VLOOKUP(95,Order!A$14:U$1980,2,TRUE)</f>
        <v>#N/A</v>
      </c>
      <c r="J99" s="115" t="e">
        <f>VLOOKUP(95,Order!A$14:U$1980,20,TRUE)</f>
        <v>#N/A</v>
      </c>
      <c r="K99" s="115" t="e">
        <f>VLOOKUP(95,Order!A$14:V$1980,3,FALSE)</f>
        <v>#N/A</v>
      </c>
    </row>
    <row r="100" spans="1:11" x14ac:dyDescent="0.25">
      <c r="A100" s="61" t="e">
        <f t="shared" si="4"/>
        <v>#N/A</v>
      </c>
      <c r="B100" s="107" t="e">
        <f t="shared" si="5"/>
        <v>#N/A</v>
      </c>
      <c r="C100" s="113" t="e">
        <f t="shared" si="6"/>
        <v>#N/A</v>
      </c>
      <c r="D100" s="110" t="e">
        <f t="shared" si="7"/>
        <v>#N/A</v>
      </c>
      <c r="H100" s="115" t="e">
        <f>VLOOKUP(96,Order!A$14:U$1980,4,TRUE)</f>
        <v>#N/A</v>
      </c>
      <c r="I100" s="115" t="e">
        <f>VLOOKUP(96,Order!A$14:U$1980,2,TRUE)</f>
        <v>#N/A</v>
      </c>
      <c r="J100" s="115" t="e">
        <f>VLOOKUP(96,Order!A$14:U$1980,20,TRUE)</f>
        <v>#N/A</v>
      </c>
      <c r="K100" s="115" t="e">
        <f>VLOOKUP(96,Order!A$14:V$1980,3,FALSE)</f>
        <v>#N/A</v>
      </c>
    </row>
    <row r="101" spans="1:11" x14ac:dyDescent="0.25">
      <c r="A101" s="61" t="e">
        <f t="shared" si="4"/>
        <v>#N/A</v>
      </c>
      <c r="B101" s="107" t="e">
        <f t="shared" si="5"/>
        <v>#N/A</v>
      </c>
      <c r="C101" s="113" t="e">
        <f t="shared" si="6"/>
        <v>#N/A</v>
      </c>
      <c r="D101" s="110" t="e">
        <f t="shared" si="7"/>
        <v>#N/A</v>
      </c>
      <c r="H101" s="115" t="e">
        <f>VLOOKUP(97,Order!A$14:U$1980,4,TRUE)</f>
        <v>#N/A</v>
      </c>
      <c r="I101" s="115" t="e">
        <f>VLOOKUP(97,Order!A$14:U$1980,2,TRUE)</f>
        <v>#N/A</v>
      </c>
      <c r="J101" s="115" t="e">
        <f>VLOOKUP(97,Order!A$14:U$1980,20,TRUE)</f>
        <v>#N/A</v>
      </c>
      <c r="K101" s="115" t="e">
        <f>VLOOKUP(97,Order!A$14:V$1980,3,FALSE)</f>
        <v>#N/A</v>
      </c>
    </row>
    <row r="102" spans="1:11" x14ac:dyDescent="0.25">
      <c r="A102" s="61" t="e">
        <f t="shared" si="4"/>
        <v>#N/A</v>
      </c>
      <c r="B102" s="107" t="e">
        <f t="shared" si="5"/>
        <v>#N/A</v>
      </c>
      <c r="C102" s="113" t="e">
        <f t="shared" si="6"/>
        <v>#N/A</v>
      </c>
      <c r="D102" s="110" t="e">
        <f t="shared" si="7"/>
        <v>#N/A</v>
      </c>
      <c r="H102" s="115" t="e">
        <f>VLOOKUP(98,Order!A$14:U$1980,4,TRUE)</f>
        <v>#N/A</v>
      </c>
      <c r="I102" s="115" t="e">
        <f>VLOOKUP(98,Order!A$14:U$1980,2,TRUE)</f>
        <v>#N/A</v>
      </c>
      <c r="J102" s="115" t="e">
        <f>VLOOKUP(98,Order!A$14:U$1980,20,TRUE)</f>
        <v>#N/A</v>
      </c>
      <c r="K102" s="115" t="e">
        <f>VLOOKUP(98,Order!A$14:V$1980,3,FALSE)</f>
        <v>#N/A</v>
      </c>
    </row>
    <row r="103" spans="1:11" x14ac:dyDescent="0.25">
      <c r="A103" s="61" t="e">
        <f t="shared" si="4"/>
        <v>#N/A</v>
      </c>
      <c r="B103" s="107" t="e">
        <f t="shared" si="5"/>
        <v>#N/A</v>
      </c>
      <c r="C103" s="113" t="e">
        <f t="shared" si="6"/>
        <v>#N/A</v>
      </c>
      <c r="D103" s="110" t="e">
        <f t="shared" si="7"/>
        <v>#N/A</v>
      </c>
      <c r="H103" s="115" t="e">
        <f>VLOOKUP(99,Order!A$14:U$1980,4,TRUE)</f>
        <v>#N/A</v>
      </c>
      <c r="I103" s="115" t="e">
        <f>VLOOKUP(99,Order!A$14:U$1980,2,TRUE)</f>
        <v>#N/A</v>
      </c>
      <c r="J103" s="115" t="e">
        <f>VLOOKUP(99,Order!A$14:U$1980,20,TRUE)</f>
        <v>#N/A</v>
      </c>
      <c r="K103" s="115" t="e">
        <f>VLOOKUP(99,Order!A$14:V$1980,3,FALSE)</f>
        <v>#N/A</v>
      </c>
    </row>
    <row r="104" spans="1:11" x14ac:dyDescent="0.25">
      <c r="A104" s="61" t="e">
        <f t="shared" si="4"/>
        <v>#N/A</v>
      </c>
      <c r="B104" s="108" t="e">
        <f t="shared" si="5"/>
        <v>#N/A</v>
      </c>
      <c r="C104" s="114" t="e">
        <f t="shared" si="6"/>
        <v>#N/A</v>
      </c>
      <c r="D104" s="111" t="e">
        <f t="shared" si="7"/>
        <v>#N/A</v>
      </c>
      <c r="H104" s="115" t="e">
        <f>VLOOKUP(100,Order!A$14:U$1980,4,TRUE)</f>
        <v>#N/A</v>
      </c>
      <c r="I104" s="115" t="e">
        <f>VLOOKUP(100,Order!A$14:U$1980,2,TRUE)</f>
        <v>#N/A</v>
      </c>
      <c r="J104" s="115" t="e">
        <f>VLOOKUP(100,Order!A$14:U$1980,20,TRUE)</f>
        <v>#N/A</v>
      </c>
      <c r="K104" s="115" t="e">
        <f>VLOOKUP(100,Order!A$14:V$1980,3,FALSE)</f>
        <v>#N/A</v>
      </c>
    </row>
    <row r="105" spans="1:11" x14ac:dyDescent="0.25">
      <c r="C105" s="105"/>
    </row>
    <row r="106" spans="1:11" x14ac:dyDescent="0.25">
      <c r="C106" s="105"/>
    </row>
  </sheetData>
  <mergeCells count="1">
    <mergeCell ref="C4:D4"/>
  </mergeCells>
  <conditionalFormatting sqref="B4:C4">
    <cfRule type="containsBlanks" dxfId="3" priority="4">
      <formula>LEN(TRIM(B4))=0</formula>
    </cfRule>
  </conditionalFormatting>
  <conditionalFormatting sqref="B5:B106">
    <cfRule type="containsText" dxfId="2" priority="3" stopIfTrue="1" operator="containsText" text="Total">
      <formula>NOT(ISERROR(SEARCH("Total",B5)))</formula>
    </cfRule>
  </conditionalFormatting>
  <conditionalFormatting sqref="A5:A105">
    <cfRule type="notContainsBlanks" dxfId="1" priority="2" stopIfTrue="1">
      <formula>LEN(TRIM(A5))&gt;0</formula>
    </cfRule>
  </conditionalFormatting>
  <conditionalFormatting sqref="B5:D104">
    <cfRule type="containsBlanks" dxfId="0" priority="5" stopIfTrue="1">
      <formula>LEN(TRIM(B5))=0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R1048"/>
  <sheetViews>
    <sheetView workbookViewId="0">
      <pane ySplit="1" topLeftCell="A107" activePane="bottomLeft" state="frozen"/>
      <selection pane="bottomLeft" activeCell="C144" sqref="C144:D144"/>
    </sheetView>
  </sheetViews>
  <sheetFormatPr defaultRowHeight="15" x14ac:dyDescent="0.25"/>
  <cols>
    <col min="1" max="1" width="9.5703125" style="160" bestFit="1" customWidth="1"/>
    <col min="2" max="2" width="35.5703125" style="160" bestFit="1" customWidth="1"/>
    <col min="3" max="3" width="9.7109375" style="190" customWidth="1"/>
    <col min="4" max="5" width="9.7109375" style="191" customWidth="1"/>
    <col min="6" max="6" width="9.85546875" style="191" customWidth="1"/>
    <col min="7" max="7" width="10.7109375" style="200" customWidth="1"/>
    <col min="8" max="8" width="9.7109375" style="190" customWidth="1"/>
    <col min="9" max="11" width="9.7109375" style="191" customWidth="1"/>
    <col min="12" max="12" width="7.85546875" style="200" customWidth="1"/>
    <col min="13" max="13" width="9.7109375" style="190" customWidth="1"/>
    <col min="14" max="16" width="9.7109375" style="191" customWidth="1"/>
    <col min="17" max="17" width="17.5703125" style="200" customWidth="1"/>
    <col min="18" max="18" width="9.140625" style="190"/>
    <col min="19" max="19" width="9.140625" style="191"/>
    <col min="20" max="20" width="9.140625" style="200"/>
    <col min="21" max="16384" width="9.140625" style="160"/>
  </cols>
  <sheetData>
    <row r="1" spans="1:252" x14ac:dyDescent="0.25">
      <c r="A1" s="222" t="s">
        <v>297</v>
      </c>
      <c r="B1" s="222" t="s">
        <v>1786</v>
      </c>
      <c r="C1" s="220" t="s">
        <v>311</v>
      </c>
      <c r="D1" s="197" t="s">
        <v>303</v>
      </c>
      <c r="E1" s="197" t="s">
        <v>305</v>
      </c>
      <c r="F1" s="197" t="s">
        <v>308</v>
      </c>
      <c r="G1" s="221" t="s">
        <v>308</v>
      </c>
      <c r="H1" s="220" t="s">
        <v>312</v>
      </c>
      <c r="I1" s="197" t="s">
        <v>304</v>
      </c>
      <c r="J1" s="197" t="s">
        <v>307</v>
      </c>
      <c r="K1" s="197" t="s">
        <v>306</v>
      </c>
      <c r="L1" s="221" t="s">
        <v>306</v>
      </c>
      <c r="M1" s="220" t="s">
        <v>338</v>
      </c>
      <c r="N1" s="197" t="s">
        <v>339</v>
      </c>
      <c r="O1" s="197" t="s">
        <v>340</v>
      </c>
      <c r="P1" s="221" t="s">
        <v>341</v>
      </c>
      <c r="Q1" s="199" t="s">
        <v>341</v>
      </c>
      <c r="R1" s="217" t="s">
        <v>342</v>
      </c>
      <c r="S1" s="218" t="s">
        <v>343</v>
      </c>
      <c r="T1" s="219" t="s">
        <v>344</v>
      </c>
    </row>
    <row r="2" spans="1:252" x14ac:dyDescent="0.25">
      <c r="A2" s="213" t="s">
        <v>309</v>
      </c>
      <c r="B2" s="7" t="s">
        <v>418</v>
      </c>
      <c r="D2" s="60"/>
      <c r="E2" s="60"/>
      <c r="F2" s="60"/>
      <c r="G2" s="200" t="str">
        <f t="shared" ref="G2:G67" si="0">IF(F2=1,"New","")</f>
        <v/>
      </c>
      <c r="H2" s="192"/>
      <c r="I2" s="60"/>
      <c r="J2" s="60"/>
      <c r="K2" s="60"/>
      <c r="L2" s="205"/>
      <c r="M2" s="192"/>
      <c r="N2" s="60"/>
      <c r="O2" s="60"/>
      <c r="P2" s="60"/>
      <c r="Q2" s="205"/>
      <c r="R2" s="192"/>
      <c r="S2" s="60"/>
      <c r="T2" s="205"/>
    </row>
    <row r="3" spans="1:252" x14ac:dyDescent="0.25">
      <c r="A3" s="214" t="s">
        <v>309</v>
      </c>
      <c r="B3" s="7" t="s">
        <v>421</v>
      </c>
      <c r="D3" s="60"/>
      <c r="E3" s="60"/>
      <c r="F3" s="60"/>
      <c r="G3" s="200" t="str">
        <f t="shared" si="0"/>
        <v/>
      </c>
      <c r="H3" s="192"/>
      <c r="I3" s="60"/>
      <c r="J3" s="60"/>
      <c r="K3" s="60"/>
      <c r="L3" s="205"/>
      <c r="M3" s="192"/>
      <c r="N3" s="60"/>
      <c r="O3" s="60"/>
      <c r="P3" s="60"/>
      <c r="Q3" s="205"/>
      <c r="R3" s="192"/>
      <c r="S3" s="60"/>
      <c r="T3" s="205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</row>
    <row r="4" spans="1:252" x14ac:dyDescent="0.25">
      <c r="A4" s="214" t="s">
        <v>309</v>
      </c>
      <c r="B4" s="7" t="s">
        <v>423</v>
      </c>
      <c r="C4" s="192"/>
      <c r="D4" s="60"/>
      <c r="E4" s="60"/>
      <c r="F4" s="60"/>
      <c r="G4" s="200" t="str">
        <f t="shared" si="0"/>
        <v/>
      </c>
      <c r="H4" s="192"/>
      <c r="I4" s="60"/>
      <c r="J4" s="60"/>
      <c r="K4" s="60"/>
      <c r="L4" s="205"/>
      <c r="M4" s="192"/>
      <c r="N4" s="60"/>
      <c r="O4" s="60"/>
      <c r="P4" s="60"/>
      <c r="Q4" s="205"/>
      <c r="R4" s="192"/>
      <c r="S4" s="60"/>
      <c r="T4" s="205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</row>
    <row r="5" spans="1:252" x14ac:dyDescent="0.25">
      <c r="A5" s="214" t="s">
        <v>309</v>
      </c>
      <c r="B5" s="7" t="s">
        <v>1824</v>
      </c>
      <c r="C5" s="190" t="s">
        <v>310</v>
      </c>
      <c r="D5" s="191">
        <v>1</v>
      </c>
      <c r="G5" s="200" t="str">
        <f t="shared" ref="G5" si="1">IF(F5=1,"New","")</f>
        <v/>
      </c>
      <c r="H5" s="192"/>
      <c r="I5" s="60"/>
      <c r="J5" s="60"/>
      <c r="K5" s="60"/>
      <c r="L5" s="205"/>
      <c r="M5" s="192"/>
      <c r="N5" s="60"/>
      <c r="O5" s="60"/>
      <c r="P5" s="60"/>
      <c r="Q5" s="205"/>
      <c r="R5" s="192"/>
      <c r="S5" s="60"/>
      <c r="T5" s="205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</row>
    <row r="6" spans="1:252" x14ac:dyDescent="0.25">
      <c r="A6" s="214" t="s">
        <v>309</v>
      </c>
      <c r="B6" s="7" t="s">
        <v>1825</v>
      </c>
      <c r="C6" s="190" t="s">
        <v>310</v>
      </c>
      <c r="D6" s="191">
        <v>1</v>
      </c>
      <c r="G6" s="200" t="str">
        <f t="shared" si="0"/>
        <v/>
      </c>
      <c r="Q6" s="200" t="str">
        <f t="shared" ref="Q6:Q68" si="2">IF(P6=1,"New","")</f>
        <v/>
      </c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</row>
    <row r="7" spans="1:252" x14ac:dyDescent="0.25">
      <c r="A7" s="214" t="s">
        <v>309</v>
      </c>
      <c r="B7" s="7" t="s">
        <v>425</v>
      </c>
      <c r="D7" s="60"/>
      <c r="E7" s="60"/>
      <c r="F7" s="60"/>
      <c r="G7" s="200" t="str">
        <f t="shared" si="0"/>
        <v/>
      </c>
      <c r="H7" s="192"/>
      <c r="I7" s="60"/>
      <c r="J7" s="60"/>
      <c r="K7" s="60"/>
      <c r="L7" s="200" t="str">
        <f t="shared" ref="L7:L68" si="3">IF(K7=1,"New","")</f>
        <v/>
      </c>
      <c r="M7" s="192"/>
      <c r="N7" s="60"/>
      <c r="O7" s="60"/>
      <c r="P7" s="60"/>
      <c r="Q7" s="200" t="str">
        <f t="shared" si="2"/>
        <v/>
      </c>
      <c r="R7" s="192"/>
      <c r="S7" s="60"/>
      <c r="T7" s="205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x14ac:dyDescent="0.25">
      <c r="A8" s="214" t="s">
        <v>309</v>
      </c>
      <c r="B8" s="7" t="s">
        <v>427</v>
      </c>
      <c r="D8" s="60"/>
      <c r="E8" s="60"/>
      <c r="F8" s="60"/>
      <c r="G8" s="200" t="str">
        <f t="shared" si="0"/>
        <v/>
      </c>
      <c r="H8" s="192"/>
      <c r="I8" s="60"/>
      <c r="J8" s="60"/>
      <c r="K8" s="60"/>
      <c r="L8" s="200" t="str">
        <f t="shared" si="3"/>
        <v/>
      </c>
      <c r="M8" s="192"/>
      <c r="N8" s="60"/>
      <c r="O8" s="60"/>
      <c r="P8" s="60"/>
      <c r="Q8" s="200" t="str">
        <f t="shared" si="2"/>
        <v/>
      </c>
      <c r="R8" s="192"/>
      <c r="S8" s="60"/>
      <c r="T8" s="205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x14ac:dyDescent="0.25">
      <c r="A9" s="214" t="s">
        <v>309</v>
      </c>
      <c r="B9" s="7" t="s">
        <v>429</v>
      </c>
      <c r="D9" s="60"/>
      <c r="E9" s="60"/>
      <c r="F9" s="60"/>
      <c r="G9" s="200" t="str">
        <f t="shared" si="0"/>
        <v/>
      </c>
      <c r="H9" s="192"/>
      <c r="I9" s="60"/>
      <c r="J9" s="60"/>
      <c r="K9" s="60"/>
      <c r="L9" s="200" t="str">
        <f t="shared" si="3"/>
        <v/>
      </c>
      <c r="M9" s="192"/>
      <c r="N9" s="60"/>
      <c r="O9" s="60"/>
      <c r="P9" s="60"/>
      <c r="Q9" s="200" t="str">
        <f t="shared" si="2"/>
        <v/>
      </c>
      <c r="R9" s="192"/>
      <c r="S9" s="60"/>
      <c r="T9" s="205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x14ac:dyDescent="0.25">
      <c r="A10" s="214" t="s">
        <v>309</v>
      </c>
      <c r="B10" s="7" t="s">
        <v>432</v>
      </c>
      <c r="D10" s="60"/>
      <c r="E10" s="60"/>
      <c r="F10" s="60"/>
      <c r="G10" s="200" t="str">
        <f t="shared" si="0"/>
        <v/>
      </c>
      <c r="H10" s="192"/>
      <c r="I10" s="60"/>
      <c r="J10" s="60"/>
      <c r="K10" s="60"/>
      <c r="L10" s="200" t="str">
        <f t="shared" si="3"/>
        <v/>
      </c>
      <c r="M10" s="192"/>
      <c r="N10" s="60"/>
      <c r="O10" s="60"/>
      <c r="P10" s="60"/>
      <c r="Q10" s="200" t="str">
        <f t="shared" si="2"/>
        <v/>
      </c>
      <c r="R10" s="192"/>
      <c r="S10" s="60"/>
      <c r="T10" s="205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x14ac:dyDescent="0.25">
      <c r="A11" s="214" t="s">
        <v>309</v>
      </c>
      <c r="B11" s="7" t="s">
        <v>435</v>
      </c>
      <c r="D11" s="60"/>
      <c r="E11" s="60"/>
      <c r="F11" s="60"/>
      <c r="G11" s="200" t="str">
        <f t="shared" si="0"/>
        <v/>
      </c>
      <c r="H11" s="192"/>
      <c r="I11" s="60"/>
      <c r="J11" s="60"/>
      <c r="K11" s="60"/>
      <c r="L11" s="200" t="str">
        <f t="shared" si="3"/>
        <v/>
      </c>
      <c r="M11" s="192"/>
      <c r="N11" s="60"/>
      <c r="O11" s="60"/>
      <c r="P11" s="60"/>
      <c r="Q11" s="200" t="str">
        <f t="shared" si="2"/>
        <v/>
      </c>
      <c r="R11" s="192"/>
      <c r="S11" s="60"/>
      <c r="T11" s="205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x14ac:dyDescent="0.25">
      <c r="A12" s="214" t="s">
        <v>309</v>
      </c>
      <c r="B12" s="7" t="s">
        <v>438</v>
      </c>
      <c r="D12" s="60"/>
      <c r="E12" s="60"/>
      <c r="F12" s="60"/>
      <c r="G12" s="200" t="str">
        <f t="shared" si="0"/>
        <v/>
      </c>
      <c r="H12" s="192"/>
      <c r="I12" s="60"/>
      <c r="J12" s="60"/>
      <c r="K12" s="60"/>
      <c r="L12" s="200" t="str">
        <f t="shared" si="3"/>
        <v/>
      </c>
      <c r="M12" s="192"/>
      <c r="N12" s="60"/>
      <c r="O12" s="60"/>
      <c r="P12" s="60"/>
      <c r="Q12" s="200" t="str">
        <f t="shared" si="2"/>
        <v/>
      </c>
      <c r="R12" s="192"/>
      <c r="S12" s="60"/>
      <c r="T12" s="205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x14ac:dyDescent="0.25">
      <c r="A13" s="214" t="s">
        <v>309</v>
      </c>
      <c r="B13" s="7" t="s">
        <v>441</v>
      </c>
      <c r="D13" s="60"/>
      <c r="E13" s="60"/>
      <c r="F13" s="60"/>
      <c r="G13" s="200" t="str">
        <f t="shared" si="0"/>
        <v/>
      </c>
      <c r="H13" s="192"/>
      <c r="I13" s="60"/>
      <c r="J13" s="60"/>
      <c r="K13" s="60"/>
      <c r="L13" s="200" t="str">
        <f t="shared" si="3"/>
        <v/>
      </c>
      <c r="M13" s="192"/>
      <c r="N13" s="60"/>
      <c r="O13" s="60"/>
      <c r="P13" s="60"/>
      <c r="Q13" s="200" t="str">
        <f t="shared" si="2"/>
        <v/>
      </c>
      <c r="R13" s="192"/>
      <c r="S13" s="60"/>
      <c r="T13" s="205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  <row r="14" spans="1:252" x14ac:dyDescent="0.25">
      <c r="A14" s="214" t="s">
        <v>309</v>
      </c>
      <c r="B14" s="7" t="s">
        <v>444</v>
      </c>
      <c r="D14" s="60"/>
      <c r="E14" s="60"/>
      <c r="F14" s="60"/>
      <c r="G14" s="200" t="str">
        <f t="shared" si="0"/>
        <v/>
      </c>
      <c r="H14" s="192"/>
      <c r="I14" s="60"/>
      <c r="J14" s="60"/>
      <c r="K14" s="60"/>
      <c r="L14" s="200" t="str">
        <f t="shared" si="3"/>
        <v/>
      </c>
      <c r="M14" s="192"/>
      <c r="N14" s="60"/>
      <c r="O14" s="60"/>
      <c r="P14" s="60"/>
      <c r="Q14" s="200" t="str">
        <f t="shared" si="2"/>
        <v/>
      </c>
      <c r="R14" s="192"/>
      <c r="S14" s="60"/>
      <c r="T14" s="205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</row>
    <row r="15" spans="1:252" x14ac:dyDescent="0.25">
      <c r="A15" s="215" t="s">
        <v>309</v>
      </c>
      <c r="B15" s="7" t="s">
        <v>447</v>
      </c>
      <c r="C15" s="201"/>
      <c r="D15" s="187"/>
      <c r="E15" s="187"/>
      <c r="F15" s="187"/>
      <c r="G15" s="208" t="str">
        <f t="shared" si="0"/>
        <v/>
      </c>
      <c r="H15" s="193"/>
      <c r="I15" s="187"/>
      <c r="J15" s="187"/>
      <c r="K15" s="187"/>
      <c r="L15" s="208" t="str">
        <f t="shared" si="3"/>
        <v/>
      </c>
      <c r="M15" s="193"/>
      <c r="N15" s="187"/>
      <c r="O15" s="187"/>
      <c r="P15" s="187"/>
      <c r="Q15" s="208" t="str">
        <f t="shared" si="2"/>
        <v/>
      </c>
      <c r="R15" s="193"/>
      <c r="S15" s="187"/>
      <c r="T15" s="20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</row>
    <row r="16" spans="1:252" x14ac:dyDescent="0.25">
      <c r="A16" s="214" t="s">
        <v>302</v>
      </c>
      <c r="B16" s="184" t="s">
        <v>128</v>
      </c>
      <c r="C16" s="190" t="s">
        <v>310</v>
      </c>
      <c r="D16" s="191">
        <v>1</v>
      </c>
      <c r="G16" s="200" t="str">
        <f t="shared" si="0"/>
        <v/>
      </c>
      <c r="L16" s="200" t="str">
        <f t="shared" si="3"/>
        <v/>
      </c>
      <c r="Q16" s="200" t="str">
        <f>IF(P16=1,"New","")</f>
        <v/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</row>
    <row r="17" spans="1:252" x14ac:dyDescent="0.25">
      <c r="A17" s="213" t="s">
        <v>302</v>
      </c>
      <c r="B17" s="7" t="s">
        <v>358</v>
      </c>
      <c r="D17" s="60"/>
      <c r="E17" s="60"/>
      <c r="F17" s="60"/>
      <c r="G17" s="200" t="str">
        <f t="shared" si="0"/>
        <v/>
      </c>
      <c r="H17" s="192"/>
      <c r="I17" s="60"/>
      <c r="J17" s="60"/>
      <c r="K17" s="60"/>
      <c r="L17" s="200" t="str">
        <f t="shared" si="3"/>
        <v/>
      </c>
      <c r="M17" s="192"/>
      <c r="N17" s="60"/>
      <c r="O17" s="60"/>
      <c r="P17" s="60"/>
      <c r="Q17" s="200" t="str">
        <f t="shared" si="2"/>
        <v/>
      </c>
      <c r="R17" s="192"/>
      <c r="S17" s="60"/>
      <c r="T17" s="205"/>
      <c r="U17" s="8"/>
      <c r="V17" s="8"/>
    </row>
    <row r="18" spans="1:252" x14ac:dyDescent="0.25">
      <c r="A18" s="213" t="s">
        <v>302</v>
      </c>
      <c r="B18" s="7" t="s">
        <v>361</v>
      </c>
      <c r="D18" s="60"/>
      <c r="E18" s="60"/>
      <c r="F18" s="60"/>
      <c r="G18" s="200" t="str">
        <f t="shared" si="0"/>
        <v/>
      </c>
      <c r="H18" s="192"/>
      <c r="I18" s="60"/>
      <c r="J18" s="60"/>
      <c r="K18" s="60"/>
      <c r="L18" s="200" t="str">
        <f t="shared" si="3"/>
        <v/>
      </c>
      <c r="M18" s="192"/>
      <c r="N18" s="60"/>
      <c r="O18" s="60"/>
      <c r="P18" s="60"/>
      <c r="Q18" s="200" t="str">
        <f t="shared" si="2"/>
        <v/>
      </c>
      <c r="R18" s="192"/>
      <c r="S18" s="60"/>
      <c r="T18" s="205"/>
      <c r="U18" s="8"/>
      <c r="V18" s="8"/>
    </row>
    <row r="19" spans="1:252" x14ac:dyDescent="0.25">
      <c r="A19" s="213" t="s">
        <v>302</v>
      </c>
      <c r="B19" s="7" t="s">
        <v>363</v>
      </c>
      <c r="D19" s="60"/>
      <c r="E19" s="60"/>
      <c r="F19" s="60"/>
      <c r="G19" s="200" t="str">
        <f t="shared" si="0"/>
        <v/>
      </c>
      <c r="H19" s="192"/>
      <c r="I19" s="60"/>
      <c r="J19" s="60"/>
      <c r="K19" s="60"/>
      <c r="L19" s="200" t="str">
        <f t="shared" si="3"/>
        <v/>
      </c>
      <c r="M19" s="192"/>
      <c r="N19" s="60"/>
      <c r="O19" s="60"/>
      <c r="P19" s="60"/>
      <c r="Q19" s="200" t="str">
        <f t="shared" si="2"/>
        <v/>
      </c>
      <c r="R19" s="192"/>
      <c r="S19" s="60"/>
      <c r="T19" s="205"/>
      <c r="U19" s="8"/>
      <c r="V19" s="8"/>
    </row>
    <row r="20" spans="1:252" x14ac:dyDescent="0.25">
      <c r="A20" s="213" t="s">
        <v>302</v>
      </c>
      <c r="B20" s="7" t="s">
        <v>366</v>
      </c>
      <c r="D20" s="60"/>
      <c r="E20" s="60"/>
      <c r="F20" s="60"/>
      <c r="G20" s="200" t="str">
        <f t="shared" si="0"/>
        <v/>
      </c>
      <c r="H20" s="192"/>
      <c r="I20" s="60"/>
      <c r="J20" s="60"/>
      <c r="K20" s="60"/>
      <c r="L20" s="200" t="str">
        <f t="shared" si="3"/>
        <v/>
      </c>
      <c r="M20" s="192"/>
      <c r="N20" s="60"/>
      <c r="O20" s="60"/>
      <c r="P20" s="60"/>
      <c r="Q20" s="200" t="str">
        <f t="shared" si="2"/>
        <v/>
      </c>
      <c r="R20" s="192"/>
      <c r="S20" s="60"/>
      <c r="T20" s="205"/>
      <c r="U20" s="8"/>
      <c r="V20" s="8"/>
    </row>
    <row r="21" spans="1:252" x14ac:dyDescent="0.25">
      <c r="A21" s="214" t="s">
        <v>302</v>
      </c>
      <c r="B21" s="7" t="s">
        <v>368</v>
      </c>
      <c r="D21" s="60"/>
      <c r="E21" s="60"/>
      <c r="F21" s="60"/>
      <c r="G21" s="200" t="str">
        <f t="shared" si="0"/>
        <v/>
      </c>
      <c r="H21" s="192"/>
      <c r="I21" s="60"/>
      <c r="J21" s="60"/>
      <c r="K21" s="60"/>
      <c r="L21" s="200" t="str">
        <f t="shared" si="3"/>
        <v/>
      </c>
      <c r="M21" s="192"/>
      <c r="N21" s="60"/>
      <c r="O21" s="60"/>
      <c r="P21" s="60"/>
      <c r="Q21" s="200" t="str">
        <f t="shared" si="2"/>
        <v/>
      </c>
      <c r="R21" s="192"/>
      <c r="S21" s="60"/>
      <c r="T21" s="205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</row>
    <row r="22" spans="1:252" x14ac:dyDescent="0.25">
      <c r="A22" s="214" t="s">
        <v>302</v>
      </c>
      <c r="B22" s="7" t="s">
        <v>1821</v>
      </c>
      <c r="C22" s="190" t="s">
        <v>1770</v>
      </c>
      <c r="D22" s="60">
        <v>1</v>
      </c>
      <c r="E22" s="60"/>
      <c r="F22" s="60"/>
      <c r="G22" s="200" t="str">
        <f t="shared" ref="G22" si="4">IF(F22=1,"New","")</f>
        <v/>
      </c>
      <c r="H22" s="192"/>
      <c r="I22" s="60"/>
      <c r="J22" s="60"/>
      <c r="K22" s="60"/>
      <c r="M22" s="192"/>
      <c r="N22" s="60"/>
      <c r="O22" s="60"/>
      <c r="P22" s="60"/>
      <c r="R22" s="192"/>
      <c r="S22" s="60"/>
      <c r="T22" s="20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</row>
    <row r="23" spans="1:252" x14ac:dyDescent="0.25">
      <c r="A23" s="214" t="s">
        <v>302</v>
      </c>
      <c r="B23" s="7" t="s">
        <v>371</v>
      </c>
      <c r="D23" s="60"/>
      <c r="E23" s="60"/>
      <c r="F23" s="60"/>
      <c r="G23" s="200" t="str">
        <f t="shared" si="0"/>
        <v/>
      </c>
      <c r="H23" s="192"/>
      <c r="I23" s="60"/>
      <c r="J23" s="60"/>
      <c r="K23" s="60"/>
      <c r="L23" s="200" t="str">
        <f t="shared" si="3"/>
        <v/>
      </c>
      <c r="M23" s="192"/>
      <c r="N23" s="60"/>
      <c r="O23" s="60"/>
      <c r="P23" s="60"/>
      <c r="Q23" s="200" t="str">
        <f t="shared" si="2"/>
        <v/>
      </c>
      <c r="R23" s="192"/>
      <c r="S23" s="60"/>
      <c r="T23" s="205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</row>
    <row r="24" spans="1:252" x14ac:dyDescent="0.25">
      <c r="A24" s="214" t="s">
        <v>302</v>
      </c>
      <c r="B24" s="7" t="s">
        <v>374</v>
      </c>
      <c r="D24" s="60"/>
      <c r="E24" s="60"/>
      <c r="F24" s="60"/>
      <c r="G24" s="200" t="str">
        <f t="shared" si="0"/>
        <v/>
      </c>
      <c r="H24" s="192"/>
      <c r="I24" s="60"/>
      <c r="J24" s="60"/>
      <c r="K24" s="60"/>
      <c r="L24" s="200" t="str">
        <f t="shared" si="3"/>
        <v/>
      </c>
      <c r="M24" s="192"/>
      <c r="N24" s="60"/>
      <c r="O24" s="60"/>
      <c r="P24" s="60"/>
      <c r="Q24" s="200" t="str">
        <f t="shared" si="2"/>
        <v/>
      </c>
      <c r="R24" s="192"/>
      <c r="S24" s="60"/>
      <c r="T24" s="205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</row>
    <row r="25" spans="1:252" x14ac:dyDescent="0.25">
      <c r="A25" s="214" t="s">
        <v>302</v>
      </c>
      <c r="B25" s="7" t="s">
        <v>98</v>
      </c>
      <c r="D25" s="60"/>
      <c r="E25" s="60"/>
      <c r="F25" s="60"/>
      <c r="G25" s="200" t="str">
        <f t="shared" si="0"/>
        <v/>
      </c>
      <c r="H25" s="192"/>
      <c r="I25" s="60"/>
      <c r="J25" s="60"/>
      <c r="K25" s="60"/>
      <c r="L25" s="200" t="str">
        <f t="shared" si="3"/>
        <v/>
      </c>
      <c r="M25" s="192"/>
      <c r="N25" s="60"/>
      <c r="O25" s="60"/>
      <c r="P25" s="60"/>
      <c r="Q25" s="200" t="str">
        <f t="shared" si="2"/>
        <v/>
      </c>
      <c r="R25" s="192"/>
      <c r="S25" s="60"/>
      <c r="T25" s="205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</row>
    <row r="26" spans="1:252" x14ac:dyDescent="0.25">
      <c r="A26" s="214" t="s">
        <v>302</v>
      </c>
      <c r="B26" s="7" t="s">
        <v>380</v>
      </c>
      <c r="D26" s="60"/>
      <c r="E26" s="60"/>
      <c r="F26" s="60"/>
      <c r="G26" s="200" t="str">
        <f t="shared" si="0"/>
        <v/>
      </c>
      <c r="H26" s="192"/>
      <c r="I26" s="60"/>
      <c r="J26" s="60"/>
      <c r="K26" s="60"/>
      <c r="L26" s="200" t="str">
        <f t="shared" si="3"/>
        <v/>
      </c>
      <c r="M26" s="192"/>
      <c r="N26" s="60"/>
      <c r="O26" s="60"/>
      <c r="P26" s="60"/>
      <c r="Q26" s="200" t="str">
        <f t="shared" si="2"/>
        <v/>
      </c>
      <c r="R26" s="192"/>
      <c r="S26" s="60"/>
      <c r="T26" s="205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</row>
    <row r="27" spans="1:252" x14ac:dyDescent="0.25">
      <c r="A27" s="214" t="s">
        <v>302</v>
      </c>
      <c r="B27" s="7" t="s">
        <v>383</v>
      </c>
      <c r="D27" s="60"/>
      <c r="E27" s="60"/>
      <c r="F27" s="60"/>
      <c r="G27" s="200" t="str">
        <f t="shared" si="0"/>
        <v/>
      </c>
      <c r="H27" s="192"/>
      <c r="I27" s="60"/>
      <c r="J27" s="60"/>
      <c r="K27" s="60"/>
      <c r="L27" s="200" t="str">
        <f t="shared" si="3"/>
        <v/>
      </c>
      <c r="M27" s="192"/>
      <c r="N27" s="60"/>
      <c r="O27" s="60"/>
      <c r="P27" s="60"/>
      <c r="Q27" s="200" t="str">
        <f t="shared" si="2"/>
        <v/>
      </c>
      <c r="R27" s="192"/>
      <c r="S27" s="60"/>
      <c r="T27" s="20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</row>
    <row r="28" spans="1:252" x14ac:dyDescent="0.25">
      <c r="A28" s="214" t="s">
        <v>302</v>
      </c>
      <c r="B28" s="7" t="s">
        <v>386</v>
      </c>
      <c r="C28" s="190" t="s">
        <v>310</v>
      </c>
      <c r="D28" s="60">
        <v>1</v>
      </c>
      <c r="E28" s="60"/>
      <c r="F28" s="60"/>
      <c r="G28" s="200" t="str">
        <f t="shared" si="0"/>
        <v/>
      </c>
      <c r="H28" s="192"/>
      <c r="I28" s="60"/>
      <c r="J28" s="60"/>
      <c r="K28" s="60"/>
      <c r="L28" s="200" t="str">
        <f t="shared" si="3"/>
        <v/>
      </c>
      <c r="M28" s="192"/>
      <c r="N28" s="60"/>
      <c r="O28" s="60"/>
      <c r="P28" s="60"/>
      <c r="Q28" s="200" t="str">
        <f t="shared" si="2"/>
        <v/>
      </c>
      <c r="R28" s="192"/>
      <c r="S28" s="60"/>
      <c r="T28" s="205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</row>
    <row r="29" spans="1:252" x14ac:dyDescent="0.25">
      <c r="A29" s="214" t="s">
        <v>302</v>
      </c>
      <c r="B29" s="7" t="s">
        <v>130</v>
      </c>
      <c r="C29" s="190" t="s">
        <v>310</v>
      </c>
      <c r="D29" s="60">
        <v>1</v>
      </c>
      <c r="E29" s="60"/>
      <c r="F29" s="60"/>
      <c r="G29" s="200" t="str">
        <f t="shared" si="0"/>
        <v/>
      </c>
      <c r="H29" s="192"/>
      <c r="I29" s="60"/>
      <c r="J29" s="60"/>
      <c r="K29" s="60"/>
      <c r="L29" s="200" t="str">
        <f t="shared" si="3"/>
        <v/>
      </c>
      <c r="M29" s="192"/>
      <c r="N29" s="60"/>
      <c r="O29" s="60"/>
      <c r="P29" s="60"/>
      <c r="Q29" s="200" t="str">
        <f t="shared" si="2"/>
        <v/>
      </c>
      <c r="R29" s="192"/>
      <c r="S29" s="60"/>
      <c r="T29" s="20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</row>
    <row r="30" spans="1:252" x14ac:dyDescent="0.25">
      <c r="A30" s="214" t="s">
        <v>302</v>
      </c>
      <c r="B30" s="7" t="s">
        <v>181</v>
      </c>
      <c r="C30" s="190" t="s">
        <v>310</v>
      </c>
      <c r="D30" s="191">
        <v>1</v>
      </c>
      <c r="G30" s="200" t="str">
        <f t="shared" si="0"/>
        <v/>
      </c>
      <c r="L30" s="200" t="str">
        <f t="shared" si="3"/>
        <v/>
      </c>
      <c r="Q30" s="200" t="str">
        <f t="shared" si="2"/>
        <v/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</row>
    <row r="31" spans="1:252" x14ac:dyDescent="0.25">
      <c r="A31" s="214" t="s">
        <v>302</v>
      </c>
      <c r="B31" s="7" t="s">
        <v>389</v>
      </c>
      <c r="C31" s="190" t="s">
        <v>310</v>
      </c>
      <c r="D31" s="60">
        <v>1</v>
      </c>
      <c r="E31" s="60"/>
      <c r="F31" s="60"/>
      <c r="G31" s="200" t="str">
        <f t="shared" si="0"/>
        <v/>
      </c>
      <c r="H31" s="192"/>
      <c r="I31" s="60"/>
      <c r="J31" s="60"/>
      <c r="K31" s="60"/>
      <c r="L31" s="200" t="str">
        <f t="shared" si="3"/>
        <v/>
      </c>
      <c r="M31" s="192"/>
      <c r="N31" s="60"/>
      <c r="O31" s="60"/>
      <c r="P31" s="60"/>
      <c r="Q31" s="200" t="str">
        <f t="shared" si="2"/>
        <v/>
      </c>
      <c r="R31" s="192"/>
      <c r="S31" s="60"/>
      <c r="T31" s="20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</row>
    <row r="32" spans="1:252" x14ac:dyDescent="0.25">
      <c r="A32" s="214" t="s">
        <v>302</v>
      </c>
      <c r="B32" s="7" t="s">
        <v>377</v>
      </c>
      <c r="D32" s="60"/>
      <c r="E32" s="60"/>
      <c r="F32" s="60"/>
      <c r="G32" s="200" t="str">
        <f t="shared" si="0"/>
        <v/>
      </c>
      <c r="H32" s="192"/>
      <c r="I32" s="60"/>
      <c r="J32" s="60"/>
      <c r="K32" s="60"/>
      <c r="L32" s="200" t="str">
        <f t="shared" si="3"/>
        <v/>
      </c>
      <c r="M32" s="192"/>
      <c r="N32" s="60"/>
      <c r="O32" s="60"/>
      <c r="P32" s="60"/>
      <c r="Q32" s="200" t="str">
        <f t="shared" si="2"/>
        <v/>
      </c>
      <c r="R32" s="192"/>
      <c r="S32" s="60"/>
      <c r="T32" s="20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</row>
    <row r="33" spans="1:252" x14ac:dyDescent="0.25">
      <c r="A33" s="214" t="s">
        <v>302</v>
      </c>
      <c r="B33" s="7" t="s">
        <v>392</v>
      </c>
      <c r="D33" s="60"/>
      <c r="E33" s="60"/>
      <c r="F33" s="60"/>
      <c r="G33" s="200" t="str">
        <f t="shared" si="0"/>
        <v/>
      </c>
      <c r="H33" s="192"/>
      <c r="I33" s="60"/>
      <c r="J33" s="60"/>
      <c r="K33" s="60"/>
      <c r="L33" s="200" t="str">
        <f t="shared" si="3"/>
        <v/>
      </c>
      <c r="M33" s="192"/>
      <c r="N33" s="60"/>
      <c r="O33" s="60"/>
      <c r="P33" s="60"/>
      <c r="Q33" s="200" t="str">
        <f t="shared" si="2"/>
        <v/>
      </c>
      <c r="R33" s="192"/>
      <c r="S33" s="60"/>
      <c r="T33" s="205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</row>
    <row r="34" spans="1:252" x14ac:dyDescent="0.25">
      <c r="A34" s="214" t="s">
        <v>302</v>
      </c>
      <c r="B34" s="7" t="s">
        <v>395</v>
      </c>
      <c r="C34" s="190" t="s">
        <v>310</v>
      </c>
      <c r="D34" s="60">
        <v>1</v>
      </c>
      <c r="E34" s="60"/>
      <c r="F34" s="60"/>
      <c r="G34" s="200" t="str">
        <f t="shared" si="0"/>
        <v/>
      </c>
      <c r="H34" s="192"/>
      <c r="I34" s="60"/>
      <c r="J34" s="60"/>
      <c r="K34" s="60"/>
      <c r="L34" s="200" t="str">
        <f t="shared" si="3"/>
        <v/>
      </c>
      <c r="M34" s="192"/>
      <c r="N34" s="60"/>
      <c r="O34" s="60"/>
      <c r="P34" s="60"/>
      <c r="Q34" s="200" t="str">
        <f t="shared" si="2"/>
        <v/>
      </c>
      <c r="R34" s="192"/>
      <c r="S34" s="60"/>
      <c r="T34" s="205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</row>
    <row r="35" spans="1:252" x14ac:dyDescent="0.25">
      <c r="A35" s="214" t="s">
        <v>302</v>
      </c>
      <c r="B35" s="18" t="s">
        <v>398</v>
      </c>
      <c r="D35" s="60"/>
      <c r="E35" s="60"/>
      <c r="F35" s="60"/>
      <c r="G35" s="200" t="str">
        <f t="shared" si="0"/>
        <v/>
      </c>
      <c r="H35" s="192"/>
      <c r="I35" s="60"/>
      <c r="J35" s="60"/>
      <c r="K35" s="60"/>
      <c r="L35" s="200" t="str">
        <f t="shared" si="3"/>
        <v/>
      </c>
      <c r="M35" s="192"/>
      <c r="N35" s="60"/>
      <c r="O35" s="60"/>
      <c r="P35" s="60"/>
      <c r="Q35" s="200" t="str">
        <f t="shared" si="2"/>
        <v/>
      </c>
      <c r="R35" s="192"/>
      <c r="S35" s="60"/>
      <c r="T35" s="205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</row>
    <row r="36" spans="1:252" x14ac:dyDescent="0.25">
      <c r="A36" s="214" t="s">
        <v>302</v>
      </c>
      <c r="B36" s="7" t="s">
        <v>401</v>
      </c>
      <c r="C36" s="190" t="s">
        <v>310</v>
      </c>
      <c r="D36" s="60">
        <v>1</v>
      </c>
      <c r="E36" s="60"/>
      <c r="F36" s="60"/>
      <c r="G36" s="200" t="str">
        <f t="shared" si="0"/>
        <v/>
      </c>
      <c r="H36" s="192"/>
      <c r="I36" s="60"/>
      <c r="J36" s="60"/>
      <c r="K36" s="60"/>
      <c r="L36" s="200" t="str">
        <f t="shared" si="3"/>
        <v/>
      </c>
      <c r="M36" s="192"/>
      <c r="N36" s="60"/>
      <c r="O36" s="60"/>
      <c r="P36" s="60"/>
      <c r="Q36" s="200" t="str">
        <f t="shared" si="2"/>
        <v/>
      </c>
      <c r="R36" s="192"/>
      <c r="S36" s="60"/>
      <c r="T36" s="205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</row>
    <row r="37" spans="1:252" x14ac:dyDescent="0.25">
      <c r="A37" s="214" t="s">
        <v>302</v>
      </c>
      <c r="B37" s="7" t="s">
        <v>404</v>
      </c>
      <c r="D37" s="60"/>
      <c r="E37" s="60"/>
      <c r="F37" s="60"/>
      <c r="G37" s="200" t="str">
        <f t="shared" si="0"/>
        <v/>
      </c>
      <c r="H37" s="192"/>
      <c r="I37" s="60"/>
      <c r="J37" s="60"/>
      <c r="K37" s="60"/>
      <c r="L37" s="200" t="str">
        <f t="shared" si="3"/>
        <v/>
      </c>
      <c r="M37" s="192"/>
      <c r="N37" s="60"/>
      <c r="O37" s="60"/>
      <c r="P37" s="60"/>
      <c r="Q37" s="200" t="str">
        <f t="shared" si="2"/>
        <v/>
      </c>
      <c r="R37" s="192"/>
      <c r="S37" s="60"/>
      <c r="T37" s="205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</row>
    <row r="38" spans="1:252" x14ac:dyDescent="0.25">
      <c r="A38" s="214" t="s">
        <v>302</v>
      </c>
      <c r="B38" s="7" t="s">
        <v>407</v>
      </c>
      <c r="D38" s="60"/>
      <c r="E38" s="60"/>
      <c r="F38" s="60"/>
      <c r="G38" s="200" t="str">
        <f t="shared" si="0"/>
        <v/>
      </c>
      <c r="H38" s="192"/>
      <c r="I38" s="60"/>
      <c r="J38" s="60"/>
      <c r="K38" s="60"/>
      <c r="L38" s="200" t="str">
        <f t="shared" si="3"/>
        <v/>
      </c>
      <c r="M38" s="192"/>
      <c r="N38" s="60"/>
      <c r="O38" s="60"/>
      <c r="P38" s="60"/>
      <c r="Q38" s="200" t="str">
        <f t="shared" si="2"/>
        <v/>
      </c>
      <c r="R38" s="192"/>
      <c r="S38" s="60"/>
      <c r="T38" s="205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</row>
    <row r="39" spans="1:252" x14ac:dyDescent="0.25">
      <c r="A39" s="214" t="s">
        <v>302</v>
      </c>
      <c r="B39" s="7" t="s">
        <v>410</v>
      </c>
      <c r="D39" s="60"/>
      <c r="E39" s="60"/>
      <c r="F39" s="60"/>
      <c r="G39" s="200" t="str">
        <f t="shared" si="0"/>
        <v/>
      </c>
      <c r="H39" s="192"/>
      <c r="I39" s="60"/>
      <c r="J39" s="60"/>
      <c r="K39" s="60"/>
      <c r="L39" s="200" t="str">
        <f t="shared" si="3"/>
        <v/>
      </c>
      <c r="M39" s="192"/>
      <c r="N39" s="60"/>
      <c r="O39" s="60"/>
      <c r="P39" s="60"/>
      <c r="Q39" s="200" t="str">
        <f t="shared" si="2"/>
        <v/>
      </c>
      <c r="R39" s="192"/>
      <c r="S39" s="60"/>
      <c r="T39" s="205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</row>
    <row r="40" spans="1:252" x14ac:dyDescent="0.25">
      <c r="A40" s="214" t="s">
        <v>302</v>
      </c>
      <c r="B40" s="7" t="s">
        <v>133</v>
      </c>
      <c r="C40" s="190" t="s">
        <v>310</v>
      </c>
      <c r="D40" s="191">
        <v>1</v>
      </c>
      <c r="G40" s="200" t="str">
        <f t="shared" si="0"/>
        <v/>
      </c>
      <c r="L40" s="200" t="str">
        <f t="shared" si="3"/>
        <v/>
      </c>
      <c r="Q40" s="200" t="str">
        <f t="shared" si="2"/>
        <v/>
      </c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</row>
    <row r="41" spans="1:252" x14ac:dyDescent="0.25">
      <c r="A41" s="214" t="s">
        <v>302</v>
      </c>
      <c r="B41" s="7" t="s">
        <v>414</v>
      </c>
      <c r="D41" s="60"/>
      <c r="E41" s="60"/>
      <c r="F41" s="60"/>
      <c r="G41" s="200" t="str">
        <f t="shared" si="0"/>
        <v/>
      </c>
      <c r="H41" s="192"/>
      <c r="I41" s="60"/>
      <c r="J41" s="60"/>
      <c r="K41" s="60"/>
      <c r="L41" s="200" t="str">
        <f t="shared" si="3"/>
        <v/>
      </c>
      <c r="M41" s="192"/>
      <c r="N41" s="60"/>
      <c r="O41" s="60"/>
      <c r="P41" s="60"/>
      <c r="Q41" s="200" t="str">
        <f t="shared" si="2"/>
        <v/>
      </c>
      <c r="R41" s="192"/>
      <c r="S41" s="60"/>
      <c r="T41" s="20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</row>
    <row r="42" spans="1:252" x14ac:dyDescent="0.25">
      <c r="A42" s="215" t="s">
        <v>302</v>
      </c>
      <c r="B42" s="7" t="s">
        <v>415</v>
      </c>
      <c r="C42" s="201"/>
      <c r="D42" s="187"/>
      <c r="E42" s="187"/>
      <c r="F42" s="187"/>
      <c r="G42" s="208" t="str">
        <f t="shared" si="0"/>
        <v/>
      </c>
      <c r="H42" s="193"/>
      <c r="I42" s="187"/>
      <c r="J42" s="187"/>
      <c r="K42" s="187"/>
      <c r="L42" s="208" t="str">
        <f t="shared" si="3"/>
        <v/>
      </c>
      <c r="M42" s="193"/>
      <c r="N42" s="187"/>
      <c r="O42" s="187"/>
      <c r="P42" s="187"/>
      <c r="Q42" s="208" t="str">
        <f t="shared" si="2"/>
        <v/>
      </c>
      <c r="R42" s="193"/>
      <c r="S42" s="187"/>
      <c r="T42" s="209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</row>
    <row r="43" spans="1:252" x14ac:dyDescent="0.25">
      <c r="A43" s="213" t="s">
        <v>300</v>
      </c>
      <c r="B43" s="7" t="s">
        <v>56</v>
      </c>
      <c r="C43" s="190" t="s">
        <v>310</v>
      </c>
      <c r="D43" s="191">
        <v>1</v>
      </c>
      <c r="G43" s="200" t="str">
        <f t="shared" si="0"/>
        <v/>
      </c>
      <c r="H43" s="190" t="s">
        <v>310</v>
      </c>
      <c r="I43" s="191">
        <v>1</v>
      </c>
      <c r="L43" s="200" t="str">
        <f t="shared" si="3"/>
        <v/>
      </c>
      <c r="M43" s="190" t="s">
        <v>310</v>
      </c>
      <c r="N43" s="191">
        <v>2</v>
      </c>
      <c r="Q43" s="200" t="str">
        <f t="shared" si="2"/>
        <v/>
      </c>
    </row>
    <row r="44" spans="1:252" x14ac:dyDescent="0.25">
      <c r="A44" s="213" t="s">
        <v>300</v>
      </c>
      <c r="B44" s="7" t="s">
        <v>450</v>
      </c>
      <c r="D44" s="60"/>
      <c r="E44" s="60"/>
      <c r="F44" s="60"/>
      <c r="G44" s="200" t="str">
        <f t="shared" si="0"/>
        <v/>
      </c>
      <c r="H44" s="192"/>
      <c r="I44" s="60"/>
      <c r="J44" s="60"/>
      <c r="K44" s="60"/>
      <c r="L44" s="200" t="str">
        <f t="shared" si="3"/>
        <v/>
      </c>
      <c r="M44" s="192"/>
      <c r="N44" s="60"/>
      <c r="O44" s="60"/>
      <c r="P44" s="60"/>
      <c r="Q44" s="200" t="str">
        <f t="shared" si="2"/>
        <v/>
      </c>
      <c r="R44" s="192"/>
      <c r="S44" s="60"/>
      <c r="T44" s="205"/>
    </row>
    <row r="45" spans="1:252" x14ac:dyDescent="0.25">
      <c r="A45" s="213" t="s">
        <v>300</v>
      </c>
      <c r="B45" s="166" t="s">
        <v>453</v>
      </c>
      <c r="C45" s="190" t="s">
        <v>310</v>
      </c>
      <c r="D45" s="60">
        <v>1</v>
      </c>
      <c r="E45" s="60"/>
      <c r="F45" s="60"/>
      <c r="G45" s="200" t="str">
        <f t="shared" si="0"/>
        <v/>
      </c>
      <c r="H45" s="192"/>
      <c r="I45" s="60"/>
      <c r="J45" s="60"/>
      <c r="K45" s="60"/>
      <c r="L45" s="200" t="str">
        <f t="shared" si="3"/>
        <v/>
      </c>
      <c r="M45" s="192"/>
      <c r="N45" s="60"/>
      <c r="O45" s="60"/>
      <c r="P45" s="60"/>
      <c r="Q45" s="200" t="str">
        <f t="shared" si="2"/>
        <v/>
      </c>
      <c r="R45" s="192"/>
      <c r="S45" s="60"/>
      <c r="T45" s="205"/>
    </row>
    <row r="46" spans="1:252" x14ac:dyDescent="0.25">
      <c r="A46" s="213" t="s">
        <v>300</v>
      </c>
      <c r="B46" s="7" t="s">
        <v>204</v>
      </c>
      <c r="C46" s="190" t="s">
        <v>310</v>
      </c>
      <c r="D46" s="191">
        <v>1</v>
      </c>
      <c r="G46" s="200" t="str">
        <f t="shared" si="0"/>
        <v/>
      </c>
      <c r="L46" s="200" t="str">
        <f t="shared" si="3"/>
        <v/>
      </c>
      <c r="Q46" s="200" t="str">
        <f t="shared" si="2"/>
        <v/>
      </c>
    </row>
    <row r="47" spans="1:252" x14ac:dyDescent="0.25">
      <c r="A47" s="213" t="s">
        <v>300</v>
      </c>
      <c r="B47" s="7" t="s">
        <v>456</v>
      </c>
      <c r="D47" s="60"/>
      <c r="E47" s="60"/>
      <c r="F47" s="60"/>
      <c r="G47" s="200" t="str">
        <f t="shared" si="0"/>
        <v/>
      </c>
      <c r="H47" s="192"/>
      <c r="I47" s="60"/>
      <c r="J47" s="60"/>
      <c r="K47" s="60"/>
      <c r="L47" s="200" t="str">
        <f t="shared" si="3"/>
        <v/>
      </c>
      <c r="M47" s="192"/>
      <c r="N47" s="60"/>
      <c r="O47" s="60"/>
      <c r="P47" s="60"/>
      <c r="Q47" s="200" t="str">
        <f t="shared" si="2"/>
        <v/>
      </c>
      <c r="R47" s="192"/>
      <c r="S47" s="60"/>
      <c r="T47" s="205"/>
    </row>
    <row r="48" spans="1:252" x14ac:dyDescent="0.25">
      <c r="A48" s="213" t="s">
        <v>300</v>
      </c>
      <c r="B48" s="7" t="s">
        <v>459</v>
      </c>
      <c r="C48" s="190" t="s">
        <v>310</v>
      </c>
      <c r="D48" s="60">
        <v>1</v>
      </c>
      <c r="E48" s="60"/>
      <c r="F48" s="60"/>
      <c r="G48" s="200" t="str">
        <f t="shared" si="0"/>
        <v/>
      </c>
      <c r="H48" s="192"/>
      <c r="I48" s="60"/>
      <c r="J48" s="60"/>
      <c r="K48" s="60"/>
      <c r="L48" s="200" t="str">
        <f t="shared" si="3"/>
        <v/>
      </c>
      <c r="M48" s="192"/>
      <c r="N48" s="60"/>
      <c r="O48" s="60"/>
      <c r="P48" s="60"/>
      <c r="Q48" s="200" t="str">
        <f t="shared" si="2"/>
        <v/>
      </c>
      <c r="R48" s="192"/>
      <c r="S48" s="60"/>
      <c r="T48" s="205"/>
    </row>
    <row r="49" spans="1:252" x14ac:dyDescent="0.25">
      <c r="A49" s="213" t="s">
        <v>300</v>
      </c>
      <c r="B49" s="7" t="s">
        <v>462</v>
      </c>
      <c r="D49" s="60"/>
      <c r="E49" s="60"/>
      <c r="F49" s="60"/>
      <c r="G49" s="200" t="str">
        <f t="shared" si="0"/>
        <v/>
      </c>
      <c r="H49" s="192"/>
      <c r="I49" s="60"/>
      <c r="J49" s="60"/>
      <c r="K49" s="60"/>
      <c r="L49" s="200" t="str">
        <f t="shared" si="3"/>
        <v/>
      </c>
      <c r="M49" s="192"/>
      <c r="N49" s="60"/>
      <c r="O49" s="60"/>
      <c r="P49" s="60"/>
      <c r="Q49" s="200" t="str">
        <f t="shared" si="2"/>
        <v/>
      </c>
      <c r="R49" s="192"/>
      <c r="S49" s="60"/>
      <c r="T49" s="205"/>
    </row>
    <row r="50" spans="1:252" x14ac:dyDescent="0.25">
      <c r="A50" s="213" t="s">
        <v>300</v>
      </c>
      <c r="B50" s="7" t="s">
        <v>465</v>
      </c>
      <c r="D50" s="60"/>
      <c r="E50" s="60"/>
      <c r="F50" s="60"/>
      <c r="G50" s="200" t="str">
        <f t="shared" si="0"/>
        <v/>
      </c>
      <c r="H50" s="192"/>
      <c r="I50" s="60"/>
      <c r="J50" s="60"/>
      <c r="K50" s="60"/>
      <c r="L50" s="200" t="str">
        <f t="shared" si="3"/>
        <v/>
      </c>
      <c r="M50" s="192"/>
      <c r="N50" s="60"/>
      <c r="O50" s="60"/>
      <c r="P50" s="60"/>
      <c r="Q50" s="200" t="str">
        <f t="shared" si="2"/>
        <v/>
      </c>
      <c r="R50" s="192"/>
      <c r="S50" s="60"/>
      <c r="T50" s="205"/>
    </row>
    <row r="51" spans="1:252" x14ac:dyDescent="0.25">
      <c r="A51" s="213" t="s">
        <v>300</v>
      </c>
      <c r="B51" s="7" t="s">
        <v>468</v>
      </c>
      <c r="C51" s="190" t="s">
        <v>310</v>
      </c>
      <c r="D51" s="60">
        <v>2</v>
      </c>
      <c r="E51" s="60"/>
      <c r="F51" s="60"/>
      <c r="G51" s="200" t="str">
        <f t="shared" si="0"/>
        <v/>
      </c>
      <c r="H51" s="192"/>
      <c r="I51" s="60"/>
      <c r="J51" s="60"/>
      <c r="K51" s="60"/>
      <c r="L51" s="200" t="str">
        <f t="shared" si="3"/>
        <v/>
      </c>
      <c r="M51" s="192"/>
      <c r="N51" s="60"/>
      <c r="O51" s="60"/>
      <c r="P51" s="60"/>
      <c r="Q51" s="200" t="str">
        <f t="shared" si="2"/>
        <v/>
      </c>
      <c r="R51" s="192"/>
      <c r="S51" s="60"/>
      <c r="T51" s="205"/>
    </row>
    <row r="52" spans="1:252" x14ac:dyDescent="0.25">
      <c r="A52" s="213" t="s">
        <v>300</v>
      </c>
      <c r="B52" s="7" t="s">
        <v>471</v>
      </c>
      <c r="D52" s="60"/>
      <c r="E52" s="60"/>
      <c r="F52" s="60"/>
      <c r="G52" s="200" t="str">
        <f t="shared" si="0"/>
        <v/>
      </c>
      <c r="H52" s="192"/>
      <c r="I52" s="60"/>
      <c r="J52" s="60"/>
      <c r="K52" s="60"/>
      <c r="L52" s="200" t="str">
        <f t="shared" si="3"/>
        <v/>
      </c>
      <c r="M52" s="192"/>
      <c r="N52" s="60"/>
      <c r="O52" s="60"/>
      <c r="P52" s="60"/>
      <c r="Q52" s="200" t="str">
        <f t="shared" si="2"/>
        <v/>
      </c>
      <c r="R52" s="192"/>
      <c r="S52" s="60"/>
      <c r="T52" s="205"/>
    </row>
    <row r="53" spans="1:252" x14ac:dyDescent="0.25">
      <c r="A53" s="213" t="s">
        <v>300</v>
      </c>
      <c r="B53" s="168" t="s">
        <v>474</v>
      </c>
      <c r="D53" s="60"/>
      <c r="E53" s="60"/>
      <c r="F53" s="60"/>
      <c r="G53" s="200" t="str">
        <f t="shared" si="0"/>
        <v/>
      </c>
      <c r="H53" s="192"/>
      <c r="I53" s="60"/>
      <c r="J53" s="60"/>
      <c r="K53" s="60"/>
      <c r="L53" s="200" t="str">
        <f t="shared" si="3"/>
        <v/>
      </c>
      <c r="M53" s="192"/>
      <c r="N53" s="60"/>
      <c r="O53" s="60"/>
      <c r="P53" s="60"/>
      <c r="Q53" s="200" t="str">
        <f t="shared" si="2"/>
        <v/>
      </c>
      <c r="R53" s="192"/>
      <c r="S53" s="60"/>
      <c r="T53" s="205"/>
    </row>
    <row r="54" spans="1:252" x14ac:dyDescent="0.25">
      <c r="A54" s="214" t="s">
        <v>300</v>
      </c>
      <c r="B54" s="7" t="s">
        <v>66</v>
      </c>
      <c r="G54" s="200" t="str">
        <f t="shared" si="0"/>
        <v/>
      </c>
      <c r="H54" s="190" t="s">
        <v>310</v>
      </c>
      <c r="I54" s="191">
        <v>1</v>
      </c>
      <c r="L54" s="200" t="str">
        <f t="shared" si="3"/>
        <v/>
      </c>
      <c r="Q54" s="200" t="str">
        <f t="shared" si="2"/>
        <v/>
      </c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</row>
    <row r="55" spans="1:252" x14ac:dyDescent="0.25">
      <c r="A55" s="214" t="s">
        <v>300</v>
      </c>
      <c r="B55" s="7" t="s">
        <v>477</v>
      </c>
      <c r="D55" s="60"/>
      <c r="E55" s="60"/>
      <c r="F55" s="60"/>
      <c r="G55" s="200" t="str">
        <f t="shared" si="0"/>
        <v/>
      </c>
      <c r="H55" s="192"/>
      <c r="I55" s="60"/>
      <c r="J55" s="60"/>
      <c r="K55" s="60"/>
      <c r="L55" s="200" t="str">
        <f t="shared" si="3"/>
        <v/>
      </c>
      <c r="M55" s="192"/>
      <c r="N55" s="60"/>
      <c r="O55" s="60"/>
      <c r="P55" s="60"/>
      <c r="Q55" s="200" t="str">
        <f t="shared" si="2"/>
        <v/>
      </c>
      <c r="R55" s="192"/>
      <c r="S55" s="60"/>
      <c r="T55" s="205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</row>
    <row r="56" spans="1:252" x14ac:dyDescent="0.25">
      <c r="A56" s="214" t="s">
        <v>300</v>
      </c>
      <c r="B56" s="7" t="s">
        <v>479</v>
      </c>
      <c r="D56" s="60"/>
      <c r="E56" s="60"/>
      <c r="F56" s="60"/>
      <c r="G56" s="200" t="str">
        <f t="shared" si="0"/>
        <v/>
      </c>
      <c r="H56" s="192"/>
      <c r="I56" s="60"/>
      <c r="J56" s="60"/>
      <c r="K56" s="60"/>
      <c r="L56" s="200" t="str">
        <f t="shared" si="3"/>
        <v/>
      </c>
      <c r="M56" s="192"/>
      <c r="N56" s="60"/>
      <c r="O56" s="60"/>
      <c r="P56" s="60"/>
      <c r="Q56" s="200" t="str">
        <f t="shared" si="2"/>
        <v/>
      </c>
      <c r="R56" s="192"/>
      <c r="S56" s="60"/>
      <c r="T56" s="205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</row>
    <row r="57" spans="1:252" x14ac:dyDescent="0.25">
      <c r="A57" s="214" t="s">
        <v>300</v>
      </c>
      <c r="B57" s="7" t="s">
        <v>482</v>
      </c>
      <c r="D57" s="60"/>
      <c r="E57" s="60"/>
      <c r="F57" s="60"/>
      <c r="G57" s="200" t="str">
        <f t="shared" si="0"/>
        <v/>
      </c>
      <c r="H57" s="192"/>
      <c r="I57" s="60"/>
      <c r="J57" s="60"/>
      <c r="K57" s="60"/>
      <c r="L57" s="200" t="str">
        <f t="shared" si="3"/>
        <v/>
      </c>
      <c r="M57" s="192"/>
      <c r="N57" s="60"/>
      <c r="O57" s="60"/>
      <c r="P57" s="60"/>
      <c r="Q57" s="200" t="str">
        <f t="shared" si="2"/>
        <v/>
      </c>
      <c r="R57" s="192"/>
      <c r="S57" s="60"/>
      <c r="T57" s="205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</row>
    <row r="58" spans="1:252" x14ac:dyDescent="0.25">
      <c r="A58" s="214" t="s">
        <v>300</v>
      </c>
      <c r="B58" s="7" t="s">
        <v>485</v>
      </c>
      <c r="D58" s="60"/>
      <c r="E58" s="60"/>
      <c r="F58" s="60"/>
      <c r="G58" s="200" t="str">
        <f t="shared" si="0"/>
        <v/>
      </c>
      <c r="H58" s="192"/>
      <c r="I58" s="60"/>
      <c r="J58" s="60"/>
      <c r="K58" s="60"/>
      <c r="L58" s="200" t="str">
        <f t="shared" si="3"/>
        <v/>
      </c>
      <c r="M58" s="192"/>
      <c r="N58" s="60"/>
      <c r="O58" s="60"/>
      <c r="P58" s="60"/>
      <c r="Q58" s="200" t="str">
        <f t="shared" si="2"/>
        <v/>
      </c>
      <c r="R58" s="192"/>
      <c r="S58" s="60"/>
      <c r="T58" s="205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</row>
    <row r="59" spans="1:252" x14ac:dyDescent="0.25">
      <c r="A59" s="214" t="s">
        <v>300</v>
      </c>
      <c r="B59" s="7" t="s">
        <v>488</v>
      </c>
      <c r="D59" s="60"/>
      <c r="E59" s="60"/>
      <c r="F59" s="60"/>
      <c r="G59" s="200" t="str">
        <f t="shared" si="0"/>
        <v/>
      </c>
      <c r="H59" s="192"/>
      <c r="I59" s="60"/>
      <c r="J59" s="60"/>
      <c r="K59" s="60"/>
      <c r="L59" s="200" t="str">
        <f t="shared" si="3"/>
        <v/>
      </c>
      <c r="M59" s="192"/>
      <c r="N59" s="60"/>
      <c r="O59" s="60"/>
      <c r="P59" s="60"/>
      <c r="Q59" s="200" t="str">
        <f t="shared" si="2"/>
        <v/>
      </c>
      <c r="R59" s="192"/>
      <c r="S59" s="60"/>
      <c r="T59" s="205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</row>
    <row r="60" spans="1:252" x14ac:dyDescent="0.25">
      <c r="A60" s="214" t="s">
        <v>300</v>
      </c>
      <c r="B60" s="168" t="s">
        <v>491</v>
      </c>
      <c r="D60" s="60"/>
      <c r="E60" s="60"/>
      <c r="F60" s="60"/>
      <c r="G60" s="200" t="str">
        <f t="shared" si="0"/>
        <v/>
      </c>
      <c r="H60" s="192"/>
      <c r="I60" s="60"/>
      <c r="J60" s="60"/>
      <c r="K60" s="60"/>
      <c r="L60" s="200" t="str">
        <f t="shared" si="3"/>
        <v/>
      </c>
      <c r="M60" s="192"/>
      <c r="N60" s="60"/>
      <c r="O60" s="60"/>
      <c r="P60" s="60"/>
      <c r="Q60" s="200" t="str">
        <f t="shared" si="2"/>
        <v/>
      </c>
      <c r="R60" s="192"/>
      <c r="S60" s="60"/>
      <c r="T60" s="205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</row>
    <row r="61" spans="1:252" x14ac:dyDescent="0.25">
      <c r="A61" s="214" t="s">
        <v>300</v>
      </c>
      <c r="B61" s="7" t="s">
        <v>494</v>
      </c>
      <c r="C61" s="190" t="s">
        <v>310</v>
      </c>
      <c r="D61" s="60">
        <v>1</v>
      </c>
      <c r="E61" s="60"/>
      <c r="F61" s="60"/>
      <c r="G61" s="200" t="str">
        <f t="shared" si="0"/>
        <v/>
      </c>
      <c r="H61" s="192"/>
      <c r="I61" s="60"/>
      <c r="J61" s="60"/>
      <c r="K61" s="60"/>
      <c r="L61" s="200" t="str">
        <f t="shared" si="3"/>
        <v/>
      </c>
      <c r="M61" s="192"/>
      <c r="N61" s="60"/>
      <c r="O61" s="60"/>
      <c r="P61" s="60"/>
      <c r="Q61" s="200" t="str">
        <f t="shared" si="2"/>
        <v/>
      </c>
      <c r="R61" s="192"/>
      <c r="S61" s="60"/>
      <c r="T61" s="20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</row>
    <row r="62" spans="1:252" x14ac:dyDescent="0.25">
      <c r="A62" s="214" t="s">
        <v>300</v>
      </c>
      <c r="B62" s="7" t="s">
        <v>496</v>
      </c>
      <c r="D62" s="60"/>
      <c r="E62" s="60"/>
      <c r="F62" s="60"/>
      <c r="G62" s="200" t="str">
        <f t="shared" si="0"/>
        <v/>
      </c>
      <c r="H62" s="192"/>
      <c r="I62" s="60"/>
      <c r="J62" s="60"/>
      <c r="K62" s="60"/>
      <c r="L62" s="200" t="str">
        <f t="shared" si="3"/>
        <v/>
      </c>
      <c r="M62" s="192"/>
      <c r="N62" s="60"/>
      <c r="O62" s="60"/>
      <c r="P62" s="60"/>
      <c r="Q62" s="200" t="str">
        <f t="shared" si="2"/>
        <v/>
      </c>
      <c r="R62" s="192"/>
      <c r="S62" s="60"/>
      <c r="T62" s="205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</row>
    <row r="63" spans="1:252" x14ac:dyDescent="0.25">
      <c r="A63" s="214" t="s">
        <v>300</v>
      </c>
      <c r="B63" s="7" t="s">
        <v>499</v>
      </c>
      <c r="D63" s="60"/>
      <c r="E63" s="60"/>
      <c r="F63" s="60"/>
      <c r="G63" s="200" t="str">
        <f t="shared" si="0"/>
        <v/>
      </c>
      <c r="H63" s="192"/>
      <c r="I63" s="60"/>
      <c r="J63" s="60"/>
      <c r="K63" s="60"/>
      <c r="L63" s="200" t="str">
        <f t="shared" si="3"/>
        <v/>
      </c>
      <c r="M63" s="192"/>
      <c r="N63" s="60"/>
      <c r="O63" s="60"/>
      <c r="P63" s="60"/>
      <c r="Q63" s="200" t="str">
        <f t="shared" si="2"/>
        <v/>
      </c>
      <c r="R63" s="192"/>
      <c r="S63" s="60"/>
      <c r="T63" s="20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</row>
    <row r="64" spans="1:252" x14ac:dyDescent="0.25">
      <c r="A64" s="214" t="s">
        <v>300</v>
      </c>
      <c r="B64" s="7" t="s">
        <v>502</v>
      </c>
      <c r="D64" s="60"/>
      <c r="E64" s="60"/>
      <c r="F64" s="60"/>
      <c r="G64" s="200" t="str">
        <f t="shared" si="0"/>
        <v/>
      </c>
      <c r="H64" s="192"/>
      <c r="I64" s="60"/>
      <c r="J64" s="60"/>
      <c r="K64" s="60"/>
      <c r="L64" s="200" t="str">
        <f t="shared" si="3"/>
        <v/>
      </c>
      <c r="M64" s="192"/>
      <c r="N64" s="60"/>
      <c r="O64" s="60"/>
      <c r="P64" s="60"/>
      <c r="Q64" s="200" t="str">
        <f t="shared" si="2"/>
        <v/>
      </c>
      <c r="R64" s="192"/>
      <c r="S64" s="60"/>
      <c r="T64" s="205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</row>
    <row r="65" spans="1:252" x14ac:dyDescent="0.25">
      <c r="A65" s="214" t="s">
        <v>300</v>
      </c>
      <c r="B65" s="7" t="s">
        <v>505</v>
      </c>
      <c r="C65" s="190" t="s">
        <v>310</v>
      </c>
      <c r="D65" s="60">
        <v>1</v>
      </c>
      <c r="E65" s="60"/>
      <c r="F65" s="60"/>
      <c r="G65" s="200" t="str">
        <f t="shared" si="0"/>
        <v/>
      </c>
      <c r="H65" s="192"/>
      <c r="I65" s="60"/>
      <c r="J65" s="60"/>
      <c r="K65" s="60"/>
      <c r="L65" s="200" t="str">
        <f t="shared" si="3"/>
        <v/>
      </c>
      <c r="M65" s="192"/>
      <c r="N65" s="60"/>
      <c r="O65" s="60"/>
      <c r="P65" s="60"/>
      <c r="Q65" s="200" t="str">
        <f t="shared" si="2"/>
        <v/>
      </c>
      <c r="R65" s="192"/>
      <c r="S65" s="60"/>
      <c r="T65" s="205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</row>
    <row r="66" spans="1:252" x14ac:dyDescent="0.25">
      <c r="A66" s="214" t="s">
        <v>300</v>
      </c>
      <c r="B66" s="7" t="s">
        <v>508</v>
      </c>
      <c r="D66" s="198"/>
      <c r="E66" s="198"/>
      <c r="F66" s="198"/>
      <c r="G66" s="200" t="str">
        <f t="shared" si="0"/>
        <v/>
      </c>
      <c r="H66" s="194"/>
      <c r="I66" s="198"/>
      <c r="J66" s="198"/>
      <c r="K66" s="198"/>
      <c r="L66" s="200" t="str">
        <f t="shared" si="3"/>
        <v/>
      </c>
      <c r="M66" s="194"/>
      <c r="N66" s="198"/>
      <c r="O66" s="198"/>
      <c r="P66" s="198"/>
      <c r="Q66" s="200" t="str">
        <f t="shared" si="2"/>
        <v/>
      </c>
      <c r="R66" s="194"/>
      <c r="S66" s="198"/>
      <c r="T66" s="210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</row>
    <row r="67" spans="1:252" x14ac:dyDescent="0.25">
      <c r="A67" s="214" t="s">
        <v>300</v>
      </c>
      <c r="B67" s="7" t="s">
        <v>511</v>
      </c>
      <c r="D67" s="198"/>
      <c r="E67" s="198"/>
      <c r="F67" s="198"/>
      <c r="G67" s="200" t="str">
        <f t="shared" si="0"/>
        <v/>
      </c>
      <c r="H67" s="194"/>
      <c r="I67" s="198"/>
      <c r="J67" s="198"/>
      <c r="K67" s="198"/>
      <c r="L67" s="200" t="str">
        <f t="shared" si="3"/>
        <v/>
      </c>
      <c r="M67" s="194"/>
      <c r="N67" s="198"/>
      <c r="O67" s="198"/>
      <c r="P67" s="198"/>
      <c r="Q67" s="200" t="str">
        <f t="shared" si="2"/>
        <v/>
      </c>
      <c r="R67" s="194"/>
      <c r="S67" s="198"/>
      <c r="T67" s="210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</row>
    <row r="68" spans="1:252" x14ac:dyDescent="0.25">
      <c r="A68" s="214" t="s">
        <v>300</v>
      </c>
      <c r="B68" s="7" t="s">
        <v>514</v>
      </c>
      <c r="D68" s="60"/>
      <c r="E68" s="60"/>
      <c r="F68" s="60"/>
      <c r="G68" s="200" t="str">
        <f t="shared" ref="G68:G132" si="5">IF(F68=1,"New","")</f>
        <v/>
      </c>
      <c r="H68" s="192"/>
      <c r="I68" s="60"/>
      <c r="J68" s="60"/>
      <c r="K68" s="60"/>
      <c r="L68" s="200" t="str">
        <f t="shared" si="3"/>
        <v/>
      </c>
      <c r="M68" s="192"/>
      <c r="N68" s="60"/>
      <c r="O68" s="60"/>
      <c r="P68" s="60"/>
      <c r="Q68" s="200" t="str">
        <f t="shared" si="2"/>
        <v/>
      </c>
      <c r="R68" s="192"/>
      <c r="S68" s="60"/>
      <c r="T68" s="20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</row>
    <row r="69" spans="1:252" x14ac:dyDescent="0.25">
      <c r="A69" s="214" t="s">
        <v>300</v>
      </c>
      <c r="B69" s="7" t="s">
        <v>517</v>
      </c>
      <c r="C69" s="190" t="s">
        <v>310</v>
      </c>
      <c r="D69" s="60">
        <v>1</v>
      </c>
      <c r="E69" s="60"/>
      <c r="F69" s="60"/>
      <c r="G69" s="200" t="str">
        <f t="shared" si="5"/>
        <v/>
      </c>
      <c r="H69" s="192"/>
      <c r="I69" s="60"/>
      <c r="J69" s="60"/>
      <c r="K69" s="60"/>
      <c r="L69" s="200" t="str">
        <f t="shared" ref="L69:L133" si="6">IF(K69=1,"New","")</f>
        <v/>
      </c>
      <c r="M69" s="192"/>
      <c r="N69" s="60"/>
      <c r="O69" s="60"/>
      <c r="P69" s="60"/>
      <c r="Q69" s="200" t="str">
        <f t="shared" ref="Q69:Q133" si="7">IF(P69=1,"New","")</f>
        <v/>
      </c>
      <c r="R69" s="192"/>
      <c r="S69" s="60"/>
      <c r="T69" s="205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</row>
    <row r="70" spans="1:252" x14ac:dyDescent="0.25">
      <c r="A70" s="214" t="s">
        <v>300</v>
      </c>
      <c r="B70" s="7" t="s">
        <v>520</v>
      </c>
      <c r="D70" s="60"/>
      <c r="E70" s="60"/>
      <c r="F70" s="60"/>
      <c r="G70" s="200" t="str">
        <f t="shared" si="5"/>
        <v/>
      </c>
      <c r="H70" s="192"/>
      <c r="I70" s="60"/>
      <c r="J70" s="60"/>
      <c r="K70" s="60"/>
      <c r="L70" s="200" t="str">
        <f t="shared" si="6"/>
        <v/>
      </c>
      <c r="M70" s="192"/>
      <c r="N70" s="60"/>
      <c r="O70" s="60"/>
      <c r="P70" s="60"/>
      <c r="Q70" s="200" t="str">
        <f t="shared" si="7"/>
        <v/>
      </c>
      <c r="R70" s="192"/>
      <c r="S70" s="60"/>
      <c r="T70" s="205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</row>
    <row r="71" spans="1:252" x14ac:dyDescent="0.25">
      <c r="A71" s="214" t="s">
        <v>300</v>
      </c>
      <c r="B71" s="7" t="s">
        <v>526</v>
      </c>
      <c r="C71" s="192"/>
      <c r="D71" s="60"/>
      <c r="E71" s="60"/>
      <c r="F71" s="60"/>
      <c r="G71" s="200" t="str">
        <f t="shared" si="5"/>
        <v/>
      </c>
      <c r="H71" s="192"/>
      <c r="I71" s="60"/>
      <c r="J71" s="60"/>
      <c r="K71" s="60"/>
      <c r="L71" s="200" t="str">
        <f t="shared" si="6"/>
        <v/>
      </c>
      <c r="M71" s="192"/>
      <c r="N71" s="60"/>
      <c r="O71" s="60"/>
      <c r="P71" s="60"/>
      <c r="Q71" s="200" t="str">
        <f t="shared" si="7"/>
        <v/>
      </c>
      <c r="R71" s="192"/>
      <c r="S71" s="60"/>
      <c r="T71" s="205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</row>
    <row r="72" spans="1:252" x14ac:dyDescent="0.25">
      <c r="A72" s="214" t="s">
        <v>300</v>
      </c>
      <c r="B72" s="7" t="s">
        <v>529</v>
      </c>
      <c r="D72" s="60"/>
      <c r="E72" s="60"/>
      <c r="F72" s="60"/>
      <c r="G72" s="200" t="str">
        <f t="shared" si="5"/>
        <v/>
      </c>
      <c r="H72" s="192"/>
      <c r="I72" s="60"/>
      <c r="J72" s="60"/>
      <c r="K72" s="60"/>
      <c r="L72" s="200" t="str">
        <f t="shared" si="6"/>
        <v/>
      </c>
      <c r="M72" s="192"/>
      <c r="N72" s="60"/>
      <c r="O72" s="60"/>
      <c r="P72" s="60"/>
      <c r="Q72" s="200" t="str">
        <f t="shared" si="7"/>
        <v/>
      </c>
      <c r="R72" s="192"/>
      <c r="S72" s="60"/>
      <c r="T72" s="205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</row>
    <row r="73" spans="1:252" x14ac:dyDescent="0.25">
      <c r="A73" s="214" t="s">
        <v>300</v>
      </c>
      <c r="B73" s="7" t="s">
        <v>532</v>
      </c>
      <c r="D73" s="60"/>
      <c r="E73" s="60"/>
      <c r="F73" s="60"/>
      <c r="G73" s="200" t="str">
        <f t="shared" si="5"/>
        <v/>
      </c>
      <c r="H73" s="192"/>
      <c r="I73" s="60"/>
      <c r="J73" s="60"/>
      <c r="K73" s="60"/>
      <c r="L73" s="200" t="str">
        <f t="shared" si="6"/>
        <v/>
      </c>
      <c r="M73" s="192"/>
      <c r="N73" s="60"/>
      <c r="O73" s="60"/>
      <c r="P73" s="60"/>
      <c r="Q73" s="200" t="str">
        <f t="shared" si="7"/>
        <v/>
      </c>
      <c r="R73" s="192"/>
      <c r="S73" s="60"/>
      <c r="T73" s="205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</row>
    <row r="74" spans="1:252" x14ac:dyDescent="0.25">
      <c r="A74" s="214" t="s">
        <v>300</v>
      </c>
      <c r="B74" s="7" t="s">
        <v>523</v>
      </c>
      <c r="C74" s="192"/>
      <c r="D74" s="60"/>
      <c r="E74" s="60"/>
      <c r="F74" s="60"/>
      <c r="G74" s="200" t="str">
        <f t="shared" si="5"/>
        <v/>
      </c>
      <c r="H74" s="192"/>
      <c r="I74" s="60"/>
      <c r="J74" s="60"/>
      <c r="K74" s="60"/>
      <c r="L74" s="200" t="str">
        <f t="shared" si="6"/>
        <v/>
      </c>
      <c r="M74" s="192"/>
      <c r="N74" s="60"/>
      <c r="O74" s="60"/>
      <c r="P74" s="60"/>
      <c r="Q74" s="200" t="str">
        <f t="shared" si="7"/>
        <v/>
      </c>
      <c r="R74" s="192"/>
      <c r="S74" s="60"/>
      <c r="T74" s="205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</row>
    <row r="75" spans="1:252" x14ac:dyDescent="0.25">
      <c r="A75" s="214" t="s">
        <v>300</v>
      </c>
      <c r="B75" s="7" t="s">
        <v>92</v>
      </c>
      <c r="G75" s="200" t="str">
        <f t="shared" si="5"/>
        <v/>
      </c>
      <c r="L75" s="200" t="str">
        <f t="shared" si="6"/>
        <v/>
      </c>
      <c r="Q75" s="200" t="str">
        <f t="shared" si="7"/>
        <v/>
      </c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/>
      <c r="BS75" s="189"/>
      <c r="BT75" s="189"/>
      <c r="BU75" s="189"/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189"/>
      <c r="CJ75" s="189"/>
      <c r="CK75" s="189"/>
      <c r="CL75" s="189"/>
      <c r="CM75" s="189"/>
      <c r="CN75" s="189"/>
      <c r="CO75" s="189"/>
      <c r="CP75" s="189"/>
      <c r="CQ75" s="189"/>
      <c r="CR75" s="189"/>
      <c r="CS75" s="189"/>
      <c r="CT75" s="189"/>
      <c r="CU75" s="189"/>
      <c r="CV75" s="189"/>
      <c r="CW75" s="189"/>
      <c r="CX75" s="189"/>
      <c r="CY75" s="189"/>
      <c r="CZ75" s="189"/>
      <c r="DA75" s="189"/>
      <c r="DB75" s="189"/>
      <c r="DC75" s="189"/>
      <c r="DD75" s="189"/>
      <c r="DE75" s="189"/>
      <c r="DF75" s="189"/>
      <c r="DG75" s="189"/>
      <c r="DH75" s="189"/>
      <c r="DI75" s="189"/>
      <c r="DJ75" s="189"/>
      <c r="DK75" s="189"/>
      <c r="DL75" s="189"/>
      <c r="DM75" s="189"/>
      <c r="DN75" s="189"/>
      <c r="DO75" s="189"/>
      <c r="DP75" s="189"/>
      <c r="DQ75" s="189"/>
      <c r="DR75" s="189"/>
      <c r="DS75" s="189"/>
      <c r="DT75" s="189"/>
      <c r="DU75" s="189"/>
      <c r="DV75" s="189"/>
      <c r="DW75" s="189"/>
      <c r="DX75" s="189"/>
      <c r="DY75" s="189"/>
      <c r="DZ75" s="189"/>
      <c r="EA75" s="189"/>
      <c r="EB75" s="189"/>
      <c r="EC75" s="189"/>
      <c r="ED75" s="189"/>
      <c r="EE75" s="189"/>
      <c r="EF75" s="189"/>
      <c r="EG75" s="189"/>
      <c r="EH75" s="189"/>
      <c r="EI75" s="189"/>
      <c r="EJ75" s="189"/>
      <c r="EK75" s="189"/>
      <c r="EL75" s="189"/>
      <c r="EM75" s="189"/>
      <c r="EN75" s="189"/>
      <c r="EO75" s="189"/>
      <c r="EP75" s="189"/>
      <c r="EQ75" s="189"/>
      <c r="ER75" s="189"/>
      <c r="ES75" s="189"/>
      <c r="ET75" s="189"/>
      <c r="EU75" s="189"/>
      <c r="EV75" s="189"/>
      <c r="EW75" s="189"/>
      <c r="EX75" s="189"/>
      <c r="EY75" s="189"/>
      <c r="EZ75" s="189"/>
      <c r="FA75" s="189"/>
      <c r="FB75" s="189"/>
      <c r="FC75" s="189"/>
      <c r="FD75" s="189"/>
      <c r="FE75" s="189"/>
      <c r="FF75" s="189"/>
      <c r="FG75" s="189"/>
      <c r="FH75" s="189"/>
      <c r="FI75" s="189"/>
      <c r="FJ75" s="189"/>
      <c r="FK75" s="189"/>
      <c r="FL75" s="189"/>
      <c r="FM75" s="189"/>
      <c r="FN75" s="189"/>
      <c r="FO75" s="189"/>
      <c r="FP75" s="189"/>
      <c r="FQ75" s="189"/>
      <c r="FR75" s="189"/>
      <c r="FS75" s="189"/>
      <c r="FT75" s="189"/>
      <c r="FU75" s="189"/>
      <c r="FV75" s="189"/>
      <c r="FW75" s="189"/>
      <c r="FX75" s="189"/>
      <c r="FY75" s="189"/>
      <c r="FZ75" s="189"/>
      <c r="GA75" s="189"/>
      <c r="GB75" s="189"/>
      <c r="GC75" s="189"/>
      <c r="GD75" s="189"/>
      <c r="GE75" s="189"/>
      <c r="GF75" s="189"/>
      <c r="GG75" s="189"/>
      <c r="GH75" s="189"/>
      <c r="GI75" s="189"/>
      <c r="GJ75" s="189"/>
      <c r="GK75" s="189"/>
      <c r="GL75" s="189"/>
      <c r="GM75" s="189"/>
      <c r="GN75" s="189"/>
      <c r="GO75" s="189"/>
      <c r="GP75" s="189"/>
      <c r="GQ75" s="189"/>
      <c r="GR75" s="189"/>
      <c r="GS75" s="189"/>
      <c r="GT75" s="189"/>
      <c r="GU75" s="189"/>
      <c r="GV75" s="189"/>
      <c r="GW75" s="189"/>
      <c r="GX75" s="189"/>
      <c r="GY75" s="189"/>
      <c r="GZ75" s="189"/>
      <c r="HA75" s="189"/>
      <c r="HB75" s="189"/>
      <c r="HC75" s="189"/>
      <c r="HD75" s="189"/>
      <c r="HE75" s="189"/>
      <c r="HF75" s="189"/>
      <c r="HG75" s="189"/>
      <c r="HH75" s="189"/>
      <c r="HI75" s="189"/>
      <c r="HJ75" s="189"/>
      <c r="HK75" s="189"/>
      <c r="HL75" s="189"/>
      <c r="HM75" s="189"/>
      <c r="HN75" s="189"/>
      <c r="HO75" s="189"/>
      <c r="HP75" s="189"/>
      <c r="HQ75" s="189"/>
      <c r="HR75" s="189"/>
      <c r="HS75" s="189"/>
      <c r="HT75" s="189"/>
      <c r="HU75" s="189"/>
      <c r="HV75" s="189"/>
      <c r="HW75" s="189"/>
      <c r="HX75" s="189"/>
      <c r="HY75" s="189"/>
      <c r="HZ75" s="189"/>
      <c r="IA75" s="189"/>
      <c r="IB75" s="189"/>
      <c r="IC75" s="189"/>
      <c r="ID75" s="189"/>
      <c r="IE75" s="189"/>
      <c r="IF75" s="189"/>
      <c r="IG75" s="189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</row>
    <row r="76" spans="1:252" x14ac:dyDescent="0.25">
      <c r="A76" s="214" t="s">
        <v>300</v>
      </c>
      <c r="B76" s="7" t="s">
        <v>534</v>
      </c>
      <c r="D76" s="60"/>
      <c r="E76" s="60"/>
      <c r="F76" s="60"/>
      <c r="G76" s="200" t="str">
        <f t="shared" si="5"/>
        <v/>
      </c>
      <c r="H76" s="192"/>
      <c r="I76" s="60"/>
      <c r="J76" s="60"/>
      <c r="K76" s="60"/>
      <c r="L76" s="200" t="str">
        <f t="shared" si="6"/>
        <v/>
      </c>
      <c r="M76" s="192"/>
      <c r="N76" s="60"/>
      <c r="O76" s="60"/>
      <c r="P76" s="60"/>
      <c r="Q76" s="200" t="str">
        <f t="shared" si="7"/>
        <v/>
      </c>
      <c r="R76" s="192"/>
      <c r="S76" s="60"/>
      <c r="T76" s="205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189"/>
      <c r="AR76" s="189"/>
      <c r="AS76" s="189"/>
      <c r="AT76" s="189"/>
      <c r="AU76" s="189"/>
      <c r="AV76" s="189"/>
      <c r="AW76" s="189"/>
      <c r="AX76" s="189"/>
      <c r="AY76" s="189"/>
      <c r="AZ76" s="189"/>
      <c r="BA76" s="189"/>
      <c r="BB76" s="189"/>
      <c r="BC76" s="189"/>
      <c r="BD76" s="189"/>
      <c r="BE76" s="189"/>
      <c r="BF76" s="189"/>
      <c r="BG76" s="189"/>
      <c r="BH76" s="189"/>
      <c r="BI76" s="189"/>
      <c r="BJ76" s="189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189"/>
      <c r="BW76" s="189"/>
      <c r="BX76" s="189"/>
      <c r="BY76" s="189"/>
      <c r="BZ76" s="189"/>
      <c r="CA76" s="189"/>
      <c r="CB76" s="189"/>
      <c r="CC76" s="189"/>
      <c r="CD76" s="189"/>
      <c r="CE76" s="189"/>
      <c r="CF76" s="189"/>
      <c r="CG76" s="189"/>
      <c r="CH76" s="189"/>
      <c r="CI76" s="189"/>
      <c r="CJ76" s="189"/>
      <c r="CK76" s="189"/>
      <c r="CL76" s="189"/>
      <c r="CM76" s="189"/>
      <c r="CN76" s="189"/>
      <c r="CO76" s="189"/>
      <c r="CP76" s="189"/>
      <c r="CQ76" s="189"/>
      <c r="CR76" s="189"/>
      <c r="CS76" s="189"/>
      <c r="CT76" s="189"/>
      <c r="CU76" s="189"/>
      <c r="CV76" s="189"/>
      <c r="CW76" s="189"/>
      <c r="CX76" s="189"/>
      <c r="CY76" s="189"/>
      <c r="CZ76" s="189"/>
      <c r="DA76" s="189"/>
      <c r="DB76" s="189"/>
      <c r="DC76" s="189"/>
      <c r="DD76" s="189"/>
      <c r="DE76" s="189"/>
      <c r="DF76" s="189"/>
      <c r="DG76" s="189"/>
      <c r="DH76" s="189"/>
      <c r="DI76" s="189"/>
      <c r="DJ76" s="189"/>
      <c r="DK76" s="189"/>
      <c r="DL76" s="189"/>
      <c r="DM76" s="189"/>
      <c r="DN76" s="189"/>
      <c r="DO76" s="189"/>
      <c r="DP76" s="189"/>
      <c r="DQ76" s="189"/>
      <c r="DR76" s="189"/>
      <c r="DS76" s="189"/>
      <c r="DT76" s="189"/>
      <c r="DU76" s="189"/>
      <c r="DV76" s="189"/>
      <c r="DW76" s="189"/>
      <c r="DX76" s="189"/>
      <c r="DY76" s="189"/>
      <c r="DZ76" s="189"/>
      <c r="EA76" s="189"/>
      <c r="EB76" s="189"/>
      <c r="EC76" s="189"/>
      <c r="ED76" s="189"/>
      <c r="EE76" s="189"/>
      <c r="EF76" s="189"/>
      <c r="EG76" s="189"/>
      <c r="EH76" s="189"/>
      <c r="EI76" s="189"/>
      <c r="EJ76" s="189"/>
      <c r="EK76" s="189"/>
      <c r="EL76" s="189"/>
      <c r="EM76" s="189"/>
      <c r="EN76" s="189"/>
      <c r="EO76" s="189"/>
      <c r="EP76" s="189"/>
      <c r="EQ76" s="189"/>
      <c r="ER76" s="189"/>
      <c r="ES76" s="189"/>
      <c r="ET76" s="189"/>
      <c r="EU76" s="189"/>
      <c r="EV76" s="189"/>
      <c r="EW76" s="189"/>
      <c r="EX76" s="189"/>
      <c r="EY76" s="189"/>
      <c r="EZ76" s="189"/>
      <c r="FA76" s="189"/>
      <c r="FB76" s="189"/>
      <c r="FC76" s="189"/>
      <c r="FD76" s="189"/>
      <c r="FE76" s="189"/>
      <c r="FF76" s="189"/>
      <c r="FG76" s="189"/>
      <c r="FH76" s="189"/>
      <c r="FI76" s="189"/>
      <c r="FJ76" s="189"/>
      <c r="FK76" s="189"/>
      <c r="FL76" s="189"/>
      <c r="FM76" s="189"/>
      <c r="FN76" s="189"/>
      <c r="FO76" s="189"/>
      <c r="FP76" s="189"/>
      <c r="FQ76" s="189"/>
      <c r="FR76" s="189"/>
      <c r="FS76" s="189"/>
      <c r="FT76" s="189"/>
      <c r="FU76" s="189"/>
      <c r="FV76" s="189"/>
      <c r="FW76" s="189"/>
      <c r="FX76" s="189"/>
      <c r="FY76" s="189"/>
      <c r="FZ76" s="189"/>
      <c r="GA76" s="189"/>
      <c r="GB76" s="189"/>
      <c r="GC76" s="189"/>
      <c r="GD76" s="189"/>
      <c r="GE76" s="189"/>
      <c r="GF76" s="189"/>
      <c r="GG76" s="189"/>
      <c r="GH76" s="189"/>
      <c r="GI76" s="189"/>
      <c r="GJ76" s="189"/>
      <c r="GK76" s="189"/>
      <c r="GL76" s="189"/>
      <c r="GM76" s="189"/>
      <c r="GN76" s="189"/>
      <c r="GO76" s="189"/>
      <c r="GP76" s="189"/>
      <c r="GQ76" s="189"/>
      <c r="GR76" s="189"/>
      <c r="GS76" s="189"/>
      <c r="GT76" s="189"/>
      <c r="GU76" s="189"/>
      <c r="GV76" s="189"/>
      <c r="GW76" s="189"/>
      <c r="GX76" s="189"/>
      <c r="GY76" s="189"/>
      <c r="GZ76" s="189"/>
      <c r="HA76" s="189"/>
      <c r="HB76" s="189"/>
      <c r="HC76" s="189"/>
      <c r="HD76" s="189"/>
      <c r="HE76" s="189"/>
      <c r="HF76" s="189"/>
      <c r="HG76" s="189"/>
      <c r="HH76" s="189"/>
      <c r="HI76" s="189"/>
      <c r="HJ76" s="189"/>
      <c r="HK76" s="189"/>
      <c r="HL76" s="189"/>
      <c r="HM76" s="189"/>
      <c r="HN76" s="189"/>
      <c r="HO76" s="189"/>
      <c r="HP76" s="189"/>
      <c r="HQ76" s="189"/>
      <c r="HR76" s="189"/>
      <c r="HS76" s="189"/>
      <c r="HT76" s="189"/>
      <c r="HU76" s="189"/>
      <c r="HV76" s="189"/>
      <c r="HW76" s="189"/>
      <c r="HX76" s="189"/>
      <c r="HY76" s="189"/>
      <c r="HZ76" s="189"/>
      <c r="IA76" s="189"/>
      <c r="IB76" s="189"/>
      <c r="IC76" s="189"/>
      <c r="ID76" s="189"/>
      <c r="IE76" s="189"/>
      <c r="IF76" s="189"/>
      <c r="IG76" s="189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</row>
    <row r="77" spans="1:252" x14ac:dyDescent="0.25">
      <c r="A77" s="214" t="s">
        <v>300</v>
      </c>
      <c r="B77" s="7" t="s">
        <v>537</v>
      </c>
      <c r="D77" s="60"/>
      <c r="E77" s="60"/>
      <c r="F77" s="60"/>
      <c r="G77" s="200" t="str">
        <f t="shared" si="5"/>
        <v/>
      </c>
      <c r="H77" s="192"/>
      <c r="I77" s="60"/>
      <c r="J77" s="60"/>
      <c r="K77" s="60"/>
      <c r="L77" s="200" t="str">
        <f t="shared" si="6"/>
        <v/>
      </c>
      <c r="M77" s="192"/>
      <c r="N77" s="60"/>
      <c r="O77" s="60"/>
      <c r="P77" s="60"/>
      <c r="Q77" s="200" t="str">
        <f t="shared" si="7"/>
        <v/>
      </c>
      <c r="R77" s="192"/>
      <c r="S77" s="60"/>
      <c r="T77" s="205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</row>
    <row r="78" spans="1:252" x14ac:dyDescent="0.25">
      <c r="A78" s="214" t="s">
        <v>300</v>
      </c>
      <c r="B78" s="7" t="s">
        <v>540</v>
      </c>
      <c r="D78" s="60"/>
      <c r="E78" s="60"/>
      <c r="F78" s="60"/>
      <c r="G78" s="200" t="str">
        <f t="shared" si="5"/>
        <v/>
      </c>
      <c r="H78" s="192"/>
      <c r="I78" s="60"/>
      <c r="J78" s="60"/>
      <c r="K78" s="60"/>
      <c r="L78" s="200" t="str">
        <f t="shared" si="6"/>
        <v/>
      </c>
      <c r="M78" s="192"/>
      <c r="N78" s="60"/>
      <c r="O78" s="60"/>
      <c r="P78" s="60"/>
      <c r="Q78" s="200" t="str">
        <f t="shared" si="7"/>
        <v/>
      </c>
      <c r="R78" s="192"/>
      <c r="S78" s="60"/>
      <c r="T78" s="205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</row>
    <row r="79" spans="1:252" x14ac:dyDescent="0.25">
      <c r="A79" s="214" t="s">
        <v>300</v>
      </c>
      <c r="B79" s="7" t="s">
        <v>543</v>
      </c>
      <c r="D79" s="60"/>
      <c r="E79" s="60"/>
      <c r="F79" s="60"/>
      <c r="G79" s="200" t="str">
        <f t="shared" si="5"/>
        <v/>
      </c>
      <c r="H79" s="192"/>
      <c r="I79" s="60"/>
      <c r="J79" s="60"/>
      <c r="K79" s="60"/>
      <c r="L79" s="200" t="str">
        <f t="shared" si="6"/>
        <v/>
      </c>
      <c r="M79" s="192"/>
      <c r="N79" s="60"/>
      <c r="O79" s="60"/>
      <c r="P79" s="60"/>
      <c r="Q79" s="200" t="str">
        <f t="shared" si="7"/>
        <v/>
      </c>
      <c r="R79" s="192"/>
      <c r="S79" s="60"/>
      <c r="T79" s="205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</row>
    <row r="80" spans="1:252" s="8" customFormat="1" ht="13.5" customHeight="1" x14ac:dyDescent="0.25">
      <c r="A80" s="214" t="s">
        <v>300</v>
      </c>
      <c r="B80" s="7" t="s">
        <v>236</v>
      </c>
      <c r="C80" s="190" t="s">
        <v>310</v>
      </c>
      <c r="D80" s="191">
        <v>1</v>
      </c>
      <c r="E80" s="191"/>
      <c r="F80" s="191"/>
      <c r="G80" s="200" t="str">
        <f t="shared" si="5"/>
        <v/>
      </c>
      <c r="H80" s="190"/>
      <c r="I80" s="191"/>
      <c r="J80" s="191"/>
      <c r="K80" s="191"/>
      <c r="L80" s="200" t="str">
        <f t="shared" si="6"/>
        <v/>
      </c>
      <c r="M80" s="190"/>
      <c r="N80" s="191"/>
      <c r="O80" s="191"/>
      <c r="P80" s="191"/>
      <c r="Q80" s="200" t="str">
        <f t="shared" si="7"/>
        <v/>
      </c>
      <c r="R80" s="190"/>
      <c r="S80" s="191"/>
      <c r="T80" s="200"/>
    </row>
    <row r="81" spans="1:20" s="8" customFormat="1" ht="13.5" customHeight="1" x14ac:dyDescent="0.25">
      <c r="A81" s="214" t="s">
        <v>300</v>
      </c>
      <c r="B81" s="7" t="s">
        <v>545</v>
      </c>
      <c r="C81" s="190"/>
      <c r="D81" s="60"/>
      <c r="E81" s="60"/>
      <c r="F81" s="60"/>
      <c r="G81" s="200" t="str">
        <f t="shared" si="5"/>
        <v/>
      </c>
      <c r="H81" s="192"/>
      <c r="I81" s="60"/>
      <c r="J81" s="60"/>
      <c r="K81" s="60"/>
      <c r="L81" s="200" t="str">
        <f t="shared" si="6"/>
        <v/>
      </c>
      <c r="M81" s="192"/>
      <c r="N81" s="60"/>
      <c r="O81" s="60"/>
      <c r="P81" s="60"/>
      <c r="Q81" s="200" t="str">
        <f t="shared" si="7"/>
        <v/>
      </c>
      <c r="R81" s="192"/>
      <c r="S81" s="60"/>
      <c r="T81" s="205"/>
    </row>
    <row r="82" spans="1:20" s="8" customFormat="1" ht="13.5" customHeight="1" x14ac:dyDescent="0.25">
      <c r="A82" s="214" t="s">
        <v>300</v>
      </c>
      <c r="B82" s="7" t="s">
        <v>546</v>
      </c>
      <c r="C82" s="190"/>
      <c r="D82" s="60"/>
      <c r="E82" s="60"/>
      <c r="F82" s="60"/>
      <c r="G82" s="200" t="str">
        <f t="shared" si="5"/>
        <v/>
      </c>
      <c r="H82" s="192"/>
      <c r="I82" s="60"/>
      <c r="J82" s="60"/>
      <c r="K82" s="60"/>
      <c r="L82" s="200" t="str">
        <f t="shared" si="6"/>
        <v/>
      </c>
      <c r="M82" s="192"/>
      <c r="N82" s="60"/>
      <c r="O82" s="60"/>
      <c r="P82" s="60"/>
      <c r="Q82" s="200" t="str">
        <f t="shared" si="7"/>
        <v/>
      </c>
      <c r="R82" s="192"/>
      <c r="S82" s="60"/>
      <c r="T82" s="205"/>
    </row>
    <row r="83" spans="1:20" s="8" customFormat="1" ht="13.5" customHeight="1" x14ac:dyDescent="0.25">
      <c r="A83" s="214" t="s">
        <v>300</v>
      </c>
      <c r="B83" s="7" t="s">
        <v>549</v>
      </c>
      <c r="C83" s="190" t="s">
        <v>310</v>
      </c>
      <c r="D83" s="60"/>
      <c r="E83" s="60"/>
      <c r="F83" s="60"/>
      <c r="G83" s="200" t="str">
        <f t="shared" si="5"/>
        <v/>
      </c>
      <c r="H83" s="192"/>
      <c r="I83" s="60"/>
      <c r="J83" s="60"/>
      <c r="K83" s="60"/>
      <c r="L83" s="200" t="str">
        <f t="shared" si="6"/>
        <v/>
      </c>
      <c r="M83" s="192"/>
      <c r="N83" s="60"/>
      <c r="O83" s="60"/>
      <c r="P83" s="60"/>
      <c r="Q83" s="200" t="str">
        <f t="shared" si="7"/>
        <v/>
      </c>
      <c r="R83" s="192"/>
      <c r="S83" s="60"/>
      <c r="T83" s="205"/>
    </row>
    <row r="84" spans="1:20" s="8" customFormat="1" ht="13.5" customHeight="1" x14ac:dyDescent="0.25">
      <c r="A84" s="214" t="s">
        <v>300</v>
      </c>
      <c r="B84" s="7" t="s">
        <v>552</v>
      </c>
      <c r="C84" s="190"/>
      <c r="D84" s="60"/>
      <c r="E84" s="60"/>
      <c r="F84" s="60"/>
      <c r="G84" s="200" t="str">
        <f t="shared" si="5"/>
        <v/>
      </c>
      <c r="H84" s="192"/>
      <c r="I84" s="60"/>
      <c r="J84" s="60"/>
      <c r="K84" s="60"/>
      <c r="L84" s="200" t="str">
        <f t="shared" si="6"/>
        <v/>
      </c>
      <c r="M84" s="192"/>
      <c r="N84" s="60"/>
      <c r="O84" s="60"/>
      <c r="P84" s="60"/>
      <c r="Q84" s="200" t="str">
        <f t="shared" si="7"/>
        <v/>
      </c>
      <c r="R84" s="192"/>
      <c r="S84" s="60"/>
      <c r="T84" s="205"/>
    </row>
    <row r="85" spans="1:20" s="8" customFormat="1" ht="13.5" customHeight="1" x14ac:dyDescent="0.25">
      <c r="A85" s="214" t="s">
        <v>300</v>
      </c>
      <c r="B85" s="7" t="s">
        <v>555</v>
      </c>
      <c r="C85" s="190"/>
      <c r="D85" s="60"/>
      <c r="E85" s="60"/>
      <c r="F85" s="60"/>
      <c r="G85" s="200" t="str">
        <f t="shared" si="5"/>
        <v/>
      </c>
      <c r="H85" s="192"/>
      <c r="I85" s="60"/>
      <c r="J85" s="60"/>
      <c r="K85" s="60"/>
      <c r="L85" s="200" t="str">
        <f t="shared" si="6"/>
        <v/>
      </c>
      <c r="M85" s="192"/>
      <c r="N85" s="60"/>
      <c r="O85" s="60"/>
      <c r="P85" s="60"/>
      <c r="Q85" s="200" t="str">
        <f t="shared" si="7"/>
        <v/>
      </c>
      <c r="R85" s="192"/>
      <c r="S85" s="60"/>
      <c r="T85" s="205"/>
    </row>
    <row r="86" spans="1:20" s="8" customFormat="1" ht="13.5" customHeight="1" x14ac:dyDescent="0.25">
      <c r="A86" s="214" t="s">
        <v>300</v>
      </c>
      <c r="B86" s="7" t="s">
        <v>558</v>
      </c>
      <c r="C86" s="190"/>
      <c r="D86" s="60"/>
      <c r="E86" s="60"/>
      <c r="F86" s="60"/>
      <c r="G86" s="200" t="str">
        <f t="shared" si="5"/>
        <v/>
      </c>
      <c r="H86" s="192"/>
      <c r="I86" s="60"/>
      <c r="J86" s="60"/>
      <c r="K86" s="60"/>
      <c r="L86" s="200" t="str">
        <f t="shared" si="6"/>
        <v/>
      </c>
      <c r="M86" s="192"/>
      <c r="N86" s="60"/>
      <c r="O86" s="60"/>
      <c r="P86" s="60"/>
      <c r="Q86" s="200" t="str">
        <f t="shared" si="7"/>
        <v/>
      </c>
      <c r="R86" s="192"/>
      <c r="S86" s="60"/>
      <c r="T86" s="205"/>
    </row>
    <row r="87" spans="1:20" s="8" customFormat="1" ht="13.5" customHeight="1" x14ac:dyDescent="0.25">
      <c r="A87" s="214" t="s">
        <v>300</v>
      </c>
      <c r="B87" s="172" t="s">
        <v>561</v>
      </c>
      <c r="C87" s="190"/>
      <c r="D87" s="60"/>
      <c r="E87" s="60"/>
      <c r="F87" s="60"/>
      <c r="G87" s="200" t="str">
        <f t="shared" si="5"/>
        <v/>
      </c>
      <c r="H87" s="192"/>
      <c r="I87" s="60"/>
      <c r="J87" s="60"/>
      <c r="K87" s="60"/>
      <c r="L87" s="200" t="str">
        <f t="shared" si="6"/>
        <v/>
      </c>
      <c r="M87" s="192"/>
      <c r="N87" s="60"/>
      <c r="O87" s="60"/>
      <c r="P87" s="60"/>
      <c r="Q87" s="200" t="str">
        <f t="shared" si="7"/>
        <v/>
      </c>
      <c r="R87" s="192"/>
      <c r="S87" s="60"/>
      <c r="T87" s="205"/>
    </row>
    <row r="88" spans="1:20" s="8" customFormat="1" ht="13.5" customHeight="1" x14ac:dyDescent="0.25">
      <c r="A88" s="214" t="s">
        <v>300</v>
      </c>
      <c r="B88" s="7" t="s">
        <v>564</v>
      </c>
      <c r="C88" s="190"/>
      <c r="D88" s="60"/>
      <c r="E88" s="60"/>
      <c r="F88" s="60"/>
      <c r="G88" s="200" t="str">
        <f t="shared" si="5"/>
        <v/>
      </c>
      <c r="H88" s="192"/>
      <c r="I88" s="60"/>
      <c r="J88" s="60"/>
      <c r="K88" s="60"/>
      <c r="L88" s="200" t="str">
        <f t="shared" si="6"/>
        <v/>
      </c>
      <c r="M88" s="192"/>
      <c r="N88" s="60"/>
      <c r="O88" s="60"/>
      <c r="P88" s="60"/>
      <c r="Q88" s="200" t="str">
        <f t="shared" si="7"/>
        <v/>
      </c>
      <c r="R88" s="192"/>
      <c r="S88" s="60"/>
      <c r="T88" s="205"/>
    </row>
    <row r="89" spans="1:20" s="8" customFormat="1" ht="13.5" customHeight="1" x14ac:dyDescent="0.25">
      <c r="A89" s="214" t="s">
        <v>300</v>
      </c>
      <c r="B89" s="7" t="s">
        <v>567</v>
      </c>
      <c r="C89" s="190"/>
      <c r="D89" s="60"/>
      <c r="E89" s="60"/>
      <c r="F89" s="60"/>
      <c r="G89" s="200" t="str">
        <f t="shared" si="5"/>
        <v/>
      </c>
      <c r="H89" s="192"/>
      <c r="I89" s="60"/>
      <c r="J89" s="60"/>
      <c r="K89" s="60"/>
      <c r="L89" s="200" t="str">
        <f t="shared" si="6"/>
        <v/>
      </c>
      <c r="M89" s="192"/>
      <c r="N89" s="60"/>
      <c r="O89" s="60"/>
      <c r="P89" s="60"/>
      <c r="Q89" s="200" t="str">
        <f t="shared" si="7"/>
        <v/>
      </c>
      <c r="R89" s="192"/>
      <c r="S89" s="60"/>
      <c r="T89" s="205"/>
    </row>
    <row r="90" spans="1:20" s="8" customFormat="1" ht="13.5" customHeight="1" x14ac:dyDescent="0.25">
      <c r="A90" s="214" t="s">
        <v>300</v>
      </c>
      <c r="B90" s="7" t="s">
        <v>570</v>
      </c>
      <c r="C90" s="190"/>
      <c r="D90" s="60"/>
      <c r="E90" s="60"/>
      <c r="F90" s="60"/>
      <c r="G90" s="200" t="str">
        <f t="shared" si="5"/>
        <v/>
      </c>
      <c r="H90" s="192"/>
      <c r="I90" s="60"/>
      <c r="J90" s="60"/>
      <c r="K90" s="60"/>
      <c r="L90" s="200" t="str">
        <f t="shared" si="6"/>
        <v/>
      </c>
      <c r="M90" s="192"/>
      <c r="N90" s="60"/>
      <c r="O90" s="60"/>
      <c r="P90" s="60"/>
      <c r="Q90" s="200" t="str">
        <f t="shared" si="7"/>
        <v/>
      </c>
      <c r="R90" s="192"/>
      <c r="S90" s="60"/>
      <c r="T90" s="205"/>
    </row>
    <row r="91" spans="1:20" s="8" customFormat="1" ht="13.5" customHeight="1" x14ac:dyDescent="0.25">
      <c r="A91" s="214" t="s">
        <v>300</v>
      </c>
      <c r="B91" s="7" t="s">
        <v>573</v>
      </c>
      <c r="C91" s="190"/>
      <c r="D91" s="60"/>
      <c r="E91" s="60"/>
      <c r="F91" s="60"/>
      <c r="G91" s="200" t="str">
        <f t="shared" si="5"/>
        <v/>
      </c>
      <c r="H91" s="192"/>
      <c r="I91" s="60"/>
      <c r="J91" s="60"/>
      <c r="K91" s="60"/>
      <c r="L91" s="200" t="str">
        <f t="shared" si="6"/>
        <v/>
      </c>
      <c r="M91" s="192"/>
      <c r="N91" s="60"/>
      <c r="O91" s="60"/>
      <c r="P91" s="60"/>
      <c r="Q91" s="200" t="str">
        <f t="shared" si="7"/>
        <v/>
      </c>
      <c r="R91" s="192"/>
      <c r="S91" s="60"/>
      <c r="T91" s="205"/>
    </row>
    <row r="92" spans="1:20" s="8" customFormat="1" ht="13.5" customHeight="1" x14ac:dyDescent="0.25">
      <c r="A92" s="214" t="s">
        <v>300</v>
      </c>
      <c r="B92" s="7" t="s">
        <v>575</v>
      </c>
      <c r="C92" s="190"/>
      <c r="D92" s="60"/>
      <c r="E92" s="60"/>
      <c r="F92" s="60"/>
      <c r="G92" s="200" t="str">
        <f t="shared" si="5"/>
        <v/>
      </c>
      <c r="H92" s="192"/>
      <c r="I92" s="60"/>
      <c r="J92" s="60"/>
      <c r="K92" s="60"/>
      <c r="L92" s="200" t="str">
        <f t="shared" si="6"/>
        <v/>
      </c>
      <c r="M92" s="192"/>
      <c r="N92" s="60"/>
      <c r="O92" s="60"/>
      <c r="P92" s="60"/>
      <c r="Q92" s="200" t="str">
        <f t="shared" si="7"/>
        <v/>
      </c>
      <c r="R92" s="192"/>
      <c r="S92" s="60"/>
      <c r="T92" s="205"/>
    </row>
    <row r="93" spans="1:20" s="8" customFormat="1" ht="13.5" customHeight="1" x14ac:dyDescent="0.25">
      <c r="A93" s="214" t="s">
        <v>300</v>
      </c>
      <c r="B93" s="7" t="s">
        <v>576</v>
      </c>
      <c r="C93" s="190"/>
      <c r="D93" s="60"/>
      <c r="E93" s="60"/>
      <c r="F93" s="60"/>
      <c r="G93" s="200" t="str">
        <f t="shared" si="5"/>
        <v/>
      </c>
      <c r="H93" s="192"/>
      <c r="I93" s="60"/>
      <c r="J93" s="60"/>
      <c r="K93" s="60"/>
      <c r="L93" s="200" t="str">
        <f t="shared" si="6"/>
        <v/>
      </c>
      <c r="M93" s="192"/>
      <c r="N93" s="60"/>
      <c r="O93" s="60"/>
      <c r="P93" s="60"/>
      <c r="Q93" s="200" t="str">
        <f t="shared" si="7"/>
        <v/>
      </c>
      <c r="R93" s="192"/>
      <c r="S93" s="60"/>
      <c r="T93" s="205"/>
    </row>
    <row r="94" spans="1:20" s="8" customFormat="1" ht="13.5" customHeight="1" x14ac:dyDescent="0.25">
      <c r="A94" s="214" t="s">
        <v>300</v>
      </c>
      <c r="B94" s="7" t="s">
        <v>579</v>
      </c>
      <c r="C94" s="190"/>
      <c r="D94" s="60"/>
      <c r="E94" s="60"/>
      <c r="F94" s="60"/>
      <c r="G94" s="200" t="str">
        <f t="shared" si="5"/>
        <v/>
      </c>
      <c r="H94" s="192"/>
      <c r="I94" s="60"/>
      <c r="J94" s="60"/>
      <c r="K94" s="60"/>
      <c r="L94" s="200" t="str">
        <f t="shared" si="6"/>
        <v/>
      </c>
      <c r="M94" s="192"/>
      <c r="N94" s="60"/>
      <c r="O94" s="60"/>
      <c r="P94" s="60"/>
      <c r="Q94" s="200" t="str">
        <f t="shared" si="7"/>
        <v/>
      </c>
      <c r="R94" s="192"/>
      <c r="S94" s="60"/>
      <c r="T94" s="205"/>
    </row>
    <row r="95" spans="1:20" s="8" customFormat="1" ht="13.5" customHeight="1" x14ac:dyDescent="0.25">
      <c r="A95" s="214" t="s">
        <v>300</v>
      </c>
      <c r="B95" s="7" t="s">
        <v>582</v>
      </c>
      <c r="C95" s="190"/>
      <c r="D95" s="60"/>
      <c r="E95" s="60"/>
      <c r="F95" s="60"/>
      <c r="G95" s="200" t="str">
        <f t="shared" si="5"/>
        <v/>
      </c>
      <c r="H95" s="192"/>
      <c r="I95" s="60"/>
      <c r="J95" s="60"/>
      <c r="K95" s="60"/>
      <c r="L95" s="200" t="str">
        <f t="shared" si="6"/>
        <v/>
      </c>
      <c r="M95" s="192"/>
      <c r="N95" s="60"/>
      <c r="O95" s="60"/>
      <c r="P95" s="60"/>
      <c r="Q95" s="200" t="str">
        <f t="shared" si="7"/>
        <v/>
      </c>
      <c r="R95" s="192"/>
      <c r="S95" s="60"/>
      <c r="T95" s="205"/>
    </row>
    <row r="96" spans="1:20" s="8" customFormat="1" ht="13.5" customHeight="1" x14ac:dyDescent="0.25">
      <c r="A96" s="214" t="s">
        <v>300</v>
      </c>
      <c r="B96" s="7" t="s">
        <v>584</v>
      </c>
      <c r="C96" s="190"/>
      <c r="D96" s="60"/>
      <c r="E96" s="60"/>
      <c r="F96" s="60"/>
      <c r="G96" s="200" t="str">
        <f t="shared" si="5"/>
        <v/>
      </c>
      <c r="H96" s="192"/>
      <c r="I96" s="60"/>
      <c r="J96" s="60"/>
      <c r="K96" s="60"/>
      <c r="L96" s="200" t="str">
        <f t="shared" si="6"/>
        <v/>
      </c>
      <c r="M96" s="192"/>
      <c r="N96" s="60"/>
      <c r="O96" s="60"/>
      <c r="P96" s="60"/>
      <c r="Q96" s="200" t="str">
        <f t="shared" si="7"/>
        <v/>
      </c>
      <c r="R96" s="192"/>
      <c r="S96" s="60"/>
      <c r="T96" s="205"/>
    </row>
    <row r="97" spans="1:20" s="8" customFormat="1" ht="13.5" customHeight="1" x14ac:dyDescent="0.25">
      <c r="A97" s="214" t="s">
        <v>300</v>
      </c>
      <c r="B97" s="7" t="s">
        <v>586</v>
      </c>
      <c r="C97" s="190"/>
      <c r="D97" s="60"/>
      <c r="E97" s="60"/>
      <c r="F97" s="60"/>
      <c r="G97" s="200" t="str">
        <f t="shared" si="5"/>
        <v/>
      </c>
      <c r="H97" s="192"/>
      <c r="I97" s="60"/>
      <c r="J97" s="60"/>
      <c r="K97" s="60"/>
      <c r="L97" s="200" t="str">
        <f t="shared" si="6"/>
        <v/>
      </c>
      <c r="M97" s="192"/>
      <c r="N97" s="60"/>
      <c r="O97" s="60"/>
      <c r="P97" s="60"/>
      <c r="Q97" s="200" t="str">
        <f t="shared" si="7"/>
        <v/>
      </c>
      <c r="R97" s="192"/>
      <c r="S97" s="60"/>
      <c r="T97" s="205"/>
    </row>
    <row r="98" spans="1:20" s="8" customFormat="1" ht="13.5" customHeight="1" x14ac:dyDescent="0.25">
      <c r="A98" s="214" t="s">
        <v>300</v>
      </c>
      <c r="B98" s="7" t="s">
        <v>589</v>
      </c>
      <c r="C98" s="190"/>
      <c r="D98" s="60"/>
      <c r="E98" s="60"/>
      <c r="F98" s="60"/>
      <c r="G98" s="200" t="str">
        <f t="shared" si="5"/>
        <v/>
      </c>
      <c r="H98" s="192"/>
      <c r="I98" s="60"/>
      <c r="J98" s="60"/>
      <c r="K98" s="60"/>
      <c r="L98" s="200" t="str">
        <f t="shared" si="6"/>
        <v/>
      </c>
      <c r="M98" s="192"/>
      <c r="N98" s="60"/>
      <c r="O98" s="60"/>
      <c r="P98" s="60"/>
      <c r="Q98" s="200" t="str">
        <f t="shared" si="7"/>
        <v/>
      </c>
      <c r="R98" s="192"/>
      <c r="S98" s="60"/>
      <c r="T98" s="205"/>
    </row>
    <row r="99" spans="1:20" s="8" customFormat="1" ht="13.5" customHeight="1" x14ac:dyDescent="0.25">
      <c r="A99" s="214" t="s">
        <v>300</v>
      </c>
      <c r="B99" s="7" t="s">
        <v>591</v>
      </c>
      <c r="C99" s="190" t="s">
        <v>310</v>
      </c>
      <c r="D99" s="60">
        <v>1</v>
      </c>
      <c r="E99" s="60">
        <v>1</v>
      </c>
      <c r="F99" s="60"/>
      <c r="G99" s="200" t="str">
        <f t="shared" si="5"/>
        <v/>
      </c>
      <c r="H99" s="192"/>
      <c r="I99" s="60"/>
      <c r="J99" s="60"/>
      <c r="K99" s="60"/>
      <c r="L99" s="200" t="str">
        <f t="shared" si="6"/>
        <v/>
      </c>
      <c r="M99" s="192"/>
      <c r="N99" s="60"/>
      <c r="O99" s="60"/>
      <c r="P99" s="60"/>
      <c r="Q99" s="200" t="str">
        <f t="shared" si="7"/>
        <v/>
      </c>
      <c r="R99" s="192"/>
      <c r="S99" s="60"/>
      <c r="T99" s="205"/>
    </row>
    <row r="100" spans="1:20" s="8" customFormat="1" ht="13.5" customHeight="1" x14ac:dyDescent="0.25">
      <c r="A100" s="214" t="s">
        <v>300</v>
      </c>
      <c r="B100" s="7" t="s">
        <v>594</v>
      </c>
      <c r="C100" s="190" t="s">
        <v>310</v>
      </c>
      <c r="D100" s="60">
        <v>1</v>
      </c>
      <c r="E100" s="60"/>
      <c r="F100" s="60"/>
      <c r="G100" s="200" t="str">
        <f t="shared" si="5"/>
        <v/>
      </c>
      <c r="H100" s="192"/>
      <c r="I100" s="60"/>
      <c r="J100" s="60"/>
      <c r="K100" s="60"/>
      <c r="L100" s="200" t="str">
        <f t="shared" si="6"/>
        <v/>
      </c>
      <c r="M100" s="192"/>
      <c r="N100" s="60"/>
      <c r="O100" s="60"/>
      <c r="P100" s="60"/>
      <c r="Q100" s="200" t="str">
        <f t="shared" si="7"/>
        <v/>
      </c>
      <c r="R100" s="192"/>
      <c r="S100" s="60"/>
      <c r="T100" s="205"/>
    </row>
    <row r="101" spans="1:20" s="8" customFormat="1" ht="13.5" customHeight="1" x14ac:dyDescent="0.25">
      <c r="A101" s="214" t="s">
        <v>300</v>
      </c>
      <c r="B101" s="7" t="s">
        <v>597</v>
      </c>
      <c r="C101" s="190"/>
      <c r="D101" s="60"/>
      <c r="E101" s="60"/>
      <c r="F101" s="60"/>
      <c r="G101" s="200" t="str">
        <f t="shared" si="5"/>
        <v/>
      </c>
      <c r="H101" s="192"/>
      <c r="I101" s="60"/>
      <c r="J101" s="60"/>
      <c r="K101" s="60"/>
      <c r="L101" s="200" t="str">
        <f t="shared" si="6"/>
        <v/>
      </c>
      <c r="M101" s="192"/>
      <c r="N101" s="60"/>
      <c r="O101" s="60"/>
      <c r="P101" s="60"/>
      <c r="Q101" s="200" t="str">
        <f t="shared" si="7"/>
        <v/>
      </c>
      <c r="R101" s="192"/>
      <c r="S101" s="60"/>
      <c r="T101" s="205"/>
    </row>
    <row r="102" spans="1:20" s="8" customFormat="1" ht="13.5" customHeight="1" x14ac:dyDescent="0.25">
      <c r="A102" s="214" t="s">
        <v>300</v>
      </c>
      <c r="B102" s="7" t="s">
        <v>599</v>
      </c>
      <c r="C102" s="190"/>
      <c r="D102" s="60"/>
      <c r="E102" s="60"/>
      <c r="F102" s="60"/>
      <c r="G102" s="200" t="str">
        <f t="shared" si="5"/>
        <v/>
      </c>
      <c r="H102" s="192"/>
      <c r="I102" s="60"/>
      <c r="J102" s="60"/>
      <c r="K102" s="60"/>
      <c r="L102" s="200" t="str">
        <f t="shared" si="6"/>
        <v/>
      </c>
      <c r="M102" s="192"/>
      <c r="N102" s="60"/>
      <c r="O102" s="60"/>
      <c r="P102" s="60"/>
      <c r="Q102" s="200" t="str">
        <f t="shared" si="7"/>
        <v/>
      </c>
      <c r="R102" s="192"/>
      <c r="S102" s="60"/>
      <c r="T102" s="205"/>
    </row>
    <row r="103" spans="1:20" s="8" customFormat="1" ht="13.5" customHeight="1" x14ac:dyDescent="0.25">
      <c r="A103" s="214" t="s">
        <v>300</v>
      </c>
      <c r="B103" s="7" t="s">
        <v>602</v>
      </c>
      <c r="C103" s="190"/>
      <c r="D103" s="60"/>
      <c r="E103" s="60"/>
      <c r="F103" s="60"/>
      <c r="G103" s="200" t="str">
        <f t="shared" si="5"/>
        <v/>
      </c>
      <c r="H103" s="192"/>
      <c r="I103" s="60"/>
      <c r="J103" s="60"/>
      <c r="K103" s="60"/>
      <c r="L103" s="200" t="str">
        <f t="shared" si="6"/>
        <v/>
      </c>
      <c r="M103" s="192"/>
      <c r="N103" s="60"/>
      <c r="O103" s="60"/>
      <c r="P103" s="60"/>
      <c r="Q103" s="200" t="str">
        <f t="shared" si="7"/>
        <v/>
      </c>
      <c r="R103" s="192"/>
      <c r="S103" s="60"/>
      <c r="T103" s="205"/>
    </row>
    <row r="104" spans="1:20" s="8" customFormat="1" ht="13.5" customHeight="1" x14ac:dyDescent="0.25">
      <c r="A104" s="214" t="s">
        <v>300</v>
      </c>
      <c r="B104" s="7" t="s">
        <v>605</v>
      </c>
      <c r="C104" s="190"/>
      <c r="D104" s="60"/>
      <c r="E104" s="60"/>
      <c r="F104" s="60"/>
      <c r="G104" s="200" t="str">
        <f t="shared" si="5"/>
        <v/>
      </c>
      <c r="H104" s="192"/>
      <c r="I104" s="60"/>
      <c r="J104" s="60"/>
      <c r="K104" s="60"/>
      <c r="L104" s="200" t="str">
        <f t="shared" si="6"/>
        <v/>
      </c>
      <c r="M104" s="192"/>
      <c r="N104" s="60"/>
      <c r="O104" s="60"/>
      <c r="P104" s="60"/>
      <c r="Q104" s="200" t="str">
        <f t="shared" si="7"/>
        <v/>
      </c>
      <c r="R104" s="192"/>
      <c r="S104" s="60"/>
      <c r="T104" s="205"/>
    </row>
    <row r="105" spans="1:20" s="8" customFormat="1" ht="13.5" customHeight="1" x14ac:dyDescent="0.25">
      <c r="A105" s="214" t="s">
        <v>300</v>
      </c>
      <c r="B105" s="7" t="s">
        <v>608</v>
      </c>
      <c r="C105" s="190"/>
      <c r="D105" s="60"/>
      <c r="E105" s="60"/>
      <c r="F105" s="60"/>
      <c r="G105" s="200" t="str">
        <f t="shared" si="5"/>
        <v/>
      </c>
      <c r="H105" s="192"/>
      <c r="I105" s="60"/>
      <c r="J105" s="60"/>
      <c r="K105" s="60"/>
      <c r="L105" s="200" t="str">
        <f t="shared" si="6"/>
        <v/>
      </c>
      <c r="M105" s="192"/>
      <c r="N105" s="60"/>
      <c r="O105" s="60"/>
      <c r="P105" s="60"/>
      <c r="Q105" s="200" t="str">
        <f t="shared" si="7"/>
        <v/>
      </c>
      <c r="R105" s="192"/>
      <c r="S105" s="60"/>
      <c r="T105" s="205"/>
    </row>
    <row r="106" spans="1:20" s="8" customFormat="1" ht="13.5" customHeight="1" x14ac:dyDescent="0.25">
      <c r="A106" s="214" t="s">
        <v>300</v>
      </c>
      <c r="B106" s="7" t="s">
        <v>264</v>
      </c>
      <c r="C106" s="190" t="s">
        <v>310</v>
      </c>
      <c r="D106" s="191">
        <v>1</v>
      </c>
      <c r="E106" s="191">
        <v>1</v>
      </c>
      <c r="F106" s="191"/>
      <c r="G106" s="200" t="str">
        <f t="shared" si="5"/>
        <v/>
      </c>
      <c r="H106" s="190" t="s">
        <v>310</v>
      </c>
      <c r="I106" s="191">
        <v>2</v>
      </c>
      <c r="J106" s="191"/>
      <c r="K106" s="191"/>
      <c r="L106" s="200" t="str">
        <f t="shared" si="6"/>
        <v/>
      </c>
      <c r="M106" s="190"/>
      <c r="N106" s="191"/>
      <c r="O106" s="191"/>
      <c r="P106" s="191"/>
      <c r="Q106" s="200" t="str">
        <f t="shared" si="7"/>
        <v/>
      </c>
      <c r="R106" s="190"/>
      <c r="S106" s="191"/>
      <c r="T106" s="200"/>
    </row>
    <row r="107" spans="1:20" s="8" customFormat="1" ht="13.5" customHeight="1" x14ac:dyDescent="0.25">
      <c r="A107" s="214" t="s">
        <v>300</v>
      </c>
      <c r="B107" s="7" t="s">
        <v>610</v>
      </c>
      <c r="C107" s="190"/>
      <c r="D107" s="60"/>
      <c r="E107" s="60"/>
      <c r="F107" s="60"/>
      <c r="G107" s="200" t="str">
        <f t="shared" si="5"/>
        <v/>
      </c>
      <c r="H107" s="192"/>
      <c r="I107" s="60"/>
      <c r="J107" s="60"/>
      <c r="K107" s="60"/>
      <c r="L107" s="200" t="str">
        <f t="shared" si="6"/>
        <v/>
      </c>
      <c r="M107" s="192"/>
      <c r="N107" s="60"/>
      <c r="O107" s="60"/>
      <c r="P107" s="60"/>
      <c r="Q107" s="200" t="str">
        <f t="shared" si="7"/>
        <v/>
      </c>
      <c r="R107" s="192"/>
      <c r="S107" s="60"/>
      <c r="T107" s="205"/>
    </row>
    <row r="108" spans="1:20" s="8" customFormat="1" ht="13.5" customHeight="1" x14ac:dyDescent="0.25">
      <c r="A108" s="214" t="s">
        <v>300</v>
      </c>
      <c r="B108" s="7" t="s">
        <v>612</v>
      </c>
      <c r="C108" s="190" t="s">
        <v>310</v>
      </c>
      <c r="D108" s="60">
        <v>1</v>
      </c>
      <c r="E108" s="60"/>
      <c r="F108" s="60"/>
      <c r="G108" s="200" t="str">
        <f t="shared" ref="G108" si="8">IF(F108=1,"New","")</f>
        <v/>
      </c>
      <c r="H108" s="192"/>
      <c r="I108" s="60"/>
      <c r="J108" s="60"/>
      <c r="K108" s="60"/>
      <c r="L108" s="200" t="str">
        <f t="shared" si="6"/>
        <v/>
      </c>
      <c r="M108" s="192"/>
      <c r="N108" s="60"/>
      <c r="O108" s="60"/>
      <c r="P108" s="60"/>
      <c r="Q108" s="200" t="str">
        <f t="shared" si="7"/>
        <v/>
      </c>
      <c r="R108" s="192"/>
      <c r="S108" s="60"/>
      <c r="T108" s="205"/>
    </row>
    <row r="109" spans="1:20" s="8" customFormat="1" ht="13.5" customHeight="1" x14ac:dyDescent="0.25">
      <c r="A109" s="214" t="s">
        <v>300</v>
      </c>
      <c r="B109" s="7" t="s">
        <v>615</v>
      </c>
      <c r="C109" s="190"/>
      <c r="D109" s="60"/>
      <c r="E109" s="60"/>
      <c r="F109" s="60"/>
      <c r="G109" s="200" t="str">
        <f t="shared" si="5"/>
        <v/>
      </c>
      <c r="H109" s="192"/>
      <c r="I109" s="60"/>
      <c r="J109" s="60"/>
      <c r="K109" s="60"/>
      <c r="L109" s="200" t="str">
        <f t="shared" si="6"/>
        <v/>
      </c>
      <c r="M109" s="192"/>
      <c r="N109" s="60"/>
      <c r="O109" s="60"/>
      <c r="P109" s="60"/>
      <c r="Q109" s="200" t="str">
        <f t="shared" si="7"/>
        <v/>
      </c>
      <c r="R109" s="192"/>
      <c r="S109" s="60"/>
      <c r="T109" s="205"/>
    </row>
    <row r="110" spans="1:20" s="8" customFormat="1" ht="13.5" customHeight="1" x14ac:dyDescent="0.25">
      <c r="A110" s="214" t="s">
        <v>300</v>
      </c>
      <c r="B110" s="7" t="s">
        <v>618</v>
      </c>
      <c r="C110" s="190" t="s">
        <v>310</v>
      </c>
      <c r="D110" s="60">
        <v>1</v>
      </c>
      <c r="E110" s="60"/>
      <c r="F110" s="60"/>
      <c r="G110" s="200" t="str">
        <f t="shared" si="5"/>
        <v/>
      </c>
      <c r="H110" s="192" t="s">
        <v>310</v>
      </c>
      <c r="I110" s="60">
        <v>1</v>
      </c>
      <c r="J110" s="60"/>
      <c r="K110" s="60"/>
      <c r="L110" s="200" t="str">
        <f t="shared" si="6"/>
        <v/>
      </c>
      <c r="M110" s="192"/>
      <c r="N110" s="60"/>
      <c r="O110" s="60"/>
      <c r="P110" s="60"/>
      <c r="Q110" s="200" t="str">
        <f t="shared" si="7"/>
        <v/>
      </c>
      <c r="R110" s="192"/>
      <c r="S110" s="60"/>
      <c r="T110" s="205"/>
    </row>
    <row r="111" spans="1:20" s="8" customFormat="1" ht="13.5" customHeight="1" x14ac:dyDescent="0.25">
      <c r="A111" s="214" t="s">
        <v>300</v>
      </c>
      <c r="B111" s="7" t="s">
        <v>620</v>
      </c>
      <c r="C111" s="190"/>
      <c r="D111" s="60"/>
      <c r="E111" s="60"/>
      <c r="F111" s="60"/>
      <c r="G111" s="200" t="str">
        <f t="shared" si="5"/>
        <v/>
      </c>
      <c r="H111" s="192"/>
      <c r="I111" s="60"/>
      <c r="J111" s="60"/>
      <c r="K111" s="60"/>
      <c r="L111" s="200" t="str">
        <f t="shared" si="6"/>
        <v/>
      </c>
      <c r="M111" s="192"/>
      <c r="N111" s="60"/>
      <c r="O111" s="60"/>
      <c r="P111" s="60"/>
      <c r="Q111" s="200" t="str">
        <f t="shared" si="7"/>
        <v/>
      </c>
      <c r="R111" s="192"/>
      <c r="S111" s="60"/>
      <c r="T111" s="205"/>
    </row>
    <row r="112" spans="1:20" s="8" customFormat="1" ht="13.5" customHeight="1" x14ac:dyDescent="0.25">
      <c r="A112" s="214" t="s">
        <v>300</v>
      </c>
      <c r="B112" s="7" t="s">
        <v>623</v>
      </c>
      <c r="C112" s="190"/>
      <c r="D112" s="60"/>
      <c r="E112" s="60"/>
      <c r="F112" s="60"/>
      <c r="G112" s="200" t="str">
        <f t="shared" si="5"/>
        <v/>
      </c>
      <c r="H112" s="192"/>
      <c r="I112" s="60"/>
      <c r="J112" s="60"/>
      <c r="K112" s="60"/>
      <c r="L112" s="200" t="str">
        <f t="shared" si="6"/>
        <v/>
      </c>
      <c r="M112" s="192"/>
      <c r="N112" s="60"/>
      <c r="O112" s="60"/>
      <c r="P112" s="60"/>
      <c r="Q112" s="200" t="str">
        <f t="shared" si="7"/>
        <v/>
      </c>
      <c r="R112" s="192"/>
      <c r="S112" s="60"/>
      <c r="T112" s="205"/>
    </row>
    <row r="113" spans="1:20" s="8" customFormat="1" ht="13.5" customHeight="1" x14ac:dyDescent="0.25">
      <c r="A113" s="214" t="s">
        <v>300</v>
      </c>
      <c r="B113" s="7" t="s">
        <v>626</v>
      </c>
      <c r="C113" s="190"/>
      <c r="D113" s="60"/>
      <c r="E113" s="60"/>
      <c r="F113" s="60"/>
      <c r="G113" s="200" t="str">
        <f t="shared" si="5"/>
        <v/>
      </c>
      <c r="H113" s="192"/>
      <c r="I113" s="60"/>
      <c r="J113" s="60"/>
      <c r="K113" s="60"/>
      <c r="L113" s="200" t="str">
        <f t="shared" si="6"/>
        <v/>
      </c>
      <c r="M113" s="192"/>
      <c r="N113" s="60"/>
      <c r="O113" s="60"/>
      <c r="P113" s="60"/>
      <c r="Q113" s="200" t="str">
        <f t="shared" si="7"/>
        <v/>
      </c>
      <c r="R113" s="192"/>
      <c r="S113" s="60"/>
      <c r="T113" s="205"/>
    </row>
    <row r="114" spans="1:20" s="8" customFormat="1" ht="13.5" customHeight="1" x14ac:dyDescent="0.25">
      <c r="A114" s="214" t="s">
        <v>300</v>
      </c>
      <c r="B114" s="7" t="s">
        <v>629</v>
      </c>
      <c r="C114" s="190"/>
      <c r="D114" s="60"/>
      <c r="E114" s="60"/>
      <c r="F114" s="60"/>
      <c r="G114" s="200" t="str">
        <f t="shared" si="5"/>
        <v/>
      </c>
      <c r="H114" s="192"/>
      <c r="I114" s="60"/>
      <c r="J114" s="60"/>
      <c r="K114" s="60"/>
      <c r="L114" s="200" t="str">
        <f t="shared" si="6"/>
        <v/>
      </c>
      <c r="M114" s="192"/>
      <c r="N114" s="60"/>
      <c r="O114" s="60"/>
      <c r="P114" s="60"/>
      <c r="Q114" s="200" t="str">
        <f t="shared" si="7"/>
        <v/>
      </c>
      <c r="R114" s="192"/>
      <c r="S114" s="60"/>
      <c r="T114" s="205"/>
    </row>
    <row r="115" spans="1:20" s="8" customFormat="1" ht="13.5" customHeight="1" x14ac:dyDescent="0.25">
      <c r="A115" s="214" t="s">
        <v>300</v>
      </c>
      <c r="B115" s="7" t="s">
        <v>632</v>
      </c>
      <c r="C115" s="190"/>
      <c r="D115" s="60"/>
      <c r="E115" s="60"/>
      <c r="F115" s="60"/>
      <c r="G115" s="200" t="str">
        <f t="shared" si="5"/>
        <v/>
      </c>
      <c r="H115" s="192"/>
      <c r="I115" s="60"/>
      <c r="J115" s="60"/>
      <c r="K115" s="60"/>
      <c r="L115" s="200" t="str">
        <f t="shared" si="6"/>
        <v/>
      </c>
      <c r="M115" s="192"/>
      <c r="N115" s="60"/>
      <c r="O115" s="60"/>
      <c r="P115" s="60"/>
      <c r="Q115" s="200" t="str">
        <f t="shared" si="7"/>
        <v/>
      </c>
      <c r="R115" s="192"/>
      <c r="S115" s="60"/>
      <c r="T115" s="205"/>
    </row>
    <row r="116" spans="1:20" s="8" customFormat="1" ht="13.5" customHeight="1" x14ac:dyDescent="0.25">
      <c r="A116" s="214" t="s">
        <v>300</v>
      </c>
      <c r="B116" s="7" t="s">
        <v>634</v>
      </c>
      <c r="C116" s="190"/>
      <c r="D116" s="60"/>
      <c r="E116" s="60"/>
      <c r="F116" s="60"/>
      <c r="G116" s="200" t="str">
        <f t="shared" si="5"/>
        <v/>
      </c>
      <c r="H116" s="192"/>
      <c r="I116" s="60"/>
      <c r="J116" s="60"/>
      <c r="K116" s="60"/>
      <c r="L116" s="200" t="str">
        <f t="shared" si="6"/>
        <v/>
      </c>
      <c r="M116" s="192"/>
      <c r="N116" s="60"/>
      <c r="O116" s="60"/>
      <c r="P116" s="60"/>
      <c r="Q116" s="200" t="str">
        <f t="shared" si="7"/>
        <v/>
      </c>
      <c r="R116" s="192"/>
      <c r="S116" s="60"/>
      <c r="T116" s="205"/>
    </row>
    <row r="117" spans="1:20" s="8" customFormat="1" ht="13.5" customHeight="1" x14ac:dyDescent="0.25">
      <c r="A117" s="214" t="s">
        <v>300</v>
      </c>
      <c r="B117" s="7" t="s">
        <v>636</v>
      </c>
      <c r="C117" s="190"/>
      <c r="D117" s="60"/>
      <c r="E117" s="60"/>
      <c r="F117" s="60"/>
      <c r="G117" s="200" t="str">
        <f t="shared" si="5"/>
        <v/>
      </c>
      <c r="H117" s="192"/>
      <c r="I117" s="60"/>
      <c r="J117" s="60"/>
      <c r="K117" s="60"/>
      <c r="L117" s="200" t="str">
        <f t="shared" si="6"/>
        <v/>
      </c>
      <c r="M117" s="192"/>
      <c r="N117" s="60"/>
      <c r="O117" s="60"/>
      <c r="P117" s="60"/>
      <c r="Q117" s="200" t="str">
        <f t="shared" si="7"/>
        <v/>
      </c>
      <c r="R117" s="192"/>
      <c r="S117" s="60"/>
      <c r="T117" s="205"/>
    </row>
    <row r="118" spans="1:20" s="8" customFormat="1" ht="13.5" customHeight="1" x14ac:dyDescent="0.25">
      <c r="A118" s="214" t="s">
        <v>300</v>
      </c>
      <c r="B118" s="7" t="s">
        <v>638</v>
      </c>
      <c r="C118" s="190"/>
      <c r="D118" s="60"/>
      <c r="E118" s="60"/>
      <c r="F118" s="60"/>
      <c r="G118" s="200" t="str">
        <f t="shared" si="5"/>
        <v/>
      </c>
      <c r="H118" s="192"/>
      <c r="I118" s="60"/>
      <c r="J118" s="60"/>
      <c r="K118" s="60"/>
      <c r="L118" s="200" t="str">
        <f t="shared" si="6"/>
        <v/>
      </c>
      <c r="M118" s="192"/>
      <c r="N118" s="60"/>
      <c r="O118" s="60"/>
      <c r="P118" s="60"/>
      <c r="Q118" s="200" t="str">
        <f t="shared" si="7"/>
        <v/>
      </c>
      <c r="R118" s="192"/>
      <c r="S118" s="60"/>
      <c r="T118" s="205"/>
    </row>
    <row r="119" spans="1:20" s="8" customFormat="1" ht="13.5" customHeight="1" x14ac:dyDescent="0.25">
      <c r="A119" s="214" t="s">
        <v>300</v>
      </c>
      <c r="B119" s="7" t="s">
        <v>81</v>
      </c>
      <c r="C119" s="190"/>
      <c r="D119" s="191"/>
      <c r="E119" s="191"/>
      <c r="F119" s="191"/>
      <c r="G119" s="200" t="str">
        <f t="shared" si="5"/>
        <v/>
      </c>
      <c r="H119" s="190"/>
      <c r="I119" s="191"/>
      <c r="J119" s="191"/>
      <c r="K119" s="191"/>
      <c r="L119" s="200" t="str">
        <f t="shared" si="6"/>
        <v/>
      </c>
      <c r="M119" s="190"/>
      <c r="N119" s="191"/>
      <c r="O119" s="191"/>
      <c r="P119" s="191"/>
      <c r="Q119" s="200" t="str">
        <f t="shared" si="7"/>
        <v/>
      </c>
      <c r="R119" s="190"/>
      <c r="S119" s="191"/>
      <c r="T119" s="200"/>
    </row>
    <row r="120" spans="1:20" s="8" customFormat="1" ht="13.5" customHeight="1" x14ac:dyDescent="0.25">
      <c r="A120" s="214" t="s">
        <v>300</v>
      </c>
      <c r="B120" s="7" t="s">
        <v>1815</v>
      </c>
      <c r="C120" s="190" t="s">
        <v>310</v>
      </c>
      <c r="D120" s="60">
        <v>1</v>
      </c>
      <c r="E120" s="60">
        <v>1</v>
      </c>
      <c r="F120" s="60"/>
      <c r="G120" s="200" t="str">
        <f t="shared" si="5"/>
        <v/>
      </c>
      <c r="H120" s="192"/>
      <c r="I120" s="60"/>
      <c r="J120" s="60"/>
      <c r="K120" s="60"/>
      <c r="L120" s="200" t="str">
        <f t="shared" si="6"/>
        <v/>
      </c>
      <c r="M120" s="192" t="s">
        <v>310</v>
      </c>
      <c r="N120" s="60">
        <v>1</v>
      </c>
      <c r="O120" s="60"/>
      <c r="P120" s="60"/>
      <c r="Q120" s="200" t="str">
        <f t="shared" si="7"/>
        <v/>
      </c>
      <c r="R120" s="192"/>
      <c r="S120" s="60"/>
      <c r="T120" s="205"/>
    </row>
    <row r="121" spans="1:20" s="8" customFormat="1" ht="13.5" customHeight="1" x14ac:dyDescent="0.25">
      <c r="A121" s="214" t="s">
        <v>300</v>
      </c>
      <c r="B121" s="7" t="s">
        <v>69</v>
      </c>
      <c r="C121" s="190" t="s">
        <v>310</v>
      </c>
      <c r="D121" s="191">
        <v>1</v>
      </c>
      <c r="E121" s="191">
        <v>1</v>
      </c>
      <c r="F121" s="191"/>
      <c r="G121" s="200" t="str">
        <f t="shared" si="5"/>
        <v/>
      </c>
      <c r="H121" s="190"/>
      <c r="I121" s="191"/>
      <c r="J121" s="191"/>
      <c r="K121" s="191"/>
      <c r="L121" s="200" t="str">
        <f t="shared" si="6"/>
        <v/>
      </c>
      <c r="M121" s="190" t="s">
        <v>310</v>
      </c>
      <c r="N121" s="191">
        <v>1</v>
      </c>
      <c r="O121" s="191"/>
      <c r="P121" s="191"/>
      <c r="Q121" s="200" t="str">
        <f t="shared" si="7"/>
        <v/>
      </c>
      <c r="R121" s="190"/>
      <c r="S121" s="191"/>
      <c r="T121" s="200"/>
    </row>
    <row r="122" spans="1:20" s="8" customFormat="1" ht="13.5" customHeight="1" x14ac:dyDescent="0.25">
      <c r="A122" s="214" t="s">
        <v>300</v>
      </c>
      <c r="B122" s="7" t="s">
        <v>1783</v>
      </c>
      <c r="C122" s="190" t="s">
        <v>310</v>
      </c>
      <c r="D122" s="191">
        <v>1</v>
      </c>
      <c r="E122" s="191">
        <v>1</v>
      </c>
      <c r="F122" s="191"/>
      <c r="G122" s="200" t="str">
        <f t="shared" si="5"/>
        <v/>
      </c>
      <c r="H122" s="190"/>
      <c r="I122" s="191"/>
      <c r="J122" s="191"/>
      <c r="K122" s="191"/>
      <c r="L122" s="200"/>
      <c r="M122" s="190"/>
      <c r="N122" s="191"/>
      <c r="O122" s="191"/>
      <c r="P122" s="191"/>
      <c r="Q122" s="200"/>
      <c r="R122" s="190"/>
      <c r="S122" s="191"/>
      <c r="T122" s="200"/>
    </row>
    <row r="123" spans="1:20" s="8" customFormat="1" ht="13.5" customHeight="1" x14ac:dyDescent="0.25">
      <c r="A123" s="214" t="s">
        <v>300</v>
      </c>
      <c r="B123" s="7" t="s">
        <v>642</v>
      </c>
      <c r="C123" s="190"/>
      <c r="D123" s="60"/>
      <c r="E123" s="60"/>
      <c r="F123" s="60"/>
      <c r="G123" s="200" t="str">
        <f t="shared" si="5"/>
        <v/>
      </c>
      <c r="H123" s="192"/>
      <c r="I123" s="60"/>
      <c r="J123" s="60"/>
      <c r="K123" s="60"/>
      <c r="L123" s="200" t="str">
        <f t="shared" si="6"/>
        <v/>
      </c>
      <c r="M123" s="192"/>
      <c r="N123" s="60"/>
      <c r="O123" s="60"/>
      <c r="P123" s="60"/>
      <c r="Q123" s="200" t="str">
        <f t="shared" si="7"/>
        <v/>
      </c>
      <c r="R123" s="192"/>
      <c r="S123" s="60"/>
      <c r="T123" s="205"/>
    </row>
    <row r="124" spans="1:20" s="8" customFormat="1" ht="13.5" customHeight="1" x14ac:dyDescent="0.25">
      <c r="A124" s="214" t="s">
        <v>300</v>
      </c>
      <c r="B124" s="7" t="s">
        <v>644</v>
      </c>
      <c r="C124" s="190"/>
      <c r="D124" s="60"/>
      <c r="E124" s="60"/>
      <c r="F124" s="60"/>
      <c r="G124" s="200" t="str">
        <f t="shared" si="5"/>
        <v/>
      </c>
      <c r="H124" s="192"/>
      <c r="I124" s="60"/>
      <c r="J124" s="60"/>
      <c r="K124" s="60"/>
      <c r="L124" s="200" t="str">
        <f t="shared" si="6"/>
        <v/>
      </c>
      <c r="M124" s="192"/>
      <c r="N124" s="60"/>
      <c r="O124" s="60"/>
      <c r="P124" s="60"/>
      <c r="Q124" s="200" t="str">
        <f t="shared" si="7"/>
        <v/>
      </c>
      <c r="R124" s="192"/>
      <c r="S124" s="60"/>
      <c r="T124" s="205"/>
    </row>
    <row r="125" spans="1:20" s="8" customFormat="1" ht="13.5" customHeight="1" x14ac:dyDescent="0.25">
      <c r="A125" s="214" t="s">
        <v>300</v>
      </c>
      <c r="B125" s="7" t="s">
        <v>646</v>
      </c>
      <c r="C125" s="190"/>
      <c r="D125" s="60"/>
      <c r="E125" s="60"/>
      <c r="F125" s="60"/>
      <c r="G125" s="200" t="str">
        <f t="shared" si="5"/>
        <v/>
      </c>
      <c r="H125" s="192"/>
      <c r="I125" s="60"/>
      <c r="J125" s="60"/>
      <c r="K125" s="60"/>
      <c r="L125" s="200" t="str">
        <f t="shared" si="6"/>
        <v/>
      </c>
      <c r="M125" s="192"/>
      <c r="N125" s="60"/>
      <c r="O125" s="60"/>
      <c r="P125" s="60"/>
      <c r="Q125" s="200" t="str">
        <f t="shared" si="7"/>
        <v/>
      </c>
      <c r="R125" s="192"/>
      <c r="S125" s="60"/>
      <c r="T125" s="205"/>
    </row>
    <row r="126" spans="1:20" s="8" customFormat="1" ht="13.5" customHeight="1" x14ac:dyDescent="0.25">
      <c r="A126" s="214" t="s">
        <v>300</v>
      </c>
      <c r="B126" s="7" t="s">
        <v>648</v>
      </c>
      <c r="C126" s="190"/>
      <c r="D126" s="60"/>
      <c r="E126" s="60"/>
      <c r="F126" s="60"/>
      <c r="G126" s="200" t="str">
        <f t="shared" si="5"/>
        <v/>
      </c>
      <c r="H126" s="192"/>
      <c r="I126" s="60"/>
      <c r="J126" s="60"/>
      <c r="K126" s="60"/>
      <c r="L126" s="200" t="str">
        <f t="shared" si="6"/>
        <v/>
      </c>
      <c r="M126" s="192"/>
      <c r="N126" s="60"/>
      <c r="O126" s="60"/>
      <c r="P126" s="60"/>
      <c r="Q126" s="200" t="str">
        <f t="shared" si="7"/>
        <v/>
      </c>
      <c r="R126" s="192"/>
      <c r="S126" s="60"/>
      <c r="T126" s="205"/>
    </row>
    <row r="127" spans="1:20" s="8" customFormat="1" ht="13.5" customHeight="1" x14ac:dyDescent="0.25">
      <c r="A127" s="214" t="s">
        <v>300</v>
      </c>
      <c r="B127" s="7" t="s">
        <v>650</v>
      </c>
      <c r="C127" s="190"/>
      <c r="D127" s="60"/>
      <c r="E127" s="60"/>
      <c r="F127" s="60"/>
      <c r="G127" s="200" t="str">
        <f t="shared" si="5"/>
        <v/>
      </c>
      <c r="H127" s="192"/>
      <c r="I127" s="60"/>
      <c r="J127" s="60"/>
      <c r="K127" s="60"/>
      <c r="L127" s="200" t="str">
        <f t="shared" si="6"/>
        <v/>
      </c>
      <c r="M127" s="192"/>
      <c r="N127" s="60"/>
      <c r="O127" s="60"/>
      <c r="P127" s="60"/>
      <c r="Q127" s="200" t="str">
        <f t="shared" si="7"/>
        <v/>
      </c>
      <c r="R127" s="192"/>
      <c r="S127" s="60"/>
      <c r="T127" s="205"/>
    </row>
    <row r="128" spans="1:20" s="8" customFormat="1" ht="13.5" customHeight="1" x14ac:dyDescent="0.25">
      <c r="A128" s="214" t="s">
        <v>300</v>
      </c>
      <c r="B128" s="7" t="s">
        <v>653</v>
      </c>
      <c r="C128" s="190"/>
      <c r="D128" s="60"/>
      <c r="E128" s="60"/>
      <c r="F128" s="60"/>
      <c r="G128" s="200" t="str">
        <f t="shared" si="5"/>
        <v/>
      </c>
      <c r="H128" s="192"/>
      <c r="I128" s="60"/>
      <c r="J128" s="60"/>
      <c r="K128" s="60"/>
      <c r="L128" s="200" t="str">
        <f t="shared" si="6"/>
        <v/>
      </c>
      <c r="M128" s="192"/>
      <c r="N128" s="60"/>
      <c r="O128" s="60"/>
      <c r="P128" s="60"/>
      <c r="Q128" s="200" t="str">
        <f t="shared" si="7"/>
        <v/>
      </c>
      <c r="R128" s="192"/>
      <c r="S128" s="60"/>
      <c r="T128" s="205"/>
    </row>
    <row r="129" spans="1:252" s="8" customFormat="1" ht="13.5" customHeight="1" x14ac:dyDescent="0.25">
      <c r="A129" s="214" t="s">
        <v>300</v>
      </c>
      <c r="B129" s="7" t="s">
        <v>166</v>
      </c>
      <c r="C129" s="190"/>
      <c r="D129" s="191"/>
      <c r="E129" s="191"/>
      <c r="F129" s="191"/>
      <c r="G129" s="200" t="str">
        <f t="shared" si="5"/>
        <v/>
      </c>
      <c r="H129" s="190"/>
      <c r="I129" s="191"/>
      <c r="J129" s="191"/>
      <c r="K129" s="191"/>
      <c r="L129" s="200" t="str">
        <f t="shared" si="6"/>
        <v/>
      </c>
      <c r="M129" s="190"/>
      <c r="N129" s="191"/>
      <c r="O129" s="191"/>
      <c r="P129" s="191"/>
      <c r="Q129" s="200" t="str">
        <f t="shared" si="7"/>
        <v/>
      </c>
      <c r="R129" s="190"/>
      <c r="S129" s="191"/>
      <c r="T129" s="200"/>
    </row>
    <row r="130" spans="1:252" s="8" customFormat="1" ht="13.5" customHeight="1" x14ac:dyDescent="0.25">
      <c r="A130" s="214" t="s">
        <v>300</v>
      </c>
      <c r="B130" s="7" t="s">
        <v>656</v>
      </c>
      <c r="C130" s="190"/>
      <c r="D130" s="60"/>
      <c r="E130" s="60"/>
      <c r="F130" s="60"/>
      <c r="G130" s="200" t="str">
        <f t="shared" si="5"/>
        <v/>
      </c>
      <c r="H130" s="192"/>
      <c r="I130" s="60"/>
      <c r="J130" s="60"/>
      <c r="K130" s="60"/>
      <c r="L130" s="200" t="str">
        <f t="shared" si="6"/>
        <v/>
      </c>
      <c r="M130" s="192"/>
      <c r="N130" s="60"/>
      <c r="O130" s="60"/>
      <c r="P130" s="60"/>
      <c r="Q130" s="200" t="str">
        <f t="shared" si="7"/>
        <v/>
      </c>
      <c r="R130" s="192"/>
      <c r="S130" s="60"/>
      <c r="T130" s="205"/>
    </row>
    <row r="131" spans="1:252" s="8" customFormat="1" ht="13.5" customHeight="1" x14ac:dyDescent="0.25">
      <c r="A131" s="214" t="s">
        <v>300</v>
      </c>
      <c r="B131" s="7" t="s">
        <v>658</v>
      </c>
      <c r="C131" s="190"/>
      <c r="D131" s="60"/>
      <c r="E131" s="60"/>
      <c r="F131" s="60"/>
      <c r="G131" s="200" t="str">
        <f t="shared" si="5"/>
        <v/>
      </c>
      <c r="H131" s="192"/>
      <c r="I131" s="60"/>
      <c r="J131" s="60"/>
      <c r="K131" s="60"/>
      <c r="L131" s="200" t="str">
        <f t="shared" si="6"/>
        <v/>
      </c>
      <c r="M131" s="192"/>
      <c r="N131" s="60"/>
      <c r="O131" s="60"/>
      <c r="P131" s="60"/>
      <c r="Q131" s="200" t="str">
        <f t="shared" si="7"/>
        <v/>
      </c>
      <c r="R131" s="192"/>
      <c r="S131" s="60"/>
      <c r="T131" s="205"/>
    </row>
    <row r="132" spans="1:252" s="8" customFormat="1" ht="13.5" customHeight="1" x14ac:dyDescent="0.25">
      <c r="A132" s="214" t="s">
        <v>300</v>
      </c>
      <c r="B132" s="7" t="s">
        <v>660</v>
      </c>
      <c r="C132" s="190"/>
      <c r="D132" s="60"/>
      <c r="E132" s="60"/>
      <c r="F132" s="60"/>
      <c r="G132" s="200" t="str">
        <f t="shared" si="5"/>
        <v/>
      </c>
      <c r="H132" s="192"/>
      <c r="I132" s="60"/>
      <c r="J132" s="60"/>
      <c r="K132" s="60"/>
      <c r="L132" s="200" t="str">
        <f t="shared" si="6"/>
        <v/>
      </c>
      <c r="M132" s="192"/>
      <c r="N132" s="60"/>
      <c r="O132" s="60"/>
      <c r="P132" s="60"/>
      <c r="Q132" s="200" t="str">
        <f t="shared" si="7"/>
        <v/>
      </c>
      <c r="R132" s="192"/>
      <c r="S132" s="60"/>
      <c r="T132" s="205"/>
    </row>
    <row r="133" spans="1:252" s="8" customFormat="1" ht="13.5" customHeight="1" x14ac:dyDescent="0.25">
      <c r="A133" s="214" t="s">
        <v>300</v>
      </c>
      <c r="B133" s="7" t="s">
        <v>663</v>
      </c>
      <c r="C133" s="190"/>
      <c r="D133" s="60"/>
      <c r="E133" s="60"/>
      <c r="F133" s="60"/>
      <c r="G133" s="200" t="str">
        <f t="shared" ref="G133:G191" si="9">IF(F133=1,"New","")</f>
        <v/>
      </c>
      <c r="H133" s="192"/>
      <c r="I133" s="60"/>
      <c r="J133" s="60"/>
      <c r="K133" s="60"/>
      <c r="L133" s="200" t="str">
        <f t="shared" si="6"/>
        <v/>
      </c>
      <c r="M133" s="192"/>
      <c r="N133" s="60"/>
      <c r="O133" s="60"/>
      <c r="P133" s="60"/>
      <c r="Q133" s="200" t="str">
        <f t="shared" si="7"/>
        <v/>
      </c>
      <c r="R133" s="192"/>
      <c r="S133" s="60"/>
      <c r="T133" s="205"/>
    </row>
    <row r="134" spans="1:252" s="8" customFormat="1" ht="13.5" customHeight="1" x14ac:dyDescent="0.25">
      <c r="A134" s="214" t="s">
        <v>300</v>
      </c>
      <c r="B134" s="7" t="s">
        <v>148</v>
      </c>
      <c r="C134" s="190"/>
      <c r="D134" s="60"/>
      <c r="E134" s="60"/>
      <c r="F134" s="60"/>
      <c r="G134" s="200" t="str">
        <f t="shared" si="9"/>
        <v/>
      </c>
      <c r="H134" s="192"/>
      <c r="I134" s="60"/>
      <c r="J134" s="60"/>
      <c r="K134" s="60"/>
      <c r="L134" s="200" t="str">
        <f t="shared" ref="L134:L192" si="10">IF(K134=1,"New","")</f>
        <v/>
      </c>
      <c r="M134" s="192" t="s">
        <v>310</v>
      </c>
      <c r="N134" s="60">
        <v>1</v>
      </c>
      <c r="O134" s="60"/>
      <c r="P134" s="60"/>
      <c r="Q134" s="200" t="str">
        <f t="shared" ref="Q134:Q192" si="11">IF(P134=1,"New","")</f>
        <v/>
      </c>
      <c r="R134" s="192"/>
      <c r="S134" s="60"/>
      <c r="T134" s="205"/>
    </row>
    <row r="135" spans="1:252" s="8" customFormat="1" ht="13.5" customHeight="1" x14ac:dyDescent="0.25">
      <c r="A135" s="214" t="s">
        <v>300</v>
      </c>
      <c r="B135" s="7" t="s">
        <v>239</v>
      </c>
      <c r="C135" s="190"/>
      <c r="D135" s="191"/>
      <c r="E135" s="191"/>
      <c r="F135" s="191"/>
      <c r="G135" s="200" t="str">
        <f t="shared" si="9"/>
        <v/>
      </c>
      <c r="H135" s="190"/>
      <c r="I135" s="191"/>
      <c r="J135" s="191"/>
      <c r="K135" s="191"/>
      <c r="L135" s="200" t="str">
        <f t="shared" si="10"/>
        <v/>
      </c>
      <c r="M135" s="190" t="s">
        <v>310</v>
      </c>
      <c r="N135" s="191">
        <v>1</v>
      </c>
      <c r="O135" s="191"/>
      <c r="P135" s="191"/>
      <c r="Q135" s="200" t="str">
        <f t="shared" si="11"/>
        <v/>
      </c>
      <c r="R135" s="190"/>
      <c r="S135" s="191"/>
      <c r="T135" s="200"/>
    </row>
    <row r="136" spans="1:252" s="8" customFormat="1" ht="13.5" customHeight="1" x14ac:dyDescent="0.25">
      <c r="A136" s="214" t="s">
        <v>300</v>
      </c>
      <c r="B136" s="7" t="s">
        <v>666</v>
      </c>
      <c r="C136" s="190"/>
      <c r="D136" s="60"/>
      <c r="E136" s="60"/>
      <c r="F136" s="60"/>
      <c r="G136" s="200" t="str">
        <f t="shared" si="9"/>
        <v/>
      </c>
      <c r="H136" s="192"/>
      <c r="I136" s="60"/>
      <c r="J136" s="60"/>
      <c r="K136" s="60"/>
      <c r="L136" s="200" t="str">
        <f t="shared" si="10"/>
        <v/>
      </c>
      <c r="M136" s="192"/>
      <c r="N136" s="60"/>
      <c r="O136" s="60"/>
      <c r="P136" s="60"/>
      <c r="Q136" s="200" t="str">
        <f t="shared" si="11"/>
        <v/>
      </c>
      <c r="R136" s="192"/>
      <c r="S136" s="60"/>
      <c r="T136" s="205"/>
    </row>
    <row r="137" spans="1:252" s="8" customFormat="1" ht="13.5" customHeight="1" x14ac:dyDescent="0.25">
      <c r="A137" s="214" t="s">
        <v>300</v>
      </c>
      <c r="B137" s="7" t="s">
        <v>39</v>
      </c>
      <c r="C137" s="190"/>
      <c r="D137" s="191"/>
      <c r="E137" s="191"/>
      <c r="F137" s="191"/>
      <c r="G137" s="200" t="str">
        <f t="shared" si="9"/>
        <v/>
      </c>
      <c r="H137" s="190"/>
      <c r="I137" s="191"/>
      <c r="J137" s="191"/>
      <c r="K137" s="191"/>
      <c r="L137" s="200" t="str">
        <f t="shared" si="10"/>
        <v/>
      </c>
      <c r="M137" s="190"/>
      <c r="N137" s="191"/>
      <c r="O137" s="191"/>
      <c r="P137" s="191"/>
      <c r="Q137" s="200" t="str">
        <f t="shared" si="11"/>
        <v/>
      </c>
      <c r="R137" s="190"/>
      <c r="S137" s="191"/>
      <c r="T137" s="200"/>
    </row>
    <row r="138" spans="1:252" s="8" customFormat="1" ht="13.5" customHeight="1" x14ac:dyDescent="0.25">
      <c r="A138" s="214" t="s">
        <v>300</v>
      </c>
      <c r="B138" s="7" t="s">
        <v>667</v>
      </c>
      <c r="C138" s="190"/>
      <c r="D138" s="60"/>
      <c r="E138" s="60"/>
      <c r="F138" s="60"/>
      <c r="G138" s="200" t="str">
        <f t="shared" si="9"/>
        <v/>
      </c>
      <c r="H138" s="192"/>
      <c r="I138" s="60"/>
      <c r="J138" s="60"/>
      <c r="K138" s="60"/>
      <c r="L138" s="200" t="str">
        <f t="shared" si="10"/>
        <v/>
      </c>
      <c r="M138" s="192"/>
      <c r="N138" s="60"/>
      <c r="O138" s="60"/>
      <c r="P138" s="60"/>
      <c r="Q138" s="200" t="str">
        <f t="shared" si="11"/>
        <v/>
      </c>
      <c r="R138" s="192"/>
      <c r="S138" s="60"/>
      <c r="T138" s="205"/>
    </row>
    <row r="139" spans="1:252" s="8" customFormat="1" ht="13.5" customHeight="1" x14ac:dyDescent="0.25">
      <c r="A139" s="214" t="s">
        <v>300</v>
      </c>
      <c r="B139" s="7" t="s">
        <v>670</v>
      </c>
      <c r="C139" s="190" t="s">
        <v>310</v>
      </c>
      <c r="D139" s="60">
        <v>1</v>
      </c>
      <c r="E139" s="60"/>
      <c r="F139" s="60"/>
      <c r="G139" s="200" t="str">
        <f t="shared" si="9"/>
        <v/>
      </c>
      <c r="H139" s="192"/>
      <c r="I139" s="60"/>
      <c r="J139" s="60"/>
      <c r="K139" s="60"/>
      <c r="L139" s="200" t="str">
        <f t="shared" si="10"/>
        <v/>
      </c>
      <c r="M139" s="192"/>
      <c r="N139" s="60"/>
      <c r="O139" s="60"/>
      <c r="P139" s="60"/>
      <c r="Q139" s="200" t="str">
        <f t="shared" si="11"/>
        <v/>
      </c>
      <c r="R139" s="192"/>
      <c r="S139" s="60"/>
      <c r="T139" s="205"/>
    </row>
    <row r="140" spans="1:252" s="8" customFormat="1" ht="13.5" customHeight="1" x14ac:dyDescent="0.25">
      <c r="A140" s="214" t="s">
        <v>300</v>
      </c>
      <c r="B140" s="7" t="s">
        <v>673</v>
      </c>
      <c r="C140" s="190"/>
      <c r="D140" s="60"/>
      <c r="E140" s="60"/>
      <c r="F140" s="60"/>
      <c r="G140" s="200" t="str">
        <f t="shared" si="9"/>
        <v/>
      </c>
      <c r="H140" s="192"/>
      <c r="I140" s="60"/>
      <c r="J140" s="60"/>
      <c r="K140" s="60"/>
      <c r="L140" s="200" t="str">
        <f t="shared" si="10"/>
        <v/>
      </c>
      <c r="M140" s="192"/>
      <c r="N140" s="60"/>
      <c r="O140" s="60"/>
      <c r="P140" s="60"/>
      <c r="Q140" s="200" t="str">
        <f t="shared" si="11"/>
        <v/>
      </c>
      <c r="R140" s="192"/>
      <c r="S140" s="60"/>
      <c r="T140" s="205"/>
    </row>
    <row r="141" spans="1:252" s="8" customFormat="1" ht="13.5" customHeight="1" x14ac:dyDescent="0.25">
      <c r="A141" s="214" t="s">
        <v>300</v>
      </c>
      <c r="B141" s="7" t="s">
        <v>676</v>
      </c>
      <c r="C141" s="192"/>
      <c r="D141" s="60"/>
      <c r="E141" s="60"/>
      <c r="F141" s="60"/>
      <c r="G141" s="200" t="str">
        <f t="shared" si="9"/>
        <v/>
      </c>
      <c r="H141" s="192"/>
      <c r="I141" s="60"/>
      <c r="J141" s="60"/>
      <c r="K141" s="60"/>
      <c r="L141" s="200" t="str">
        <f t="shared" si="10"/>
        <v/>
      </c>
      <c r="M141" s="192"/>
      <c r="N141" s="60"/>
      <c r="O141" s="60"/>
      <c r="P141" s="60"/>
      <c r="Q141" s="200" t="str">
        <f t="shared" si="11"/>
        <v/>
      </c>
      <c r="R141" s="192"/>
      <c r="S141" s="60"/>
      <c r="T141" s="205"/>
    </row>
    <row r="142" spans="1:252" s="8" customFormat="1" ht="13.5" customHeight="1" x14ac:dyDescent="0.25">
      <c r="A142" s="214" t="s">
        <v>300</v>
      </c>
      <c r="B142" s="7" t="s">
        <v>679</v>
      </c>
      <c r="C142" s="192"/>
      <c r="D142" s="60"/>
      <c r="E142" s="60"/>
      <c r="F142" s="60"/>
      <c r="G142" s="200" t="str">
        <f t="shared" si="9"/>
        <v/>
      </c>
      <c r="H142" s="192"/>
      <c r="I142" s="60"/>
      <c r="J142" s="60"/>
      <c r="K142" s="60"/>
      <c r="L142" s="200" t="str">
        <f t="shared" si="10"/>
        <v/>
      </c>
      <c r="M142" s="192"/>
      <c r="N142" s="60"/>
      <c r="O142" s="60"/>
      <c r="P142" s="60"/>
      <c r="Q142" s="200" t="str">
        <f t="shared" si="11"/>
        <v/>
      </c>
      <c r="R142" s="192"/>
      <c r="S142" s="60"/>
      <c r="T142" s="205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7"/>
      <c r="CR142" s="157"/>
      <c r="CS142" s="157"/>
      <c r="CT142" s="157"/>
      <c r="CU142" s="157"/>
      <c r="CV142" s="157"/>
      <c r="CW142" s="157"/>
      <c r="CX142" s="157"/>
      <c r="CY142" s="157"/>
      <c r="CZ142" s="157"/>
      <c r="DA142" s="157"/>
      <c r="DB142" s="157"/>
      <c r="DC142" s="157"/>
      <c r="DD142" s="157"/>
      <c r="DE142" s="157"/>
      <c r="DF142" s="157"/>
      <c r="DG142" s="157"/>
      <c r="DH142" s="157"/>
      <c r="DI142" s="157"/>
      <c r="DJ142" s="157"/>
      <c r="DK142" s="157"/>
      <c r="DL142" s="157"/>
      <c r="DM142" s="157"/>
      <c r="DN142" s="157"/>
      <c r="DO142" s="157"/>
      <c r="DP142" s="157"/>
      <c r="DQ142" s="157"/>
      <c r="DR142" s="157"/>
      <c r="DS142" s="157"/>
      <c r="DT142" s="157"/>
      <c r="DU142" s="157"/>
      <c r="DV142" s="157"/>
      <c r="DW142" s="157"/>
      <c r="DX142" s="157"/>
      <c r="DY142" s="157"/>
      <c r="DZ142" s="157"/>
      <c r="EA142" s="157"/>
      <c r="EB142" s="157"/>
      <c r="EC142" s="157"/>
      <c r="ED142" s="157"/>
      <c r="EE142" s="157"/>
      <c r="EF142" s="157"/>
      <c r="EG142" s="157"/>
      <c r="EH142" s="157"/>
      <c r="EI142" s="157"/>
      <c r="EJ142" s="157"/>
      <c r="EK142" s="157"/>
      <c r="EL142" s="157"/>
      <c r="EM142" s="157"/>
      <c r="EN142" s="157"/>
      <c r="EO142" s="157"/>
      <c r="EP142" s="157"/>
      <c r="EQ142" s="157"/>
      <c r="ER142" s="157"/>
      <c r="ES142" s="157"/>
      <c r="ET142" s="157"/>
      <c r="EU142" s="157"/>
      <c r="EV142" s="157"/>
      <c r="EW142" s="157"/>
      <c r="EX142" s="157"/>
      <c r="EY142" s="157"/>
      <c r="EZ142" s="157"/>
      <c r="FA142" s="157"/>
      <c r="FB142" s="157"/>
      <c r="FC142" s="157"/>
      <c r="FD142" s="157"/>
      <c r="FE142" s="157"/>
      <c r="FF142" s="157"/>
      <c r="FG142" s="157"/>
      <c r="FH142" s="157"/>
      <c r="FI142" s="157"/>
      <c r="FJ142" s="157"/>
      <c r="FK142" s="157"/>
      <c r="FL142" s="157"/>
      <c r="FM142" s="157"/>
      <c r="FN142" s="157"/>
      <c r="FO142" s="157"/>
      <c r="FP142" s="157"/>
      <c r="FQ142" s="157"/>
      <c r="FR142" s="157"/>
      <c r="FS142" s="157"/>
      <c r="FT142" s="157"/>
      <c r="FU142" s="157"/>
      <c r="FV142" s="157"/>
      <c r="FW142" s="157"/>
      <c r="FX142" s="157"/>
      <c r="FY142" s="157"/>
      <c r="FZ142" s="157"/>
      <c r="GA142" s="157"/>
      <c r="GB142" s="157"/>
      <c r="GC142" s="157"/>
      <c r="GD142" s="157"/>
      <c r="GE142" s="157"/>
      <c r="GF142" s="157"/>
      <c r="GG142" s="157"/>
      <c r="GH142" s="157"/>
      <c r="GI142" s="157"/>
      <c r="GJ142" s="157"/>
      <c r="GK142" s="157"/>
      <c r="GL142" s="157"/>
      <c r="GM142" s="157"/>
      <c r="GN142" s="157"/>
      <c r="GO142" s="157"/>
      <c r="GP142" s="157"/>
      <c r="GQ142" s="157"/>
      <c r="GR142" s="157"/>
      <c r="GS142" s="157"/>
      <c r="GT142" s="157"/>
      <c r="GU142" s="157"/>
      <c r="GV142" s="157"/>
      <c r="GW142" s="157"/>
      <c r="GX142" s="157"/>
      <c r="GY142" s="157"/>
      <c r="GZ142" s="157"/>
      <c r="HA142" s="157"/>
      <c r="HB142" s="157"/>
      <c r="HC142" s="157"/>
      <c r="HD142" s="157"/>
      <c r="HE142" s="157"/>
      <c r="HF142" s="157"/>
      <c r="HG142" s="157"/>
      <c r="HH142" s="157"/>
      <c r="HI142" s="157"/>
      <c r="HJ142" s="157"/>
      <c r="HK142" s="157"/>
      <c r="HL142" s="157"/>
      <c r="HM142" s="157"/>
      <c r="HN142" s="157"/>
      <c r="HO142" s="157"/>
      <c r="HP142" s="157"/>
      <c r="HQ142" s="157"/>
      <c r="HR142" s="157"/>
      <c r="HS142" s="157"/>
      <c r="HT142" s="157"/>
      <c r="HU142" s="157"/>
      <c r="HV142" s="157"/>
      <c r="HW142" s="157"/>
      <c r="HX142" s="157"/>
      <c r="HY142" s="157"/>
      <c r="HZ142" s="157"/>
      <c r="IA142" s="157"/>
      <c r="IB142" s="157"/>
      <c r="IC142" s="157"/>
      <c r="ID142" s="157"/>
      <c r="IE142" s="157"/>
      <c r="IF142" s="157"/>
      <c r="IG142" s="157"/>
      <c r="IH142" s="157"/>
      <c r="II142" s="157"/>
      <c r="IJ142" s="157"/>
      <c r="IK142" s="157"/>
      <c r="IL142" s="157"/>
      <c r="IM142" s="157"/>
      <c r="IN142" s="157"/>
      <c r="IO142" s="157"/>
      <c r="IP142" s="157"/>
      <c r="IQ142" s="157"/>
      <c r="IR142" s="157"/>
    </row>
    <row r="143" spans="1:252" s="8" customFormat="1" ht="13.5" customHeight="1" x14ac:dyDescent="0.25">
      <c r="A143" s="214" t="s">
        <v>300</v>
      </c>
      <c r="B143" s="7" t="s">
        <v>682</v>
      </c>
      <c r="C143" s="192"/>
      <c r="D143" s="60"/>
      <c r="E143" s="60"/>
      <c r="F143" s="60"/>
      <c r="G143" s="200" t="str">
        <f t="shared" si="9"/>
        <v/>
      </c>
      <c r="H143" s="192"/>
      <c r="I143" s="60"/>
      <c r="J143" s="60"/>
      <c r="K143" s="60"/>
      <c r="L143" s="200" t="str">
        <f t="shared" si="10"/>
        <v/>
      </c>
      <c r="M143" s="192"/>
      <c r="N143" s="60"/>
      <c r="O143" s="60"/>
      <c r="P143" s="60"/>
      <c r="Q143" s="200" t="str">
        <f t="shared" si="11"/>
        <v/>
      </c>
      <c r="R143" s="192"/>
      <c r="S143" s="60"/>
      <c r="T143" s="205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BY143" s="157"/>
      <c r="BZ143" s="157"/>
      <c r="CA143" s="157"/>
      <c r="CB143" s="157"/>
      <c r="CC143" s="157"/>
      <c r="CD143" s="157"/>
      <c r="CE143" s="157"/>
      <c r="CF143" s="157"/>
      <c r="CG143" s="157"/>
      <c r="CH143" s="157"/>
      <c r="CI143" s="157"/>
      <c r="CJ143" s="157"/>
      <c r="CK143" s="157"/>
      <c r="CL143" s="157"/>
      <c r="CM143" s="157"/>
      <c r="CN143" s="157"/>
      <c r="CO143" s="157"/>
      <c r="CP143" s="157"/>
      <c r="CQ143" s="157"/>
      <c r="CR143" s="157"/>
      <c r="CS143" s="157"/>
      <c r="CT143" s="157"/>
      <c r="CU143" s="157"/>
      <c r="CV143" s="157"/>
      <c r="CW143" s="157"/>
      <c r="CX143" s="157"/>
      <c r="CY143" s="157"/>
      <c r="CZ143" s="157"/>
      <c r="DA143" s="157"/>
      <c r="DB143" s="157"/>
      <c r="DC143" s="157"/>
      <c r="DD143" s="157"/>
      <c r="DE143" s="157"/>
      <c r="DF143" s="157"/>
      <c r="DG143" s="157"/>
      <c r="DH143" s="157"/>
      <c r="DI143" s="157"/>
      <c r="DJ143" s="157"/>
      <c r="DK143" s="157"/>
      <c r="DL143" s="157"/>
      <c r="DM143" s="157"/>
      <c r="DN143" s="157"/>
      <c r="DO143" s="157"/>
      <c r="DP143" s="157"/>
      <c r="DQ143" s="157"/>
      <c r="DR143" s="157"/>
      <c r="DS143" s="157"/>
      <c r="DT143" s="157"/>
      <c r="DU143" s="157"/>
      <c r="DV143" s="157"/>
      <c r="DW143" s="157"/>
      <c r="DX143" s="157"/>
      <c r="DY143" s="157"/>
      <c r="DZ143" s="157"/>
      <c r="EA143" s="157"/>
      <c r="EB143" s="157"/>
      <c r="EC143" s="157"/>
      <c r="ED143" s="157"/>
      <c r="EE143" s="157"/>
      <c r="EF143" s="157"/>
      <c r="EG143" s="157"/>
      <c r="EH143" s="157"/>
      <c r="EI143" s="157"/>
      <c r="EJ143" s="157"/>
      <c r="EK143" s="157"/>
      <c r="EL143" s="157"/>
      <c r="EM143" s="157"/>
      <c r="EN143" s="157"/>
      <c r="EO143" s="157"/>
      <c r="EP143" s="157"/>
      <c r="EQ143" s="157"/>
      <c r="ER143" s="157"/>
      <c r="ES143" s="157"/>
      <c r="ET143" s="157"/>
      <c r="EU143" s="157"/>
      <c r="EV143" s="157"/>
      <c r="EW143" s="157"/>
      <c r="EX143" s="157"/>
      <c r="EY143" s="157"/>
      <c r="EZ143" s="157"/>
      <c r="FA143" s="157"/>
      <c r="FB143" s="157"/>
      <c r="FC143" s="157"/>
      <c r="FD143" s="157"/>
      <c r="FE143" s="157"/>
      <c r="FF143" s="157"/>
      <c r="FG143" s="157"/>
      <c r="FH143" s="157"/>
      <c r="FI143" s="157"/>
      <c r="FJ143" s="157"/>
      <c r="FK143" s="157"/>
      <c r="FL143" s="157"/>
      <c r="FM143" s="157"/>
      <c r="FN143" s="157"/>
      <c r="FO143" s="157"/>
      <c r="FP143" s="157"/>
      <c r="FQ143" s="157"/>
      <c r="FR143" s="157"/>
      <c r="FS143" s="157"/>
      <c r="FT143" s="157"/>
      <c r="FU143" s="157"/>
      <c r="FV143" s="157"/>
      <c r="FW143" s="157"/>
      <c r="FX143" s="157"/>
      <c r="FY143" s="157"/>
      <c r="FZ143" s="157"/>
      <c r="GA143" s="157"/>
      <c r="GB143" s="157"/>
      <c r="GC143" s="157"/>
      <c r="GD143" s="157"/>
      <c r="GE143" s="157"/>
      <c r="GF143" s="157"/>
      <c r="GG143" s="157"/>
      <c r="GH143" s="157"/>
      <c r="GI143" s="157"/>
      <c r="GJ143" s="157"/>
      <c r="GK143" s="157"/>
      <c r="GL143" s="157"/>
      <c r="GM143" s="157"/>
      <c r="GN143" s="157"/>
      <c r="GO143" s="157"/>
      <c r="GP143" s="157"/>
      <c r="GQ143" s="157"/>
      <c r="GR143" s="157"/>
      <c r="GS143" s="157"/>
      <c r="GT143" s="157"/>
      <c r="GU143" s="157"/>
      <c r="GV143" s="157"/>
      <c r="GW143" s="157"/>
      <c r="GX143" s="157"/>
      <c r="GY143" s="157"/>
      <c r="GZ143" s="157"/>
      <c r="HA143" s="157"/>
      <c r="HB143" s="157"/>
      <c r="HC143" s="157"/>
      <c r="HD143" s="157"/>
      <c r="HE143" s="157"/>
      <c r="HF143" s="157"/>
      <c r="HG143" s="157"/>
      <c r="HH143" s="157"/>
      <c r="HI143" s="157"/>
      <c r="HJ143" s="157"/>
      <c r="HK143" s="157"/>
      <c r="HL143" s="157"/>
      <c r="HM143" s="157"/>
      <c r="HN143" s="157"/>
      <c r="HO143" s="157"/>
      <c r="HP143" s="157"/>
      <c r="HQ143" s="157"/>
      <c r="HR143" s="157"/>
      <c r="HS143" s="157"/>
      <c r="HT143" s="157"/>
      <c r="HU143" s="157"/>
      <c r="HV143" s="157"/>
      <c r="HW143" s="157"/>
      <c r="HX143" s="157"/>
      <c r="HY143" s="157"/>
      <c r="HZ143" s="157"/>
      <c r="IA143" s="157"/>
      <c r="IB143" s="157"/>
      <c r="IC143" s="157"/>
      <c r="ID143" s="157"/>
      <c r="IE143" s="157"/>
      <c r="IF143" s="157"/>
      <c r="IG143" s="157"/>
      <c r="IH143" s="157"/>
      <c r="II143" s="157"/>
      <c r="IJ143" s="157"/>
      <c r="IK143" s="157"/>
      <c r="IL143" s="157"/>
      <c r="IM143" s="157"/>
      <c r="IN143" s="157"/>
      <c r="IO143" s="157"/>
      <c r="IP143" s="157"/>
      <c r="IQ143" s="157"/>
      <c r="IR143" s="157"/>
    </row>
    <row r="144" spans="1:252" s="8" customFormat="1" ht="13.5" customHeight="1" x14ac:dyDescent="0.25">
      <c r="A144" s="214" t="s">
        <v>300</v>
      </c>
      <c r="B144" s="7" t="s">
        <v>242</v>
      </c>
      <c r="C144" s="190"/>
      <c r="D144" s="191"/>
      <c r="E144" s="191"/>
      <c r="F144" s="191"/>
      <c r="G144" s="200" t="str">
        <f t="shared" si="9"/>
        <v/>
      </c>
      <c r="H144" s="190"/>
      <c r="I144" s="191"/>
      <c r="J144" s="191"/>
      <c r="K144" s="191"/>
      <c r="L144" s="200" t="str">
        <f t="shared" si="10"/>
        <v/>
      </c>
      <c r="M144" s="190"/>
      <c r="N144" s="191"/>
      <c r="O144" s="191"/>
      <c r="P144" s="191"/>
      <c r="Q144" s="200" t="str">
        <f t="shared" si="11"/>
        <v/>
      </c>
      <c r="R144" s="190"/>
      <c r="S144" s="191"/>
      <c r="T144" s="200"/>
      <c r="U144" s="157"/>
      <c r="V144" s="157"/>
      <c r="W144" s="157"/>
      <c r="X144" s="157"/>
      <c r="Y144" s="157"/>
      <c r="Z144" s="157"/>
      <c r="AA144" s="157"/>
      <c r="AB144" s="157"/>
      <c r="AC144" s="157"/>
      <c r="AD144" s="157"/>
      <c r="AE144" s="157"/>
      <c r="AF144" s="157"/>
      <c r="AG144" s="157"/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  <c r="BZ144" s="157"/>
      <c r="CA144" s="157"/>
      <c r="CB144" s="157"/>
      <c r="CC144" s="157"/>
      <c r="CD144" s="157"/>
      <c r="CE144" s="157"/>
      <c r="CF144" s="157"/>
      <c r="CG144" s="157"/>
      <c r="CH144" s="157"/>
      <c r="CI144" s="157"/>
      <c r="CJ144" s="157"/>
      <c r="CK144" s="157"/>
      <c r="CL144" s="157"/>
      <c r="CM144" s="157"/>
      <c r="CN144" s="157"/>
      <c r="CO144" s="157"/>
      <c r="CP144" s="157"/>
      <c r="CQ144" s="157"/>
      <c r="CR144" s="157"/>
      <c r="CS144" s="157"/>
      <c r="CT144" s="157"/>
      <c r="CU144" s="157"/>
      <c r="CV144" s="157"/>
      <c r="CW144" s="157"/>
      <c r="CX144" s="157"/>
      <c r="CY144" s="157"/>
      <c r="CZ144" s="157"/>
      <c r="DA144" s="157"/>
      <c r="DB144" s="157"/>
      <c r="DC144" s="157"/>
      <c r="DD144" s="157"/>
      <c r="DE144" s="157"/>
      <c r="DF144" s="157"/>
      <c r="DG144" s="157"/>
      <c r="DH144" s="157"/>
      <c r="DI144" s="157"/>
      <c r="DJ144" s="157"/>
      <c r="DK144" s="157"/>
      <c r="DL144" s="157"/>
      <c r="DM144" s="157"/>
      <c r="DN144" s="157"/>
      <c r="DO144" s="157"/>
      <c r="DP144" s="157"/>
      <c r="DQ144" s="157"/>
      <c r="DR144" s="157"/>
      <c r="DS144" s="157"/>
      <c r="DT144" s="157"/>
      <c r="DU144" s="157"/>
      <c r="DV144" s="157"/>
      <c r="DW144" s="157"/>
      <c r="DX144" s="157"/>
      <c r="DY144" s="157"/>
      <c r="DZ144" s="157"/>
      <c r="EA144" s="157"/>
      <c r="EB144" s="157"/>
      <c r="EC144" s="157"/>
      <c r="ED144" s="157"/>
      <c r="EE144" s="157"/>
      <c r="EF144" s="157"/>
      <c r="EG144" s="157"/>
      <c r="EH144" s="157"/>
      <c r="EI144" s="157"/>
      <c r="EJ144" s="157"/>
      <c r="EK144" s="157"/>
      <c r="EL144" s="157"/>
      <c r="EM144" s="157"/>
      <c r="EN144" s="157"/>
      <c r="EO144" s="157"/>
      <c r="EP144" s="157"/>
      <c r="EQ144" s="157"/>
      <c r="ER144" s="157"/>
      <c r="ES144" s="157"/>
      <c r="ET144" s="157"/>
      <c r="EU144" s="157"/>
      <c r="EV144" s="157"/>
      <c r="EW144" s="157"/>
      <c r="EX144" s="157"/>
      <c r="EY144" s="157"/>
      <c r="EZ144" s="157"/>
      <c r="FA144" s="157"/>
      <c r="FB144" s="157"/>
      <c r="FC144" s="157"/>
      <c r="FD144" s="157"/>
      <c r="FE144" s="157"/>
      <c r="FF144" s="157"/>
      <c r="FG144" s="157"/>
      <c r="FH144" s="157"/>
      <c r="FI144" s="157"/>
      <c r="FJ144" s="157"/>
      <c r="FK144" s="157"/>
      <c r="FL144" s="157"/>
      <c r="FM144" s="157"/>
      <c r="FN144" s="157"/>
      <c r="FO144" s="157"/>
      <c r="FP144" s="157"/>
      <c r="FQ144" s="157"/>
      <c r="FR144" s="157"/>
      <c r="FS144" s="157"/>
      <c r="FT144" s="157"/>
      <c r="FU144" s="157"/>
      <c r="FV144" s="157"/>
      <c r="FW144" s="157"/>
      <c r="FX144" s="157"/>
      <c r="FY144" s="157"/>
      <c r="FZ144" s="157"/>
      <c r="GA144" s="157"/>
      <c r="GB144" s="157"/>
      <c r="GC144" s="157"/>
      <c r="GD144" s="157"/>
      <c r="GE144" s="157"/>
      <c r="GF144" s="157"/>
      <c r="GG144" s="157"/>
      <c r="GH144" s="157"/>
      <c r="GI144" s="157"/>
      <c r="GJ144" s="157"/>
      <c r="GK144" s="157"/>
      <c r="GL144" s="157"/>
      <c r="GM144" s="157"/>
      <c r="GN144" s="157"/>
      <c r="GO144" s="157"/>
      <c r="GP144" s="157"/>
      <c r="GQ144" s="157"/>
      <c r="GR144" s="157"/>
      <c r="GS144" s="157"/>
      <c r="GT144" s="157"/>
      <c r="GU144" s="157"/>
      <c r="GV144" s="157"/>
      <c r="GW144" s="157"/>
      <c r="GX144" s="157"/>
      <c r="GY144" s="157"/>
      <c r="GZ144" s="157"/>
      <c r="HA144" s="157"/>
      <c r="HB144" s="157"/>
      <c r="HC144" s="157"/>
      <c r="HD144" s="157"/>
      <c r="HE144" s="157"/>
      <c r="HF144" s="157"/>
      <c r="HG144" s="157"/>
      <c r="HH144" s="157"/>
      <c r="HI144" s="157"/>
      <c r="HJ144" s="157"/>
      <c r="HK144" s="157"/>
      <c r="HL144" s="157"/>
      <c r="HM144" s="157"/>
      <c r="HN144" s="157"/>
      <c r="HO144" s="157"/>
      <c r="HP144" s="157"/>
      <c r="HQ144" s="157"/>
      <c r="HR144" s="157"/>
      <c r="HS144" s="157"/>
      <c r="HT144" s="157"/>
      <c r="HU144" s="157"/>
      <c r="HV144" s="157"/>
      <c r="HW144" s="157"/>
      <c r="HX144" s="157"/>
      <c r="HY144" s="157"/>
      <c r="HZ144" s="157"/>
      <c r="IA144" s="157"/>
      <c r="IB144" s="157"/>
      <c r="IC144" s="157"/>
      <c r="ID144" s="157"/>
      <c r="IE144" s="157"/>
      <c r="IF144" s="157"/>
      <c r="IG144" s="157"/>
      <c r="IH144" s="157"/>
      <c r="II144" s="157"/>
      <c r="IJ144" s="157"/>
      <c r="IK144" s="157"/>
      <c r="IL144" s="157"/>
      <c r="IM144" s="157"/>
      <c r="IN144" s="157"/>
      <c r="IO144" s="157"/>
      <c r="IP144" s="157"/>
      <c r="IQ144" s="157"/>
      <c r="IR144" s="157"/>
    </row>
    <row r="145" spans="1:252" s="8" customFormat="1" ht="13.5" customHeight="1" x14ac:dyDescent="0.25">
      <c r="A145" s="216" t="s">
        <v>300</v>
      </c>
      <c r="B145" s="7" t="s">
        <v>685</v>
      </c>
      <c r="C145" s="193"/>
      <c r="D145" s="187"/>
      <c r="E145" s="187"/>
      <c r="F145" s="187"/>
      <c r="G145" s="208" t="str">
        <f t="shared" si="9"/>
        <v/>
      </c>
      <c r="H145" s="193"/>
      <c r="I145" s="187"/>
      <c r="J145" s="187"/>
      <c r="K145" s="187"/>
      <c r="L145" s="208" t="str">
        <f t="shared" si="10"/>
        <v/>
      </c>
      <c r="M145" s="193"/>
      <c r="N145" s="187"/>
      <c r="O145" s="187"/>
      <c r="P145" s="187"/>
      <c r="Q145" s="208" t="str">
        <f t="shared" si="11"/>
        <v/>
      </c>
      <c r="R145" s="193"/>
      <c r="S145" s="187"/>
      <c r="T145" s="209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  <c r="BZ145" s="157"/>
      <c r="CA145" s="157"/>
      <c r="CB145" s="157"/>
      <c r="CC145" s="157"/>
      <c r="CD145" s="157"/>
      <c r="CE145" s="157"/>
      <c r="CF145" s="157"/>
      <c r="CG145" s="157"/>
      <c r="CH145" s="157"/>
      <c r="CI145" s="157"/>
      <c r="CJ145" s="157"/>
      <c r="CK145" s="157"/>
      <c r="CL145" s="157"/>
      <c r="CM145" s="157"/>
      <c r="CN145" s="157"/>
      <c r="CO145" s="157"/>
      <c r="CP145" s="157"/>
      <c r="CQ145" s="157"/>
      <c r="CR145" s="157"/>
      <c r="CS145" s="157"/>
      <c r="CT145" s="157"/>
      <c r="CU145" s="157"/>
      <c r="CV145" s="157"/>
      <c r="CW145" s="157"/>
      <c r="CX145" s="157"/>
      <c r="CY145" s="157"/>
      <c r="CZ145" s="157"/>
      <c r="DA145" s="157"/>
      <c r="DB145" s="157"/>
      <c r="DC145" s="157"/>
      <c r="DD145" s="157"/>
      <c r="DE145" s="157"/>
      <c r="DF145" s="157"/>
      <c r="DG145" s="157"/>
      <c r="DH145" s="157"/>
      <c r="DI145" s="157"/>
      <c r="DJ145" s="157"/>
      <c r="DK145" s="157"/>
      <c r="DL145" s="157"/>
      <c r="DM145" s="157"/>
      <c r="DN145" s="157"/>
      <c r="DO145" s="157"/>
      <c r="DP145" s="157"/>
      <c r="DQ145" s="157"/>
      <c r="DR145" s="157"/>
      <c r="DS145" s="157"/>
      <c r="DT145" s="157"/>
      <c r="DU145" s="157"/>
      <c r="DV145" s="157"/>
      <c r="DW145" s="157"/>
      <c r="DX145" s="157"/>
      <c r="DY145" s="157"/>
      <c r="DZ145" s="157"/>
      <c r="EA145" s="157"/>
      <c r="EB145" s="157"/>
      <c r="EC145" s="157"/>
      <c r="ED145" s="157"/>
      <c r="EE145" s="157"/>
      <c r="EF145" s="157"/>
      <c r="EG145" s="157"/>
      <c r="EH145" s="157"/>
      <c r="EI145" s="157"/>
      <c r="EJ145" s="157"/>
      <c r="EK145" s="157"/>
      <c r="EL145" s="157"/>
      <c r="EM145" s="157"/>
      <c r="EN145" s="157"/>
      <c r="EO145" s="157"/>
      <c r="EP145" s="157"/>
      <c r="EQ145" s="157"/>
      <c r="ER145" s="157"/>
      <c r="ES145" s="157"/>
      <c r="ET145" s="157"/>
      <c r="EU145" s="157"/>
      <c r="EV145" s="157"/>
      <c r="EW145" s="157"/>
      <c r="EX145" s="157"/>
      <c r="EY145" s="157"/>
      <c r="EZ145" s="157"/>
      <c r="FA145" s="157"/>
      <c r="FB145" s="157"/>
      <c r="FC145" s="157"/>
      <c r="FD145" s="157"/>
      <c r="FE145" s="157"/>
      <c r="FF145" s="157"/>
      <c r="FG145" s="157"/>
      <c r="FH145" s="157"/>
      <c r="FI145" s="157"/>
      <c r="FJ145" s="157"/>
      <c r="FK145" s="157"/>
      <c r="FL145" s="157"/>
      <c r="FM145" s="157"/>
      <c r="FN145" s="157"/>
      <c r="FO145" s="157"/>
      <c r="FP145" s="157"/>
      <c r="FQ145" s="157"/>
      <c r="FR145" s="157"/>
      <c r="FS145" s="157"/>
      <c r="FT145" s="157"/>
      <c r="FU145" s="157"/>
      <c r="FV145" s="157"/>
      <c r="FW145" s="157"/>
      <c r="FX145" s="157"/>
      <c r="FY145" s="157"/>
      <c r="FZ145" s="157"/>
      <c r="GA145" s="157"/>
      <c r="GB145" s="157"/>
      <c r="GC145" s="157"/>
      <c r="GD145" s="157"/>
      <c r="GE145" s="157"/>
      <c r="GF145" s="157"/>
      <c r="GG145" s="157"/>
      <c r="GH145" s="157"/>
      <c r="GI145" s="157"/>
      <c r="GJ145" s="157"/>
      <c r="GK145" s="157"/>
      <c r="GL145" s="157"/>
      <c r="GM145" s="157"/>
      <c r="GN145" s="157"/>
      <c r="GO145" s="157"/>
      <c r="GP145" s="157"/>
      <c r="GQ145" s="157"/>
      <c r="GR145" s="157"/>
      <c r="GS145" s="157"/>
      <c r="GT145" s="157"/>
      <c r="GU145" s="157"/>
      <c r="GV145" s="157"/>
      <c r="GW145" s="157"/>
      <c r="GX145" s="157"/>
      <c r="GY145" s="157"/>
      <c r="GZ145" s="157"/>
      <c r="HA145" s="157"/>
      <c r="HB145" s="157"/>
      <c r="HC145" s="157"/>
      <c r="HD145" s="157"/>
      <c r="HE145" s="157"/>
      <c r="HF145" s="157"/>
      <c r="HG145" s="157"/>
      <c r="HH145" s="157"/>
      <c r="HI145" s="157"/>
      <c r="HJ145" s="157"/>
      <c r="HK145" s="157"/>
      <c r="HL145" s="157"/>
      <c r="HM145" s="157"/>
      <c r="HN145" s="157"/>
      <c r="HO145" s="157"/>
      <c r="HP145" s="157"/>
      <c r="HQ145" s="157"/>
      <c r="HR145" s="157"/>
      <c r="HS145" s="157"/>
      <c r="HT145" s="157"/>
      <c r="HU145" s="157"/>
      <c r="HV145" s="157"/>
      <c r="HW145" s="157"/>
      <c r="HX145" s="157"/>
      <c r="HY145" s="157"/>
      <c r="HZ145" s="157"/>
      <c r="IA145" s="157"/>
      <c r="IB145" s="157"/>
      <c r="IC145" s="157"/>
      <c r="ID145" s="157"/>
      <c r="IE145" s="157"/>
      <c r="IF145" s="157"/>
      <c r="IG145" s="157"/>
      <c r="IH145" s="157"/>
      <c r="II145" s="157"/>
      <c r="IJ145" s="157"/>
      <c r="IK145" s="157"/>
      <c r="IL145" s="157"/>
      <c r="IM145" s="157"/>
      <c r="IN145" s="157"/>
      <c r="IO145" s="157"/>
      <c r="IP145" s="157"/>
      <c r="IQ145" s="157"/>
      <c r="IR145" s="157"/>
    </row>
    <row r="146" spans="1:252" s="8" customFormat="1" ht="13.5" customHeight="1" x14ac:dyDescent="0.25">
      <c r="A146" s="213" t="s">
        <v>301</v>
      </c>
      <c r="B146" s="184" t="s">
        <v>58</v>
      </c>
      <c r="C146" s="190" t="s">
        <v>310</v>
      </c>
      <c r="D146" s="191">
        <v>2</v>
      </c>
      <c r="E146" s="191">
        <v>1</v>
      </c>
      <c r="F146" s="191"/>
      <c r="G146" s="200" t="str">
        <f t="shared" si="9"/>
        <v/>
      </c>
      <c r="H146" s="190" t="s">
        <v>310</v>
      </c>
      <c r="I146" s="191">
        <v>2</v>
      </c>
      <c r="J146" s="191">
        <v>1</v>
      </c>
      <c r="K146" s="191"/>
      <c r="L146" s="200" t="str">
        <f t="shared" si="10"/>
        <v/>
      </c>
      <c r="M146" s="190" t="s">
        <v>310</v>
      </c>
      <c r="N146" s="191">
        <v>2</v>
      </c>
      <c r="O146" s="191"/>
      <c r="P146" s="191"/>
      <c r="Q146" s="200" t="str">
        <f t="shared" si="11"/>
        <v/>
      </c>
      <c r="R146" s="190"/>
      <c r="S146" s="191"/>
      <c r="T146" s="20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  <c r="BI146" s="160"/>
      <c r="BJ146" s="160"/>
      <c r="BK146" s="160"/>
      <c r="BL146" s="160"/>
      <c r="BM146" s="160"/>
      <c r="BN146" s="160"/>
      <c r="BO146" s="160"/>
      <c r="BP146" s="160"/>
      <c r="BQ146" s="160"/>
      <c r="BR146" s="160"/>
      <c r="BS146" s="160"/>
      <c r="BT146" s="160"/>
      <c r="BU146" s="160"/>
      <c r="BV146" s="160"/>
      <c r="BW146" s="160"/>
      <c r="BX146" s="160"/>
      <c r="BY146" s="160"/>
      <c r="BZ146" s="160"/>
      <c r="CA146" s="160"/>
      <c r="CB146" s="160"/>
      <c r="CC146" s="160"/>
      <c r="CD146" s="160"/>
      <c r="CE146" s="160"/>
      <c r="CF146" s="160"/>
      <c r="CG146" s="160"/>
      <c r="CH146" s="160"/>
      <c r="CI146" s="160"/>
      <c r="CJ146" s="160"/>
      <c r="CK146" s="160"/>
      <c r="CL146" s="160"/>
      <c r="CM146" s="160"/>
      <c r="CN146" s="160"/>
      <c r="CO146" s="160"/>
      <c r="CP146" s="160"/>
      <c r="CQ146" s="160"/>
      <c r="CR146" s="160"/>
      <c r="CS146" s="160"/>
      <c r="CT146" s="160"/>
      <c r="CU146" s="160"/>
      <c r="CV146" s="160"/>
      <c r="CW146" s="160"/>
      <c r="CX146" s="160"/>
      <c r="CY146" s="160"/>
      <c r="CZ146" s="160"/>
      <c r="DA146" s="160"/>
      <c r="DB146" s="160"/>
      <c r="DC146" s="160"/>
      <c r="DD146" s="160"/>
      <c r="DE146" s="160"/>
      <c r="DF146" s="160"/>
      <c r="DG146" s="160"/>
      <c r="DH146" s="160"/>
      <c r="DI146" s="160"/>
      <c r="DJ146" s="160"/>
      <c r="DK146" s="160"/>
      <c r="DL146" s="160"/>
      <c r="DM146" s="160"/>
      <c r="DN146" s="160"/>
      <c r="DO146" s="160"/>
      <c r="DP146" s="160"/>
      <c r="DQ146" s="160"/>
      <c r="DR146" s="160"/>
      <c r="DS146" s="160"/>
      <c r="DT146" s="160"/>
      <c r="DU146" s="160"/>
      <c r="DV146" s="160"/>
      <c r="DW146" s="160"/>
      <c r="DX146" s="160"/>
      <c r="DY146" s="160"/>
      <c r="DZ146" s="160"/>
      <c r="EA146" s="160"/>
      <c r="EB146" s="160"/>
      <c r="EC146" s="160"/>
      <c r="ED146" s="160"/>
      <c r="EE146" s="160"/>
      <c r="EF146" s="160"/>
      <c r="EG146" s="160"/>
      <c r="EH146" s="160"/>
      <c r="EI146" s="160"/>
      <c r="EJ146" s="160"/>
      <c r="EK146" s="160"/>
      <c r="EL146" s="160"/>
      <c r="EM146" s="160"/>
      <c r="EN146" s="160"/>
      <c r="EO146" s="160"/>
      <c r="EP146" s="160"/>
      <c r="EQ146" s="160"/>
      <c r="ER146" s="160"/>
      <c r="ES146" s="160"/>
      <c r="ET146" s="160"/>
      <c r="EU146" s="160"/>
      <c r="EV146" s="160"/>
      <c r="EW146" s="160"/>
      <c r="EX146" s="160"/>
      <c r="EY146" s="160"/>
      <c r="EZ146" s="160"/>
      <c r="FA146" s="160"/>
      <c r="FB146" s="160"/>
      <c r="FC146" s="160"/>
      <c r="FD146" s="160"/>
      <c r="FE146" s="160"/>
      <c r="FF146" s="160"/>
      <c r="FG146" s="160"/>
      <c r="FH146" s="160"/>
      <c r="FI146" s="160"/>
      <c r="FJ146" s="160"/>
      <c r="FK146" s="160"/>
      <c r="FL146" s="160"/>
      <c r="FM146" s="160"/>
      <c r="FN146" s="160"/>
      <c r="FO146" s="160"/>
      <c r="FP146" s="160"/>
      <c r="FQ146" s="160"/>
      <c r="FR146" s="160"/>
      <c r="FS146" s="160"/>
      <c r="FT146" s="160"/>
      <c r="FU146" s="160"/>
      <c r="FV146" s="160"/>
      <c r="FW146" s="160"/>
      <c r="FX146" s="160"/>
      <c r="FY146" s="160"/>
      <c r="FZ146" s="160"/>
      <c r="GA146" s="160"/>
      <c r="GB146" s="160"/>
      <c r="GC146" s="160"/>
      <c r="GD146" s="160"/>
      <c r="GE146" s="160"/>
      <c r="GF146" s="160"/>
      <c r="GG146" s="160"/>
      <c r="GH146" s="160"/>
      <c r="GI146" s="160"/>
      <c r="GJ146" s="160"/>
      <c r="GK146" s="160"/>
      <c r="GL146" s="160"/>
      <c r="GM146" s="160"/>
      <c r="GN146" s="160"/>
      <c r="GO146" s="160"/>
      <c r="GP146" s="160"/>
      <c r="GQ146" s="160"/>
      <c r="GR146" s="160"/>
      <c r="GS146" s="160"/>
      <c r="GT146" s="160"/>
      <c r="GU146" s="160"/>
      <c r="GV146" s="160"/>
      <c r="GW146" s="160"/>
      <c r="GX146" s="160"/>
      <c r="GY146" s="160"/>
      <c r="GZ146" s="160"/>
      <c r="HA146" s="160"/>
      <c r="HB146" s="160"/>
      <c r="HC146" s="160"/>
      <c r="HD146" s="160"/>
      <c r="HE146" s="160"/>
      <c r="HF146" s="160"/>
      <c r="HG146" s="160"/>
      <c r="HH146" s="160"/>
      <c r="HI146" s="160"/>
      <c r="HJ146" s="160"/>
      <c r="HK146" s="160"/>
      <c r="HL146" s="160"/>
      <c r="HM146" s="160"/>
      <c r="HN146" s="160"/>
      <c r="HO146" s="160"/>
      <c r="HP146" s="160"/>
      <c r="HQ146" s="160"/>
      <c r="HR146" s="160"/>
      <c r="HS146" s="160"/>
      <c r="HT146" s="160"/>
      <c r="HU146" s="160"/>
      <c r="HV146" s="160"/>
      <c r="HW146" s="160"/>
      <c r="HX146" s="160"/>
      <c r="HY146" s="160"/>
      <c r="HZ146" s="160"/>
      <c r="IA146" s="160"/>
      <c r="IB146" s="160"/>
      <c r="IC146" s="160"/>
      <c r="ID146" s="160"/>
      <c r="IE146" s="160"/>
      <c r="IF146" s="160"/>
      <c r="IG146" s="160"/>
      <c r="IH146" s="160"/>
      <c r="II146" s="160"/>
      <c r="IJ146" s="160"/>
      <c r="IK146" s="160"/>
      <c r="IL146" s="160"/>
      <c r="IM146" s="160"/>
      <c r="IN146" s="160"/>
      <c r="IO146" s="160"/>
      <c r="IP146" s="160"/>
      <c r="IQ146" s="160"/>
      <c r="IR146" s="160"/>
    </row>
    <row r="147" spans="1:252" s="8" customFormat="1" ht="13.5" customHeight="1" x14ac:dyDescent="0.25">
      <c r="A147" s="213" t="s">
        <v>301</v>
      </c>
      <c r="B147" s="22" t="s">
        <v>688</v>
      </c>
      <c r="C147" s="190" t="s">
        <v>310</v>
      </c>
      <c r="D147" s="60">
        <v>2</v>
      </c>
      <c r="E147" s="60">
        <v>1</v>
      </c>
      <c r="F147" s="60"/>
      <c r="G147" s="200" t="str">
        <f t="shared" si="9"/>
        <v/>
      </c>
      <c r="H147" s="192"/>
      <c r="I147" s="60"/>
      <c r="J147" s="60"/>
      <c r="K147" s="60"/>
      <c r="L147" s="200" t="str">
        <f t="shared" si="10"/>
        <v/>
      </c>
      <c r="M147" s="192" t="s">
        <v>310</v>
      </c>
      <c r="N147" s="60">
        <v>2</v>
      </c>
      <c r="O147" s="60"/>
      <c r="P147" s="60"/>
      <c r="Q147" s="200" t="str">
        <f t="shared" si="11"/>
        <v/>
      </c>
      <c r="R147" s="192"/>
      <c r="S147" s="60"/>
      <c r="T147" s="205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  <c r="BI147" s="160"/>
      <c r="BJ147" s="160"/>
      <c r="BK147" s="160"/>
      <c r="BL147" s="160"/>
      <c r="BM147" s="160"/>
      <c r="BN147" s="160"/>
      <c r="BO147" s="160"/>
      <c r="BP147" s="160"/>
      <c r="BQ147" s="160"/>
      <c r="BR147" s="160"/>
      <c r="BS147" s="160"/>
      <c r="BT147" s="160"/>
      <c r="BU147" s="160"/>
      <c r="BV147" s="160"/>
      <c r="BW147" s="160"/>
      <c r="BX147" s="160"/>
      <c r="BY147" s="160"/>
      <c r="BZ147" s="160"/>
      <c r="CA147" s="160"/>
      <c r="CB147" s="160"/>
      <c r="CC147" s="160"/>
      <c r="CD147" s="160"/>
      <c r="CE147" s="160"/>
      <c r="CF147" s="160"/>
      <c r="CG147" s="160"/>
      <c r="CH147" s="160"/>
      <c r="CI147" s="160"/>
      <c r="CJ147" s="160"/>
      <c r="CK147" s="160"/>
      <c r="CL147" s="160"/>
      <c r="CM147" s="160"/>
      <c r="CN147" s="160"/>
      <c r="CO147" s="160"/>
      <c r="CP147" s="160"/>
      <c r="CQ147" s="160"/>
      <c r="CR147" s="160"/>
      <c r="CS147" s="160"/>
      <c r="CT147" s="160"/>
      <c r="CU147" s="160"/>
      <c r="CV147" s="160"/>
      <c r="CW147" s="160"/>
      <c r="CX147" s="160"/>
      <c r="CY147" s="160"/>
      <c r="CZ147" s="160"/>
      <c r="DA147" s="160"/>
      <c r="DB147" s="160"/>
      <c r="DC147" s="160"/>
      <c r="DD147" s="160"/>
      <c r="DE147" s="160"/>
      <c r="DF147" s="160"/>
      <c r="DG147" s="160"/>
      <c r="DH147" s="160"/>
      <c r="DI147" s="160"/>
      <c r="DJ147" s="160"/>
      <c r="DK147" s="160"/>
      <c r="DL147" s="160"/>
      <c r="DM147" s="160"/>
      <c r="DN147" s="160"/>
      <c r="DO147" s="160"/>
      <c r="DP147" s="160"/>
      <c r="DQ147" s="160"/>
      <c r="DR147" s="160"/>
      <c r="DS147" s="160"/>
      <c r="DT147" s="160"/>
      <c r="DU147" s="160"/>
      <c r="DV147" s="160"/>
      <c r="DW147" s="160"/>
      <c r="DX147" s="160"/>
      <c r="DY147" s="160"/>
      <c r="DZ147" s="160"/>
      <c r="EA147" s="160"/>
      <c r="EB147" s="160"/>
      <c r="EC147" s="160"/>
      <c r="ED147" s="160"/>
      <c r="EE147" s="160"/>
      <c r="EF147" s="160"/>
      <c r="EG147" s="160"/>
      <c r="EH147" s="160"/>
      <c r="EI147" s="160"/>
      <c r="EJ147" s="160"/>
      <c r="EK147" s="160"/>
      <c r="EL147" s="160"/>
      <c r="EM147" s="160"/>
      <c r="EN147" s="160"/>
      <c r="EO147" s="160"/>
      <c r="EP147" s="160"/>
      <c r="EQ147" s="160"/>
      <c r="ER147" s="160"/>
      <c r="ES147" s="160"/>
      <c r="ET147" s="160"/>
      <c r="EU147" s="160"/>
      <c r="EV147" s="160"/>
      <c r="EW147" s="160"/>
      <c r="EX147" s="160"/>
      <c r="EY147" s="160"/>
      <c r="EZ147" s="160"/>
      <c r="FA147" s="160"/>
      <c r="FB147" s="160"/>
      <c r="FC147" s="160"/>
      <c r="FD147" s="160"/>
      <c r="FE147" s="160"/>
      <c r="FF147" s="160"/>
      <c r="FG147" s="160"/>
      <c r="FH147" s="160"/>
      <c r="FI147" s="160"/>
      <c r="FJ147" s="160"/>
      <c r="FK147" s="160"/>
      <c r="FL147" s="160"/>
      <c r="FM147" s="160"/>
      <c r="FN147" s="160"/>
      <c r="FO147" s="160"/>
      <c r="FP147" s="160"/>
      <c r="FQ147" s="160"/>
      <c r="FR147" s="160"/>
      <c r="FS147" s="160"/>
      <c r="FT147" s="160"/>
      <c r="FU147" s="160"/>
      <c r="FV147" s="160"/>
      <c r="FW147" s="160"/>
      <c r="FX147" s="160"/>
      <c r="FY147" s="160"/>
      <c r="FZ147" s="160"/>
      <c r="GA147" s="160"/>
      <c r="GB147" s="160"/>
      <c r="GC147" s="160"/>
      <c r="GD147" s="160"/>
      <c r="GE147" s="160"/>
      <c r="GF147" s="160"/>
      <c r="GG147" s="160"/>
      <c r="GH147" s="160"/>
      <c r="GI147" s="160"/>
      <c r="GJ147" s="160"/>
      <c r="GK147" s="160"/>
      <c r="GL147" s="160"/>
      <c r="GM147" s="160"/>
      <c r="GN147" s="160"/>
      <c r="GO147" s="160"/>
      <c r="GP147" s="160"/>
      <c r="GQ147" s="160"/>
      <c r="GR147" s="160"/>
      <c r="GS147" s="160"/>
      <c r="GT147" s="160"/>
      <c r="GU147" s="160"/>
      <c r="GV147" s="160"/>
      <c r="GW147" s="160"/>
      <c r="GX147" s="160"/>
      <c r="GY147" s="160"/>
      <c r="GZ147" s="160"/>
      <c r="HA147" s="160"/>
      <c r="HB147" s="160"/>
      <c r="HC147" s="160"/>
      <c r="HD147" s="160"/>
      <c r="HE147" s="160"/>
      <c r="HF147" s="160"/>
      <c r="HG147" s="160"/>
      <c r="HH147" s="160"/>
      <c r="HI147" s="160"/>
      <c r="HJ147" s="160"/>
      <c r="HK147" s="160"/>
      <c r="HL147" s="160"/>
      <c r="HM147" s="160"/>
      <c r="HN147" s="160"/>
      <c r="HO147" s="160"/>
      <c r="HP147" s="160"/>
      <c r="HQ147" s="160"/>
      <c r="HR147" s="160"/>
      <c r="HS147" s="160"/>
      <c r="HT147" s="160"/>
      <c r="HU147" s="160"/>
      <c r="HV147" s="160"/>
      <c r="HW147" s="160"/>
      <c r="HX147" s="160"/>
      <c r="HY147" s="160"/>
      <c r="HZ147" s="160"/>
      <c r="IA147" s="160"/>
      <c r="IB147" s="160"/>
      <c r="IC147" s="160"/>
      <c r="ID147" s="160"/>
      <c r="IE147" s="160"/>
      <c r="IF147" s="160"/>
      <c r="IG147" s="160"/>
      <c r="IH147" s="160"/>
      <c r="II147" s="160"/>
      <c r="IJ147" s="160"/>
      <c r="IK147" s="160"/>
      <c r="IL147" s="160"/>
      <c r="IM147" s="160"/>
      <c r="IN147" s="160"/>
      <c r="IO147" s="160"/>
      <c r="IP147" s="160"/>
      <c r="IQ147" s="160"/>
      <c r="IR147" s="160"/>
    </row>
    <row r="148" spans="1:252" s="8" customFormat="1" ht="13.5" customHeight="1" x14ac:dyDescent="0.25">
      <c r="A148" s="213" t="s">
        <v>301</v>
      </c>
      <c r="B148" s="7" t="s">
        <v>690</v>
      </c>
      <c r="C148" s="190"/>
      <c r="D148" s="60"/>
      <c r="E148" s="60"/>
      <c r="F148" s="60"/>
      <c r="G148" s="200" t="str">
        <f t="shared" si="9"/>
        <v/>
      </c>
      <c r="H148" s="192"/>
      <c r="I148" s="60"/>
      <c r="J148" s="60"/>
      <c r="K148" s="60"/>
      <c r="L148" s="200" t="str">
        <f t="shared" si="10"/>
        <v/>
      </c>
      <c r="M148" s="192"/>
      <c r="N148" s="60"/>
      <c r="O148" s="60"/>
      <c r="P148" s="60"/>
      <c r="Q148" s="200" t="str">
        <f t="shared" si="11"/>
        <v/>
      </c>
      <c r="R148" s="192"/>
      <c r="S148" s="60"/>
      <c r="T148" s="205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160"/>
      <c r="BL148" s="160"/>
      <c r="BM148" s="160"/>
      <c r="BN148" s="160"/>
      <c r="BO148" s="160"/>
      <c r="BP148" s="160"/>
      <c r="BQ148" s="160"/>
      <c r="BR148" s="160"/>
      <c r="BS148" s="160"/>
      <c r="BT148" s="160"/>
      <c r="BU148" s="160"/>
      <c r="BV148" s="160"/>
      <c r="BW148" s="160"/>
      <c r="BX148" s="160"/>
      <c r="BY148" s="160"/>
      <c r="BZ148" s="160"/>
      <c r="CA148" s="160"/>
      <c r="CB148" s="160"/>
      <c r="CC148" s="160"/>
      <c r="CD148" s="160"/>
      <c r="CE148" s="160"/>
      <c r="CF148" s="160"/>
      <c r="CG148" s="160"/>
      <c r="CH148" s="160"/>
      <c r="CI148" s="160"/>
      <c r="CJ148" s="160"/>
      <c r="CK148" s="160"/>
      <c r="CL148" s="160"/>
      <c r="CM148" s="160"/>
      <c r="CN148" s="160"/>
      <c r="CO148" s="160"/>
      <c r="CP148" s="160"/>
      <c r="CQ148" s="160"/>
      <c r="CR148" s="160"/>
      <c r="CS148" s="160"/>
      <c r="CT148" s="160"/>
      <c r="CU148" s="160"/>
      <c r="CV148" s="160"/>
      <c r="CW148" s="160"/>
      <c r="CX148" s="160"/>
      <c r="CY148" s="160"/>
      <c r="CZ148" s="160"/>
      <c r="DA148" s="160"/>
      <c r="DB148" s="160"/>
      <c r="DC148" s="160"/>
      <c r="DD148" s="160"/>
      <c r="DE148" s="160"/>
      <c r="DF148" s="160"/>
      <c r="DG148" s="160"/>
      <c r="DH148" s="160"/>
      <c r="DI148" s="160"/>
      <c r="DJ148" s="160"/>
      <c r="DK148" s="160"/>
      <c r="DL148" s="160"/>
      <c r="DM148" s="160"/>
      <c r="DN148" s="160"/>
      <c r="DO148" s="160"/>
      <c r="DP148" s="160"/>
      <c r="DQ148" s="160"/>
      <c r="DR148" s="160"/>
      <c r="DS148" s="160"/>
      <c r="DT148" s="160"/>
      <c r="DU148" s="160"/>
      <c r="DV148" s="160"/>
      <c r="DW148" s="160"/>
      <c r="DX148" s="160"/>
      <c r="DY148" s="160"/>
      <c r="DZ148" s="160"/>
      <c r="EA148" s="160"/>
      <c r="EB148" s="160"/>
      <c r="EC148" s="160"/>
      <c r="ED148" s="160"/>
      <c r="EE148" s="160"/>
      <c r="EF148" s="160"/>
      <c r="EG148" s="160"/>
      <c r="EH148" s="160"/>
      <c r="EI148" s="160"/>
      <c r="EJ148" s="160"/>
      <c r="EK148" s="160"/>
      <c r="EL148" s="160"/>
      <c r="EM148" s="160"/>
      <c r="EN148" s="160"/>
      <c r="EO148" s="160"/>
      <c r="EP148" s="160"/>
      <c r="EQ148" s="160"/>
      <c r="ER148" s="160"/>
      <c r="ES148" s="160"/>
      <c r="ET148" s="160"/>
      <c r="EU148" s="160"/>
      <c r="EV148" s="160"/>
      <c r="EW148" s="160"/>
      <c r="EX148" s="160"/>
      <c r="EY148" s="160"/>
      <c r="EZ148" s="160"/>
      <c r="FA148" s="160"/>
      <c r="FB148" s="160"/>
      <c r="FC148" s="160"/>
      <c r="FD148" s="160"/>
      <c r="FE148" s="160"/>
      <c r="FF148" s="160"/>
      <c r="FG148" s="160"/>
      <c r="FH148" s="160"/>
      <c r="FI148" s="160"/>
      <c r="FJ148" s="160"/>
      <c r="FK148" s="160"/>
      <c r="FL148" s="160"/>
      <c r="FM148" s="160"/>
      <c r="FN148" s="160"/>
      <c r="FO148" s="160"/>
      <c r="FP148" s="160"/>
      <c r="FQ148" s="160"/>
      <c r="FR148" s="160"/>
      <c r="FS148" s="160"/>
      <c r="FT148" s="160"/>
      <c r="FU148" s="160"/>
      <c r="FV148" s="160"/>
      <c r="FW148" s="160"/>
      <c r="FX148" s="160"/>
      <c r="FY148" s="160"/>
      <c r="FZ148" s="160"/>
      <c r="GA148" s="160"/>
      <c r="GB148" s="160"/>
      <c r="GC148" s="160"/>
      <c r="GD148" s="160"/>
      <c r="GE148" s="160"/>
      <c r="GF148" s="160"/>
      <c r="GG148" s="160"/>
      <c r="GH148" s="160"/>
      <c r="GI148" s="160"/>
      <c r="GJ148" s="160"/>
      <c r="GK148" s="160"/>
      <c r="GL148" s="160"/>
      <c r="GM148" s="160"/>
      <c r="GN148" s="160"/>
      <c r="GO148" s="160"/>
      <c r="GP148" s="160"/>
      <c r="GQ148" s="160"/>
      <c r="GR148" s="160"/>
      <c r="GS148" s="160"/>
      <c r="GT148" s="160"/>
      <c r="GU148" s="160"/>
      <c r="GV148" s="160"/>
      <c r="GW148" s="160"/>
      <c r="GX148" s="160"/>
      <c r="GY148" s="160"/>
      <c r="GZ148" s="160"/>
      <c r="HA148" s="160"/>
      <c r="HB148" s="160"/>
      <c r="HC148" s="160"/>
      <c r="HD148" s="160"/>
      <c r="HE148" s="160"/>
      <c r="HF148" s="160"/>
      <c r="HG148" s="160"/>
      <c r="HH148" s="160"/>
      <c r="HI148" s="160"/>
      <c r="HJ148" s="160"/>
      <c r="HK148" s="160"/>
      <c r="HL148" s="160"/>
      <c r="HM148" s="160"/>
      <c r="HN148" s="160"/>
      <c r="HO148" s="160"/>
      <c r="HP148" s="160"/>
      <c r="HQ148" s="160"/>
      <c r="HR148" s="160"/>
      <c r="HS148" s="160"/>
      <c r="HT148" s="160"/>
      <c r="HU148" s="160"/>
      <c r="HV148" s="160"/>
      <c r="HW148" s="160"/>
      <c r="HX148" s="160"/>
      <c r="HY148" s="160"/>
      <c r="HZ148" s="160"/>
      <c r="IA148" s="160"/>
      <c r="IB148" s="160"/>
      <c r="IC148" s="160"/>
      <c r="ID148" s="160"/>
      <c r="IE148" s="160"/>
      <c r="IF148" s="160"/>
      <c r="IG148" s="160"/>
      <c r="IH148" s="160"/>
      <c r="II148" s="160"/>
      <c r="IJ148" s="160"/>
      <c r="IK148" s="160"/>
      <c r="IL148" s="160"/>
      <c r="IM148" s="160"/>
      <c r="IN148" s="160"/>
      <c r="IO148" s="160"/>
      <c r="IP148" s="160"/>
      <c r="IQ148" s="160"/>
      <c r="IR148" s="160"/>
    </row>
    <row r="149" spans="1:252" s="8" customFormat="1" ht="13.5" customHeight="1" x14ac:dyDescent="0.25">
      <c r="A149" s="213" t="s">
        <v>301</v>
      </c>
      <c r="B149" s="7" t="s">
        <v>692</v>
      </c>
      <c r="C149" s="190"/>
      <c r="D149" s="60"/>
      <c r="E149" s="60"/>
      <c r="F149" s="60"/>
      <c r="G149" s="200" t="str">
        <f t="shared" si="9"/>
        <v/>
      </c>
      <c r="H149" s="192"/>
      <c r="I149" s="60"/>
      <c r="J149" s="60"/>
      <c r="K149" s="60"/>
      <c r="L149" s="200" t="str">
        <f t="shared" si="10"/>
        <v/>
      </c>
      <c r="M149" s="192"/>
      <c r="N149" s="60"/>
      <c r="O149" s="60"/>
      <c r="P149" s="60"/>
      <c r="Q149" s="200" t="str">
        <f t="shared" si="11"/>
        <v/>
      </c>
      <c r="R149" s="192"/>
      <c r="S149" s="60"/>
      <c r="T149" s="205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  <c r="BJ149" s="160"/>
      <c r="BK149" s="160"/>
      <c r="BL149" s="160"/>
      <c r="BM149" s="160"/>
      <c r="BN149" s="160"/>
      <c r="BO149" s="160"/>
      <c r="BP149" s="160"/>
      <c r="BQ149" s="160"/>
      <c r="BR149" s="160"/>
      <c r="BS149" s="160"/>
      <c r="BT149" s="160"/>
      <c r="BU149" s="160"/>
      <c r="BV149" s="160"/>
      <c r="BW149" s="160"/>
      <c r="BX149" s="160"/>
      <c r="BY149" s="160"/>
      <c r="BZ149" s="160"/>
      <c r="CA149" s="160"/>
      <c r="CB149" s="160"/>
      <c r="CC149" s="160"/>
      <c r="CD149" s="160"/>
      <c r="CE149" s="160"/>
      <c r="CF149" s="160"/>
      <c r="CG149" s="160"/>
      <c r="CH149" s="160"/>
      <c r="CI149" s="160"/>
      <c r="CJ149" s="160"/>
      <c r="CK149" s="160"/>
      <c r="CL149" s="160"/>
      <c r="CM149" s="160"/>
      <c r="CN149" s="160"/>
      <c r="CO149" s="160"/>
      <c r="CP149" s="160"/>
      <c r="CQ149" s="160"/>
      <c r="CR149" s="160"/>
      <c r="CS149" s="160"/>
      <c r="CT149" s="160"/>
      <c r="CU149" s="160"/>
      <c r="CV149" s="160"/>
      <c r="CW149" s="160"/>
      <c r="CX149" s="160"/>
      <c r="CY149" s="160"/>
      <c r="CZ149" s="160"/>
      <c r="DA149" s="160"/>
      <c r="DB149" s="160"/>
      <c r="DC149" s="160"/>
      <c r="DD149" s="160"/>
      <c r="DE149" s="160"/>
      <c r="DF149" s="160"/>
      <c r="DG149" s="160"/>
      <c r="DH149" s="160"/>
      <c r="DI149" s="160"/>
      <c r="DJ149" s="160"/>
      <c r="DK149" s="160"/>
      <c r="DL149" s="160"/>
      <c r="DM149" s="160"/>
      <c r="DN149" s="160"/>
      <c r="DO149" s="160"/>
      <c r="DP149" s="160"/>
      <c r="DQ149" s="160"/>
      <c r="DR149" s="160"/>
      <c r="DS149" s="160"/>
      <c r="DT149" s="160"/>
      <c r="DU149" s="160"/>
      <c r="DV149" s="160"/>
      <c r="DW149" s="160"/>
      <c r="DX149" s="160"/>
      <c r="DY149" s="160"/>
      <c r="DZ149" s="160"/>
      <c r="EA149" s="160"/>
      <c r="EB149" s="160"/>
      <c r="EC149" s="160"/>
      <c r="ED149" s="160"/>
      <c r="EE149" s="160"/>
      <c r="EF149" s="160"/>
      <c r="EG149" s="160"/>
      <c r="EH149" s="160"/>
      <c r="EI149" s="160"/>
      <c r="EJ149" s="160"/>
      <c r="EK149" s="160"/>
      <c r="EL149" s="160"/>
      <c r="EM149" s="160"/>
      <c r="EN149" s="160"/>
      <c r="EO149" s="160"/>
      <c r="EP149" s="160"/>
      <c r="EQ149" s="160"/>
      <c r="ER149" s="160"/>
      <c r="ES149" s="160"/>
      <c r="ET149" s="160"/>
      <c r="EU149" s="160"/>
      <c r="EV149" s="160"/>
      <c r="EW149" s="160"/>
      <c r="EX149" s="160"/>
      <c r="EY149" s="160"/>
      <c r="EZ149" s="160"/>
      <c r="FA149" s="160"/>
      <c r="FB149" s="160"/>
      <c r="FC149" s="160"/>
      <c r="FD149" s="160"/>
      <c r="FE149" s="160"/>
      <c r="FF149" s="160"/>
      <c r="FG149" s="160"/>
      <c r="FH149" s="160"/>
      <c r="FI149" s="160"/>
      <c r="FJ149" s="160"/>
      <c r="FK149" s="160"/>
      <c r="FL149" s="160"/>
      <c r="FM149" s="160"/>
      <c r="FN149" s="160"/>
      <c r="FO149" s="160"/>
      <c r="FP149" s="160"/>
      <c r="FQ149" s="160"/>
      <c r="FR149" s="160"/>
      <c r="FS149" s="160"/>
      <c r="FT149" s="160"/>
      <c r="FU149" s="160"/>
      <c r="FV149" s="160"/>
      <c r="FW149" s="160"/>
      <c r="FX149" s="160"/>
      <c r="FY149" s="160"/>
      <c r="FZ149" s="160"/>
      <c r="GA149" s="160"/>
      <c r="GB149" s="160"/>
      <c r="GC149" s="160"/>
      <c r="GD149" s="160"/>
      <c r="GE149" s="160"/>
      <c r="GF149" s="160"/>
      <c r="GG149" s="160"/>
      <c r="GH149" s="160"/>
      <c r="GI149" s="160"/>
      <c r="GJ149" s="160"/>
      <c r="GK149" s="160"/>
      <c r="GL149" s="160"/>
      <c r="GM149" s="160"/>
      <c r="GN149" s="160"/>
      <c r="GO149" s="160"/>
      <c r="GP149" s="160"/>
      <c r="GQ149" s="160"/>
      <c r="GR149" s="160"/>
      <c r="GS149" s="160"/>
      <c r="GT149" s="160"/>
      <c r="GU149" s="160"/>
      <c r="GV149" s="160"/>
      <c r="GW149" s="160"/>
      <c r="GX149" s="160"/>
      <c r="GY149" s="160"/>
      <c r="GZ149" s="160"/>
      <c r="HA149" s="160"/>
      <c r="HB149" s="160"/>
      <c r="HC149" s="160"/>
      <c r="HD149" s="160"/>
      <c r="HE149" s="160"/>
      <c r="HF149" s="160"/>
      <c r="HG149" s="160"/>
      <c r="HH149" s="160"/>
      <c r="HI149" s="160"/>
      <c r="HJ149" s="160"/>
      <c r="HK149" s="160"/>
      <c r="HL149" s="160"/>
      <c r="HM149" s="160"/>
      <c r="HN149" s="160"/>
      <c r="HO149" s="160"/>
      <c r="HP149" s="160"/>
      <c r="HQ149" s="160"/>
      <c r="HR149" s="160"/>
      <c r="HS149" s="160"/>
      <c r="HT149" s="160"/>
      <c r="HU149" s="160"/>
      <c r="HV149" s="160"/>
      <c r="HW149" s="160"/>
      <c r="HX149" s="160"/>
      <c r="HY149" s="160"/>
      <c r="HZ149" s="160"/>
      <c r="IA149" s="160"/>
      <c r="IB149" s="160"/>
      <c r="IC149" s="160"/>
      <c r="ID149" s="160"/>
      <c r="IE149" s="160"/>
      <c r="IF149" s="160"/>
      <c r="IG149" s="160"/>
      <c r="IH149" s="160"/>
      <c r="II149" s="160"/>
      <c r="IJ149" s="160"/>
      <c r="IK149" s="160"/>
      <c r="IL149" s="160"/>
      <c r="IM149" s="160"/>
      <c r="IN149" s="160"/>
      <c r="IO149" s="160"/>
      <c r="IP149" s="160"/>
      <c r="IQ149" s="160"/>
      <c r="IR149" s="160"/>
    </row>
    <row r="150" spans="1:252" s="8" customFormat="1" ht="13.5" customHeight="1" x14ac:dyDescent="0.25">
      <c r="A150" s="213" t="s">
        <v>301</v>
      </c>
      <c r="B150" s="22" t="s">
        <v>694</v>
      </c>
      <c r="C150" s="190"/>
      <c r="D150" s="60"/>
      <c r="E150" s="60"/>
      <c r="F150" s="60"/>
      <c r="G150" s="200" t="str">
        <f t="shared" si="9"/>
        <v/>
      </c>
      <c r="H150" s="192"/>
      <c r="I150" s="60"/>
      <c r="J150" s="60"/>
      <c r="K150" s="60"/>
      <c r="L150" s="200" t="str">
        <f t="shared" si="10"/>
        <v/>
      </c>
      <c r="M150" s="192"/>
      <c r="N150" s="60"/>
      <c r="O150" s="60"/>
      <c r="P150" s="60"/>
      <c r="Q150" s="200" t="str">
        <f t="shared" si="11"/>
        <v/>
      </c>
      <c r="R150" s="192"/>
      <c r="S150" s="60"/>
      <c r="T150" s="205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  <c r="BI150" s="160"/>
      <c r="BJ150" s="160"/>
      <c r="BK150" s="160"/>
      <c r="BL150" s="160"/>
      <c r="BM150" s="160"/>
      <c r="BN150" s="160"/>
      <c r="BO150" s="160"/>
      <c r="BP150" s="160"/>
      <c r="BQ150" s="160"/>
      <c r="BR150" s="160"/>
      <c r="BS150" s="160"/>
      <c r="BT150" s="160"/>
      <c r="BU150" s="160"/>
      <c r="BV150" s="160"/>
      <c r="BW150" s="160"/>
      <c r="BX150" s="160"/>
      <c r="BY150" s="160"/>
      <c r="BZ150" s="160"/>
      <c r="CA150" s="160"/>
      <c r="CB150" s="160"/>
      <c r="CC150" s="160"/>
      <c r="CD150" s="160"/>
      <c r="CE150" s="160"/>
      <c r="CF150" s="160"/>
      <c r="CG150" s="160"/>
      <c r="CH150" s="160"/>
      <c r="CI150" s="160"/>
      <c r="CJ150" s="160"/>
      <c r="CK150" s="160"/>
      <c r="CL150" s="160"/>
      <c r="CM150" s="160"/>
      <c r="CN150" s="160"/>
      <c r="CO150" s="160"/>
      <c r="CP150" s="160"/>
      <c r="CQ150" s="160"/>
      <c r="CR150" s="160"/>
      <c r="CS150" s="160"/>
      <c r="CT150" s="160"/>
      <c r="CU150" s="160"/>
      <c r="CV150" s="160"/>
      <c r="CW150" s="160"/>
      <c r="CX150" s="160"/>
      <c r="CY150" s="160"/>
      <c r="CZ150" s="160"/>
      <c r="DA150" s="160"/>
      <c r="DB150" s="160"/>
      <c r="DC150" s="160"/>
      <c r="DD150" s="160"/>
      <c r="DE150" s="160"/>
      <c r="DF150" s="160"/>
      <c r="DG150" s="160"/>
      <c r="DH150" s="160"/>
      <c r="DI150" s="160"/>
      <c r="DJ150" s="160"/>
      <c r="DK150" s="160"/>
      <c r="DL150" s="160"/>
      <c r="DM150" s="160"/>
      <c r="DN150" s="160"/>
      <c r="DO150" s="160"/>
      <c r="DP150" s="160"/>
      <c r="DQ150" s="160"/>
      <c r="DR150" s="160"/>
      <c r="DS150" s="160"/>
      <c r="DT150" s="160"/>
      <c r="DU150" s="160"/>
      <c r="DV150" s="160"/>
      <c r="DW150" s="160"/>
      <c r="DX150" s="160"/>
      <c r="DY150" s="160"/>
      <c r="DZ150" s="160"/>
      <c r="EA150" s="160"/>
      <c r="EB150" s="160"/>
      <c r="EC150" s="160"/>
      <c r="ED150" s="160"/>
      <c r="EE150" s="160"/>
      <c r="EF150" s="160"/>
      <c r="EG150" s="160"/>
      <c r="EH150" s="160"/>
      <c r="EI150" s="160"/>
      <c r="EJ150" s="160"/>
      <c r="EK150" s="160"/>
      <c r="EL150" s="160"/>
      <c r="EM150" s="160"/>
      <c r="EN150" s="160"/>
      <c r="EO150" s="160"/>
      <c r="EP150" s="160"/>
      <c r="EQ150" s="160"/>
      <c r="ER150" s="160"/>
      <c r="ES150" s="160"/>
      <c r="ET150" s="160"/>
      <c r="EU150" s="160"/>
      <c r="EV150" s="160"/>
      <c r="EW150" s="160"/>
      <c r="EX150" s="160"/>
      <c r="EY150" s="160"/>
      <c r="EZ150" s="160"/>
      <c r="FA150" s="160"/>
      <c r="FB150" s="160"/>
      <c r="FC150" s="160"/>
      <c r="FD150" s="160"/>
      <c r="FE150" s="160"/>
      <c r="FF150" s="160"/>
      <c r="FG150" s="160"/>
      <c r="FH150" s="160"/>
      <c r="FI150" s="160"/>
      <c r="FJ150" s="160"/>
      <c r="FK150" s="160"/>
      <c r="FL150" s="160"/>
      <c r="FM150" s="160"/>
      <c r="FN150" s="160"/>
      <c r="FO150" s="160"/>
      <c r="FP150" s="160"/>
      <c r="FQ150" s="160"/>
      <c r="FR150" s="160"/>
      <c r="FS150" s="160"/>
      <c r="FT150" s="160"/>
      <c r="FU150" s="160"/>
      <c r="FV150" s="160"/>
      <c r="FW150" s="160"/>
      <c r="FX150" s="160"/>
      <c r="FY150" s="160"/>
      <c r="FZ150" s="160"/>
      <c r="GA150" s="160"/>
      <c r="GB150" s="160"/>
      <c r="GC150" s="160"/>
      <c r="GD150" s="160"/>
      <c r="GE150" s="160"/>
      <c r="GF150" s="160"/>
      <c r="GG150" s="160"/>
      <c r="GH150" s="160"/>
      <c r="GI150" s="160"/>
      <c r="GJ150" s="160"/>
      <c r="GK150" s="160"/>
      <c r="GL150" s="160"/>
      <c r="GM150" s="160"/>
      <c r="GN150" s="160"/>
      <c r="GO150" s="160"/>
      <c r="GP150" s="160"/>
      <c r="GQ150" s="160"/>
      <c r="GR150" s="160"/>
      <c r="GS150" s="160"/>
      <c r="GT150" s="160"/>
      <c r="GU150" s="160"/>
      <c r="GV150" s="160"/>
      <c r="GW150" s="160"/>
      <c r="GX150" s="160"/>
      <c r="GY150" s="160"/>
      <c r="GZ150" s="160"/>
      <c r="HA150" s="160"/>
      <c r="HB150" s="160"/>
      <c r="HC150" s="160"/>
      <c r="HD150" s="160"/>
      <c r="HE150" s="160"/>
      <c r="HF150" s="160"/>
      <c r="HG150" s="160"/>
      <c r="HH150" s="160"/>
      <c r="HI150" s="160"/>
      <c r="HJ150" s="160"/>
      <c r="HK150" s="160"/>
      <c r="HL150" s="160"/>
      <c r="HM150" s="160"/>
      <c r="HN150" s="160"/>
      <c r="HO150" s="160"/>
      <c r="HP150" s="160"/>
      <c r="HQ150" s="160"/>
      <c r="HR150" s="160"/>
      <c r="HS150" s="160"/>
      <c r="HT150" s="160"/>
      <c r="HU150" s="160"/>
      <c r="HV150" s="160"/>
      <c r="HW150" s="160"/>
      <c r="HX150" s="160"/>
      <c r="HY150" s="160"/>
      <c r="HZ150" s="160"/>
      <c r="IA150" s="160"/>
      <c r="IB150" s="160"/>
      <c r="IC150" s="160"/>
      <c r="ID150" s="160"/>
      <c r="IE150" s="160"/>
      <c r="IF150" s="160"/>
      <c r="IG150" s="160"/>
      <c r="IH150" s="160"/>
      <c r="II150" s="160"/>
      <c r="IJ150" s="160"/>
      <c r="IK150" s="160"/>
      <c r="IL150" s="160"/>
      <c r="IM150" s="160"/>
      <c r="IN150" s="160"/>
      <c r="IO150" s="160"/>
      <c r="IP150" s="160"/>
      <c r="IQ150" s="160"/>
      <c r="IR150" s="160"/>
    </row>
    <row r="151" spans="1:252" s="8" customFormat="1" ht="13.5" customHeight="1" x14ac:dyDescent="0.25">
      <c r="A151" s="213" t="s">
        <v>301</v>
      </c>
      <c r="B151" s="7" t="s">
        <v>696</v>
      </c>
      <c r="C151" s="190"/>
      <c r="D151" s="60"/>
      <c r="E151" s="60"/>
      <c r="F151" s="60"/>
      <c r="G151" s="200" t="str">
        <f t="shared" si="9"/>
        <v/>
      </c>
      <c r="H151" s="192"/>
      <c r="I151" s="60"/>
      <c r="J151" s="60"/>
      <c r="K151" s="60"/>
      <c r="L151" s="200" t="str">
        <f t="shared" si="10"/>
        <v/>
      </c>
      <c r="M151" s="192" t="s">
        <v>310</v>
      </c>
      <c r="N151" s="60">
        <v>2</v>
      </c>
      <c r="O151" s="60"/>
      <c r="P151" s="60"/>
      <c r="Q151" s="200" t="str">
        <f t="shared" si="11"/>
        <v/>
      </c>
      <c r="R151" s="192"/>
      <c r="S151" s="60"/>
      <c r="T151" s="205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  <c r="BI151" s="160"/>
      <c r="BJ151" s="160"/>
      <c r="BK151" s="160"/>
      <c r="BL151" s="160"/>
      <c r="BM151" s="160"/>
      <c r="BN151" s="160"/>
      <c r="BO151" s="160"/>
      <c r="BP151" s="160"/>
      <c r="BQ151" s="160"/>
      <c r="BR151" s="160"/>
      <c r="BS151" s="160"/>
      <c r="BT151" s="160"/>
      <c r="BU151" s="160"/>
      <c r="BV151" s="160"/>
      <c r="BW151" s="160"/>
      <c r="BX151" s="160"/>
      <c r="BY151" s="160"/>
      <c r="BZ151" s="160"/>
      <c r="CA151" s="160"/>
      <c r="CB151" s="160"/>
      <c r="CC151" s="160"/>
      <c r="CD151" s="160"/>
      <c r="CE151" s="160"/>
      <c r="CF151" s="160"/>
      <c r="CG151" s="160"/>
      <c r="CH151" s="160"/>
      <c r="CI151" s="160"/>
      <c r="CJ151" s="160"/>
      <c r="CK151" s="160"/>
      <c r="CL151" s="160"/>
      <c r="CM151" s="160"/>
      <c r="CN151" s="160"/>
      <c r="CO151" s="160"/>
      <c r="CP151" s="160"/>
      <c r="CQ151" s="160"/>
      <c r="CR151" s="160"/>
      <c r="CS151" s="160"/>
      <c r="CT151" s="160"/>
      <c r="CU151" s="160"/>
      <c r="CV151" s="160"/>
      <c r="CW151" s="160"/>
      <c r="CX151" s="160"/>
      <c r="CY151" s="160"/>
      <c r="CZ151" s="160"/>
      <c r="DA151" s="160"/>
      <c r="DB151" s="160"/>
      <c r="DC151" s="160"/>
      <c r="DD151" s="160"/>
      <c r="DE151" s="160"/>
      <c r="DF151" s="160"/>
      <c r="DG151" s="160"/>
      <c r="DH151" s="160"/>
      <c r="DI151" s="160"/>
      <c r="DJ151" s="160"/>
      <c r="DK151" s="160"/>
      <c r="DL151" s="160"/>
      <c r="DM151" s="160"/>
      <c r="DN151" s="160"/>
      <c r="DO151" s="160"/>
      <c r="DP151" s="160"/>
      <c r="DQ151" s="160"/>
      <c r="DR151" s="160"/>
      <c r="DS151" s="160"/>
      <c r="DT151" s="160"/>
      <c r="DU151" s="160"/>
      <c r="DV151" s="160"/>
      <c r="DW151" s="160"/>
      <c r="DX151" s="160"/>
      <c r="DY151" s="160"/>
      <c r="DZ151" s="160"/>
      <c r="EA151" s="160"/>
      <c r="EB151" s="160"/>
      <c r="EC151" s="160"/>
      <c r="ED151" s="160"/>
      <c r="EE151" s="160"/>
      <c r="EF151" s="160"/>
      <c r="EG151" s="160"/>
      <c r="EH151" s="160"/>
      <c r="EI151" s="160"/>
      <c r="EJ151" s="160"/>
      <c r="EK151" s="160"/>
      <c r="EL151" s="160"/>
      <c r="EM151" s="160"/>
      <c r="EN151" s="160"/>
      <c r="EO151" s="160"/>
      <c r="EP151" s="160"/>
      <c r="EQ151" s="160"/>
      <c r="ER151" s="160"/>
      <c r="ES151" s="160"/>
      <c r="ET151" s="160"/>
      <c r="EU151" s="160"/>
      <c r="EV151" s="160"/>
      <c r="EW151" s="160"/>
      <c r="EX151" s="160"/>
      <c r="EY151" s="160"/>
      <c r="EZ151" s="160"/>
      <c r="FA151" s="160"/>
      <c r="FB151" s="160"/>
      <c r="FC151" s="160"/>
      <c r="FD151" s="160"/>
      <c r="FE151" s="160"/>
      <c r="FF151" s="160"/>
      <c r="FG151" s="160"/>
      <c r="FH151" s="160"/>
      <c r="FI151" s="160"/>
      <c r="FJ151" s="160"/>
      <c r="FK151" s="160"/>
      <c r="FL151" s="160"/>
      <c r="FM151" s="160"/>
      <c r="FN151" s="160"/>
      <c r="FO151" s="160"/>
      <c r="FP151" s="160"/>
      <c r="FQ151" s="160"/>
      <c r="FR151" s="160"/>
      <c r="FS151" s="160"/>
      <c r="FT151" s="160"/>
      <c r="FU151" s="160"/>
      <c r="FV151" s="160"/>
      <c r="FW151" s="160"/>
      <c r="FX151" s="160"/>
      <c r="FY151" s="160"/>
      <c r="FZ151" s="160"/>
      <c r="GA151" s="160"/>
      <c r="GB151" s="160"/>
      <c r="GC151" s="160"/>
      <c r="GD151" s="160"/>
      <c r="GE151" s="160"/>
      <c r="GF151" s="160"/>
      <c r="GG151" s="160"/>
      <c r="GH151" s="160"/>
      <c r="GI151" s="160"/>
      <c r="GJ151" s="160"/>
      <c r="GK151" s="160"/>
      <c r="GL151" s="160"/>
      <c r="GM151" s="160"/>
      <c r="GN151" s="160"/>
      <c r="GO151" s="160"/>
      <c r="GP151" s="160"/>
      <c r="GQ151" s="160"/>
      <c r="GR151" s="160"/>
      <c r="GS151" s="160"/>
      <c r="GT151" s="160"/>
      <c r="GU151" s="160"/>
      <c r="GV151" s="160"/>
      <c r="GW151" s="160"/>
      <c r="GX151" s="160"/>
      <c r="GY151" s="160"/>
      <c r="GZ151" s="160"/>
      <c r="HA151" s="160"/>
      <c r="HB151" s="160"/>
      <c r="HC151" s="160"/>
      <c r="HD151" s="160"/>
      <c r="HE151" s="160"/>
      <c r="HF151" s="160"/>
      <c r="HG151" s="160"/>
      <c r="HH151" s="160"/>
      <c r="HI151" s="160"/>
      <c r="HJ151" s="160"/>
      <c r="HK151" s="160"/>
      <c r="HL151" s="160"/>
      <c r="HM151" s="160"/>
      <c r="HN151" s="160"/>
      <c r="HO151" s="160"/>
      <c r="HP151" s="160"/>
      <c r="HQ151" s="160"/>
      <c r="HR151" s="160"/>
      <c r="HS151" s="160"/>
      <c r="HT151" s="160"/>
      <c r="HU151" s="160"/>
      <c r="HV151" s="160"/>
      <c r="HW151" s="160"/>
      <c r="HX151" s="160"/>
      <c r="HY151" s="160"/>
      <c r="HZ151" s="160"/>
      <c r="IA151" s="160"/>
      <c r="IB151" s="160"/>
      <c r="IC151" s="160"/>
      <c r="ID151" s="160"/>
      <c r="IE151" s="160"/>
      <c r="IF151" s="160"/>
      <c r="IG151" s="160"/>
      <c r="IH151" s="160"/>
      <c r="II151" s="160"/>
      <c r="IJ151" s="160"/>
      <c r="IK151" s="160"/>
      <c r="IL151" s="160"/>
      <c r="IM151" s="160"/>
      <c r="IN151" s="160"/>
      <c r="IO151" s="160"/>
      <c r="IP151" s="160"/>
      <c r="IQ151" s="160"/>
      <c r="IR151" s="160"/>
    </row>
    <row r="152" spans="1:252" s="8" customFormat="1" ht="13.5" customHeight="1" x14ac:dyDescent="0.25">
      <c r="A152" s="213" t="s">
        <v>301</v>
      </c>
      <c r="B152" s="22" t="s">
        <v>698</v>
      </c>
      <c r="C152" s="190"/>
      <c r="D152" s="60"/>
      <c r="E152" s="60"/>
      <c r="F152" s="60"/>
      <c r="G152" s="200" t="str">
        <f t="shared" si="9"/>
        <v/>
      </c>
      <c r="H152" s="192"/>
      <c r="I152" s="60"/>
      <c r="J152" s="60"/>
      <c r="K152" s="60"/>
      <c r="L152" s="200" t="str">
        <f t="shared" si="10"/>
        <v/>
      </c>
      <c r="M152" s="192"/>
      <c r="N152" s="60"/>
      <c r="O152" s="60"/>
      <c r="P152" s="60"/>
      <c r="Q152" s="200" t="str">
        <f t="shared" si="11"/>
        <v/>
      </c>
      <c r="R152" s="192"/>
      <c r="S152" s="60"/>
      <c r="T152" s="205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  <c r="AL152" s="160"/>
      <c r="AM152" s="160"/>
      <c r="AN152" s="160"/>
      <c r="AO152" s="160"/>
      <c r="AP152" s="160"/>
      <c r="AQ152" s="160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/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160"/>
      <c r="BX152" s="160"/>
      <c r="BY152" s="160"/>
      <c r="BZ152" s="160"/>
      <c r="CA152" s="160"/>
      <c r="CB152" s="160"/>
      <c r="CC152" s="160"/>
      <c r="CD152" s="160"/>
      <c r="CE152" s="160"/>
      <c r="CF152" s="160"/>
      <c r="CG152" s="160"/>
      <c r="CH152" s="160"/>
      <c r="CI152" s="160"/>
      <c r="CJ152" s="160"/>
      <c r="CK152" s="160"/>
      <c r="CL152" s="160"/>
      <c r="CM152" s="160"/>
      <c r="CN152" s="160"/>
      <c r="CO152" s="160"/>
      <c r="CP152" s="160"/>
      <c r="CQ152" s="160"/>
      <c r="CR152" s="160"/>
      <c r="CS152" s="160"/>
      <c r="CT152" s="160"/>
      <c r="CU152" s="160"/>
      <c r="CV152" s="160"/>
      <c r="CW152" s="160"/>
      <c r="CX152" s="160"/>
      <c r="CY152" s="160"/>
      <c r="CZ152" s="160"/>
      <c r="DA152" s="160"/>
      <c r="DB152" s="160"/>
      <c r="DC152" s="160"/>
      <c r="DD152" s="160"/>
      <c r="DE152" s="160"/>
      <c r="DF152" s="160"/>
      <c r="DG152" s="160"/>
      <c r="DH152" s="160"/>
      <c r="DI152" s="160"/>
      <c r="DJ152" s="160"/>
      <c r="DK152" s="160"/>
      <c r="DL152" s="160"/>
      <c r="DM152" s="160"/>
      <c r="DN152" s="160"/>
      <c r="DO152" s="160"/>
      <c r="DP152" s="160"/>
      <c r="DQ152" s="160"/>
      <c r="DR152" s="160"/>
      <c r="DS152" s="160"/>
      <c r="DT152" s="160"/>
      <c r="DU152" s="160"/>
      <c r="DV152" s="160"/>
      <c r="DW152" s="160"/>
      <c r="DX152" s="160"/>
      <c r="DY152" s="160"/>
      <c r="DZ152" s="160"/>
      <c r="EA152" s="160"/>
      <c r="EB152" s="160"/>
      <c r="EC152" s="160"/>
      <c r="ED152" s="160"/>
      <c r="EE152" s="160"/>
      <c r="EF152" s="160"/>
      <c r="EG152" s="160"/>
      <c r="EH152" s="160"/>
      <c r="EI152" s="160"/>
      <c r="EJ152" s="160"/>
      <c r="EK152" s="160"/>
      <c r="EL152" s="160"/>
      <c r="EM152" s="160"/>
      <c r="EN152" s="160"/>
      <c r="EO152" s="160"/>
      <c r="EP152" s="160"/>
      <c r="EQ152" s="160"/>
      <c r="ER152" s="160"/>
      <c r="ES152" s="160"/>
      <c r="ET152" s="160"/>
      <c r="EU152" s="160"/>
      <c r="EV152" s="160"/>
      <c r="EW152" s="160"/>
      <c r="EX152" s="160"/>
      <c r="EY152" s="160"/>
      <c r="EZ152" s="160"/>
      <c r="FA152" s="160"/>
      <c r="FB152" s="160"/>
      <c r="FC152" s="160"/>
      <c r="FD152" s="160"/>
      <c r="FE152" s="160"/>
      <c r="FF152" s="160"/>
      <c r="FG152" s="160"/>
      <c r="FH152" s="160"/>
      <c r="FI152" s="160"/>
      <c r="FJ152" s="160"/>
      <c r="FK152" s="160"/>
      <c r="FL152" s="160"/>
      <c r="FM152" s="160"/>
      <c r="FN152" s="160"/>
      <c r="FO152" s="160"/>
      <c r="FP152" s="160"/>
      <c r="FQ152" s="160"/>
      <c r="FR152" s="160"/>
      <c r="FS152" s="160"/>
      <c r="FT152" s="160"/>
      <c r="FU152" s="160"/>
      <c r="FV152" s="160"/>
      <c r="FW152" s="160"/>
      <c r="FX152" s="160"/>
      <c r="FY152" s="160"/>
      <c r="FZ152" s="160"/>
      <c r="GA152" s="160"/>
      <c r="GB152" s="160"/>
      <c r="GC152" s="160"/>
      <c r="GD152" s="160"/>
      <c r="GE152" s="160"/>
      <c r="GF152" s="160"/>
      <c r="GG152" s="160"/>
      <c r="GH152" s="160"/>
      <c r="GI152" s="160"/>
      <c r="GJ152" s="160"/>
      <c r="GK152" s="160"/>
      <c r="GL152" s="160"/>
      <c r="GM152" s="160"/>
      <c r="GN152" s="160"/>
      <c r="GO152" s="160"/>
      <c r="GP152" s="160"/>
      <c r="GQ152" s="160"/>
      <c r="GR152" s="160"/>
      <c r="GS152" s="160"/>
      <c r="GT152" s="160"/>
      <c r="GU152" s="160"/>
      <c r="GV152" s="160"/>
      <c r="GW152" s="160"/>
      <c r="GX152" s="160"/>
      <c r="GY152" s="160"/>
      <c r="GZ152" s="160"/>
      <c r="HA152" s="160"/>
      <c r="HB152" s="160"/>
      <c r="HC152" s="160"/>
      <c r="HD152" s="160"/>
      <c r="HE152" s="160"/>
      <c r="HF152" s="160"/>
      <c r="HG152" s="160"/>
      <c r="HH152" s="160"/>
      <c r="HI152" s="160"/>
      <c r="HJ152" s="160"/>
      <c r="HK152" s="160"/>
      <c r="HL152" s="160"/>
      <c r="HM152" s="160"/>
      <c r="HN152" s="160"/>
      <c r="HO152" s="160"/>
      <c r="HP152" s="160"/>
      <c r="HQ152" s="160"/>
      <c r="HR152" s="160"/>
      <c r="HS152" s="160"/>
      <c r="HT152" s="160"/>
      <c r="HU152" s="160"/>
      <c r="HV152" s="160"/>
      <c r="HW152" s="160"/>
      <c r="HX152" s="160"/>
      <c r="HY152" s="160"/>
      <c r="HZ152" s="160"/>
      <c r="IA152" s="160"/>
      <c r="IB152" s="160"/>
      <c r="IC152" s="160"/>
      <c r="ID152" s="160"/>
      <c r="IE152" s="160"/>
      <c r="IF152" s="160"/>
      <c r="IG152" s="160"/>
      <c r="IH152" s="160"/>
      <c r="II152" s="160"/>
      <c r="IJ152" s="160"/>
      <c r="IK152" s="160"/>
      <c r="IL152" s="160"/>
      <c r="IM152" s="160"/>
      <c r="IN152" s="160"/>
      <c r="IO152" s="160"/>
      <c r="IP152" s="160"/>
      <c r="IQ152" s="160"/>
      <c r="IR152" s="160"/>
    </row>
    <row r="153" spans="1:252" s="8" customFormat="1" ht="13.5" customHeight="1" x14ac:dyDescent="0.25">
      <c r="A153" s="213" t="s">
        <v>301</v>
      </c>
      <c r="B153" s="7" t="s">
        <v>700</v>
      </c>
      <c r="C153" s="190"/>
      <c r="D153" s="60"/>
      <c r="E153" s="60"/>
      <c r="F153" s="60"/>
      <c r="G153" s="200" t="str">
        <f t="shared" si="9"/>
        <v/>
      </c>
      <c r="H153" s="192"/>
      <c r="I153" s="60"/>
      <c r="J153" s="60"/>
      <c r="K153" s="60"/>
      <c r="L153" s="200" t="str">
        <f t="shared" si="10"/>
        <v/>
      </c>
      <c r="M153" s="192"/>
      <c r="N153" s="60"/>
      <c r="O153" s="60"/>
      <c r="P153" s="60"/>
      <c r="Q153" s="200" t="str">
        <f t="shared" si="11"/>
        <v/>
      </c>
      <c r="R153" s="192"/>
      <c r="S153" s="60"/>
      <c r="T153" s="205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0"/>
      <c r="BL153" s="160"/>
      <c r="BM153" s="160"/>
      <c r="BN153" s="160"/>
      <c r="BO153" s="160"/>
      <c r="BP153" s="160"/>
      <c r="BQ153" s="160"/>
      <c r="BR153" s="160"/>
      <c r="BS153" s="160"/>
      <c r="BT153" s="160"/>
      <c r="BU153" s="160"/>
      <c r="BV153" s="160"/>
      <c r="BW153" s="160"/>
      <c r="BX153" s="160"/>
      <c r="BY153" s="160"/>
      <c r="BZ153" s="160"/>
      <c r="CA153" s="160"/>
      <c r="CB153" s="160"/>
      <c r="CC153" s="160"/>
      <c r="CD153" s="160"/>
      <c r="CE153" s="160"/>
      <c r="CF153" s="160"/>
      <c r="CG153" s="160"/>
      <c r="CH153" s="160"/>
      <c r="CI153" s="160"/>
      <c r="CJ153" s="160"/>
      <c r="CK153" s="160"/>
      <c r="CL153" s="160"/>
      <c r="CM153" s="160"/>
      <c r="CN153" s="160"/>
      <c r="CO153" s="160"/>
      <c r="CP153" s="160"/>
      <c r="CQ153" s="160"/>
      <c r="CR153" s="160"/>
      <c r="CS153" s="160"/>
      <c r="CT153" s="160"/>
      <c r="CU153" s="160"/>
      <c r="CV153" s="160"/>
      <c r="CW153" s="160"/>
      <c r="CX153" s="160"/>
      <c r="CY153" s="160"/>
      <c r="CZ153" s="160"/>
      <c r="DA153" s="160"/>
      <c r="DB153" s="160"/>
      <c r="DC153" s="160"/>
      <c r="DD153" s="160"/>
      <c r="DE153" s="160"/>
      <c r="DF153" s="160"/>
      <c r="DG153" s="160"/>
      <c r="DH153" s="160"/>
      <c r="DI153" s="160"/>
      <c r="DJ153" s="160"/>
      <c r="DK153" s="160"/>
      <c r="DL153" s="160"/>
      <c r="DM153" s="160"/>
      <c r="DN153" s="160"/>
      <c r="DO153" s="160"/>
      <c r="DP153" s="160"/>
      <c r="DQ153" s="160"/>
      <c r="DR153" s="160"/>
      <c r="DS153" s="160"/>
      <c r="DT153" s="160"/>
      <c r="DU153" s="160"/>
      <c r="DV153" s="160"/>
      <c r="DW153" s="160"/>
      <c r="DX153" s="160"/>
      <c r="DY153" s="160"/>
      <c r="DZ153" s="160"/>
      <c r="EA153" s="160"/>
      <c r="EB153" s="160"/>
      <c r="EC153" s="160"/>
      <c r="ED153" s="160"/>
      <c r="EE153" s="160"/>
      <c r="EF153" s="160"/>
      <c r="EG153" s="160"/>
      <c r="EH153" s="160"/>
      <c r="EI153" s="160"/>
      <c r="EJ153" s="160"/>
      <c r="EK153" s="160"/>
      <c r="EL153" s="160"/>
      <c r="EM153" s="160"/>
      <c r="EN153" s="160"/>
      <c r="EO153" s="160"/>
      <c r="EP153" s="160"/>
      <c r="EQ153" s="160"/>
      <c r="ER153" s="160"/>
      <c r="ES153" s="160"/>
      <c r="ET153" s="160"/>
      <c r="EU153" s="160"/>
      <c r="EV153" s="160"/>
      <c r="EW153" s="160"/>
      <c r="EX153" s="160"/>
      <c r="EY153" s="160"/>
      <c r="EZ153" s="160"/>
      <c r="FA153" s="160"/>
      <c r="FB153" s="160"/>
      <c r="FC153" s="160"/>
      <c r="FD153" s="160"/>
      <c r="FE153" s="160"/>
      <c r="FF153" s="160"/>
      <c r="FG153" s="160"/>
      <c r="FH153" s="160"/>
      <c r="FI153" s="160"/>
      <c r="FJ153" s="160"/>
      <c r="FK153" s="160"/>
      <c r="FL153" s="160"/>
      <c r="FM153" s="160"/>
      <c r="FN153" s="160"/>
      <c r="FO153" s="160"/>
      <c r="FP153" s="160"/>
      <c r="FQ153" s="160"/>
      <c r="FR153" s="160"/>
      <c r="FS153" s="160"/>
      <c r="FT153" s="160"/>
      <c r="FU153" s="160"/>
      <c r="FV153" s="160"/>
      <c r="FW153" s="160"/>
      <c r="FX153" s="160"/>
      <c r="FY153" s="160"/>
      <c r="FZ153" s="160"/>
      <c r="GA153" s="160"/>
      <c r="GB153" s="160"/>
      <c r="GC153" s="160"/>
      <c r="GD153" s="160"/>
      <c r="GE153" s="160"/>
      <c r="GF153" s="160"/>
      <c r="GG153" s="160"/>
      <c r="GH153" s="160"/>
      <c r="GI153" s="160"/>
      <c r="GJ153" s="160"/>
      <c r="GK153" s="160"/>
      <c r="GL153" s="160"/>
      <c r="GM153" s="160"/>
      <c r="GN153" s="160"/>
      <c r="GO153" s="160"/>
      <c r="GP153" s="160"/>
      <c r="GQ153" s="160"/>
      <c r="GR153" s="160"/>
      <c r="GS153" s="160"/>
      <c r="GT153" s="160"/>
      <c r="GU153" s="160"/>
      <c r="GV153" s="160"/>
      <c r="GW153" s="160"/>
      <c r="GX153" s="160"/>
      <c r="GY153" s="160"/>
      <c r="GZ153" s="160"/>
      <c r="HA153" s="160"/>
      <c r="HB153" s="160"/>
      <c r="HC153" s="160"/>
      <c r="HD153" s="160"/>
      <c r="HE153" s="160"/>
      <c r="HF153" s="160"/>
      <c r="HG153" s="160"/>
      <c r="HH153" s="160"/>
      <c r="HI153" s="160"/>
      <c r="HJ153" s="160"/>
      <c r="HK153" s="160"/>
      <c r="HL153" s="160"/>
      <c r="HM153" s="160"/>
      <c r="HN153" s="160"/>
      <c r="HO153" s="160"/>
      <c r="HP153" s="160"/>
      <c r="HQ153" s="160"/>
      <c r="HR153" s="160"/>
      <c r="HS153" s="160"/>
      <c r="HT153" s="160"/>
      <c r="HU153" s="160"/>
      <c r="HV153" s="160"/>
      <c r="HW153" s="160"/>
      <c r="HX153" s="160"/>
      <c r="HY153" s="160"/>
      <c r="HZ153" s="160"/>
      <c r="IA153" s="160"/>
      <c r="IB153" s="160"/>
      <c r="IC153" s="160"/>
      <c r="ID153" s="160"/>
      <c r="IE153" s="160"/>
      <c r="IF153" s="160"/>
      <c r="IG153" s="160"/>
      <c r="IH153" s="160"/>
      <c r="II153" s="160"/>
      <c r="IJ153" s="160"/>
      <c r="IK153" s="160"/>
      <c r="IL153" s="160"/>
      <c r="IM153" s="160"/>
      <c r="IN153" s="160"/>
      <c r="IO153" s="160"/>
      <c r="IP153" s="160"/>
      <c r="IQ153" s="160"/>
      <c r="IR153" s="160"/>
    </row>
    <row r="154" spans="1:252" s="8" customFormat="1" ht="13.5" customHeight="1" x14ac:dyDescent="0.25">
      <c r="A154" s="213" t="s">
        <v>301</v>
      </c>
      <c r="B154" s="7" t="s">
        <v>1781</v>
      </c>
      <c r="C154" s="190"/>
      <c r="D154" s="60"/>
      <c r="E154" s="60"/>
      <c r="F154" s="60"/>
      <c r="G154" s="200"/>
      <c r="H154" s="192"/>
      <c r="I154" s="60"/>
      <c r="J154" s="60"/>
      <c r="K154" s="60"/>
      <c r="L154" s="200"/>
      <c r="M154" s="192" t="s">
        <v>310</v>
      </c>
      <c r="N154" s="60">
        <v>2</v>
      </c>
      <c r="O154" s="60"/>
      <c r="P154" s="60"/>
      <c r="Q154" s="200" t="str">
        <f t="shared" si="11"/>
        <v/>
      </c>
      <c r="R154" s="192"/>
      <c r="S154" s="60"/>
      <c r="T154" s="205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  <c r="BL154" s="160"/>
      <c r="BM154" s="160"/>
      <c r="BN154" s="160"/>
      <c r="BO154" s="160"/>
      <c r="BP154" s="160"/>
      <c r="BQ154" s="160"/>
      <c r="BR154" s="160"/>
      <c r="BS154" s="160"/>
      <c r="BT154" s="160"/>
      <c r="BU154" s="160"/>
      <c r="BV154" s="160"/>
      <c r="BW154" s="160"/>
      <c r="BX154" s="160"/>
      <c r="BY154" s="160"/>
      <c r="BZ154" s="160"/>
      <c r="CA154" s="160"/>
      <c r="CB154" s="160"/>
      <c r="CC154" s="160"/>
      <c r="CD154" s="160"/>
      <c r="CE154" s="160"/>
      <c r="CF154" s="160"/>
      <c r="CG154" s="160"/>
      <c r="CH154" s="160"/>
      <c r="CI154" s="160"/>
      <c r="CJ154" s="160"/>
      <c r="CK154" s="160"/>
      <c r="CL154" s="160"/>
      <c r="CM154" s="160"/>
      <c r="CN154" s="160"/>
      <c r="CO154" s="160"/>
      <c r="CP154" s="160"/>
      <c r="CQ154" s="160"/>
      <c r="CR154" s="160"/>
      <c r="CS154" s="160"/>
      <c r="CT154" s="160"/>
      <c r="CU154" s="160"/>
      <c r="CV154" s="160"/>
      <c r="CW154" s="160"/>
      <c r="CX154" s="160"/>
      <c r="CY154" s="160"/>
      <c r="CZ154" s="160"/>
      <c r="DA154" s="160"/>
      <c r="DB154" s="160"/>
      <c r="DC154" s="160"/>
      <c r="DD154" s="160"/>
      <c r="DE154" s="160"/>
      <c r="DF154" s="160"/>
      <c r="DG154" s="160"/>
      <c r="DH154" s="160"/>
      <c r="DI154" s="160"/>
      <c r="DJ154" s="160"/>
      <c r="DK154" s="160"/>
      <c r="DL154" s="160"/>
      <c r="DM154" s="160"/>
      <c r="DN154" s="160"/>
      <c r="DO154" s="160"/>
      <c r="DP154" s="160"/>
      <c r="DQ154" s="160"/>
      <c r="DR154" s="160"/>
      <c r="DS154" s="160"/>
      <c r="DT154" s="160"/>
      <c r="DU154" s="160"/>
      <c r="DV154" s="160"/>
      <c r="DW154" s="160"/>
      <c r="DX154" s="160"/>
      <c r="DY154" s="160"/>
      <c r="DZ154" s="160"/>
      <c r="EA154" s="160"/>
      <c r="EB154" s="160"/>
      <c r="EC154" s="160"/>
      <c r="ED154" s="160"/>
      <c r="EE154" s="160"/>
      <c r="EF154" s="160"/>
      <c r="EG154" s="160"/>
      <c r="EH154" s="160"/>
      <c r="EI154" s="160"/>
      <c r="EJ154" s="160"/>
      <c r="EK154" s="160"/>
      <c r="EL154" s="160"/>
      <c r="EM154" s="160"/>
      <c r="EN154" s="160"/>
      <c r="EO154" s="160"/>
      <c r="EP154" s="160"/>
      <c r="EQ154" s="160"/>
      <c r="ER154" s="160"/>
      <c r="ES154" s="160"/>
      <c r="ET154" s="160"/>
      <c r="EU154" s="160"/>
      <c r="EV154" s="160"/>
      <c r="EW154" s="160"/>
      <c r="EX154" s="160"/>
      <c r="EY154" s="160"/>
      <c r="EZ154" s="160"/>
      <c r="FA154" s="160"/>
      <c r="FB154" s="160"/>
      <c r="FC154" s="160"/>
      <c r="FD154" s="160"/>
      <c r="FE154" s="160"/>
      <c r="FF154" s="160"/>
      <c r="FG154" s="160"/>
      <c r="FH154" s="160"/>
      <c r="FI154" s="160"/>
      <c r="FJ154" s="160"/>
      <c r="FK154" s="160"/>
      <c r="FL154" s="160"/>
      <c r="FM154" s="160"/>
      <c r="FN154" s="160"/>
      <c r="FO154" s="160"/>
      <c r="FP154" s="160"/>
      <c r="FQ154" s="160"/>
      <c r="FR154" s="160"/>
      <c r="FS154" s="160"/>
      <c r="FT154" s="160"/>
      <c r="FU154" s="160"/>
      <c r="FV154" s="160"/>
      <c r="FW154" s="160"/>
      <c r="FX154" s="160"/>
      <c r="FY154" s="160"/>
      <c r="FZ154" s="160"/>
      <c r="GA154" s="160"/>
      <c r="GB154" s="160"/>
      <c r="GC154" s="160"/>
      <c r="GD154" s="160"/>
      <c r="GE154" s="160"/>
      <c r="GF154" s="160"/>
      <c r="GG154" s="160"/>
      <c r="GH154" s="160"/>
      <c r="GI154" s="160"/>
      <c r="GJ154" s="160"/>
      <c r="GK154" s="160"/>
      <c r="GL154" s="160"/>
      <c r="GM154" s="160"/>
      <c r="GN154" s="160"/>
      <c r="GO154" s="160"/>
      <c r="GP154" s="160"/>
      <c r="GQ154" s="160"/>
      <c r="GR154" s="160"/>
      <c r="GS154" s="160"/>
      <c r="GT154" s="160"/>
      <c r="GU154" s="160"/>
      <c r="GV154" s="160"/>
      <c r="GW154" s="160"/>
      <c r="GX154" s="160"/>
      <c r="GY154" s="160"/>
      <c r="GZ154" s="160"/>
      <c r="HA154" s="160"/>
      <c r="HB154" s="160"/>
      <c r="HC154" s="160"/>
      <c r="HD154" s="160"/>
      <c r="HE154" s="160"/>
      <c r="HF154" s="160"/>
      <c r="HG154" s="160"/>
      <c r="HH154" s="160"/>
      <c r="HI154" s="160"/>
      <c r="HJ154" s="160"/>
      <c r="HK154" s="160"/>
      <c r="HL154" s="160"/>
      <c r="HM154" s="160"/>
      <c r="HN154" s="160"/>
      <c r="HO154" s="160"/>
      <c r="HP154" s="160"/>
      <c r="HQ154" s="160"/>
      <c r="HR154" s="160"/>
      <c r="HS154" s="160"/>
      <c r="HT154" s="160"/>
      <c r="HU154" s="160"/>
      <c r="HV154" s="160"/>
      <c r="HW154" s="160"/>
      <c r="HX154" s="160"/>
      <c r="HY154" s="160"/>
      <c r="HZ154" s="160"/>
      <c r="IA154" s="160"/>
      <c r="IB154" s="160"/>
      <c r="IC154" s="160"/>
      <c r="ID154" s="160"/>
      <c r="IE154" s="160"/>
      <c r="IF154" s="160"/>
      <c r="IG154" s="160"/>
      <c r="IH154" s="160"/>
      <c r="II154" s="160"/>
      <c r="IJ154" s="160"/>
      <c r="IK154" s="160"/>
      <c r="IL154" s="160"/>
      <c r="IM154" s="160"/>
      <c r="IN154" s="160"/>
      <c r="IO154" s="160"/>
      <c r="IP154" s="160"/>
      <c r="IQ154" s="160"/>
      <c r="IR154" s="160"/>
    </row>
    <row r="155" spans="1:252" s="8" customFormat="1" ht="13.5" customHeight="1" x14ac:dyDescent="0.25">
      <c r="A155" s="213" t="s">
        <v>301</v>
      </c>
      <c r="B155" s="22" t="s">
        <v>702</v>
      </c>
      <c r="C155" s="190"/>
      <c r="D155" s="60"/>
      <c r="E155" s="60"/>
      <c r="F155" s="60"/>
      <c r="G155" s="200" t="str">
        <f t="shared" si="9"/>
        <v/>
      </c>
      <c r="H155" s="192"/>
      <c r="I155" s="60"/>
      <c r="J155" s="60"/>
      <c r="K155" s="60"/>
      <c r="L155" s="200" t="str">
        <f t="shared" si="10"/>
        <v/>
      </c>
      <c r="M155" s="192"/>
      <c r="N155" s="60"/>
      <c r="O155" s="60"/>
      <c r="P155" s="60"/>
      <c r="Q155" s="200" t="str">
        <f t="shared" si="11"/>
        <v/>
      </c>
      <c r="R155" s="192"/>
      <c r="S155" s="60"/>
      <c r="T155" s="205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160"/>
      <c r="BN155" s="160"/>
      <c r="BO155" s="160"/>
      <c r="BP155" s="160"/>
      <c r="BQ155" s="160"/>
      <c r="BR155" s="160"/>
      <c r="BS155" s="160"/>
      <c r="BT155" s="160"/>
      <c r="BU155" s="160"/>
      <c r="BV155" s="160"/>
      <c r="BW155" s="160"/>
      <c r="BX155" s="160"/>
      <c r="BY155" s="160"/>
      <c r="BZ155" s="160"/>
      <c r="CA155" s="160"/>
      <c r="CB155" s="160"/>
      <c r="CC155" s="160"/>
      <c r="CD155" s="160"/>
      <c r="CE155" s="160"/>
      <c r="CF155" s="160"/>
      <c r="CG155" s="160"/>
      <c r="CH155" s="160"/>
      <c r="CI155" s="160"/>
      <c r="CJ155" s="160"/>
      <c r="CK155" s="160"/>
      <c r="CL155" s="160"/>
      <c r="CM155" s="160"/>
      <c r="CN155" s="160"/>
      <c r="CO155" s="160"/>
      <c r="CP155" s="160"/>
      <c r="CQ155" s="160"/>
      <c r="CR155" s="160"/>
      <c r="CS155" s="160"/>
      <c r="CT155" s="160"/>
      <c r="CU155" s="160"/>
      <c r="CV155" s="160"/>
      <c r="CW155" s="160"/>
      <c r="CX155" s="160"/>
      <c r="CY155" s="160"/>
      <c r="CZ155" s="160"/>
      <c r="DA155" s="160"/>
      <c r="DB155" s="160"/>
      <c r="DC155" s="160"/>
      <c r="DD155" s="160"/>
      <c r="DE155" s="160"/>
      <c r="DF155" s="160"/>
      <c r="DG155" s="160"/>
      <c r="DH155" s="160"/>
      <c r="DI155" s="160"/>
      <c r="DJ155" s="160"/>
      <c r="DK155" s="160"/>
      <c r="DL155" s="160"/>
      <c r="DM155" s="160"/>
      <c r="DN155" s="160"/>
      <c r="DO155" s="160"/>
      <c r="DP155" s="160"/>
      <c r="DQ155" s="160"/>
      <c r="DR155" s="160"/>
      <c r="DS155" s="160"/>
      <c r="DT155" s="160"/>
      <c r="DU155" s="160"/>
      <c r="DV155" s="160"/>
      <c r="DW155" s="160"/>
      <c r="DX155" s="160"/>
      <c r="DY155" s="160"/>
      <c r="DZ155" s="160"/>
      <c r="EA155" s="160"/>
      <c r="EB155" s="160"/>
      <c r="EC155" s="160"/>
      <c r="ED155" s="160"/>
      <c r="EE155" s="160"/>
      <c r="EF155" s="160"/>
      <c r="EG155" s="160"/>
      <c r="EH155" s="160"/>
      <c r="EI155" s="160"/>
      <c r="EJ155" s="160"/>
      <c r="EK155" s="160"/>
      <c r="EL155" s="160"/>
      <c r="EM155" s="160"/>
      <c r="EN155" s="160"/>
      <c r="EO155" s="160"/>
      <c r="EP155" s="160"/>
      <c r="EQ155" s="160"/>
      <c r="ER155" s="160"/>
      <c r="ES155" s="160"/>
      <c r="ET155" s="160"/>
      <c r="EU155" s="160"/>
      <c r="EV155" s="160"/>
      <c r="EW155" s="160"/>
      <c r="EX155" s="160"/>
      <c r="EY155" s="160"/>
      <c r="EZ155" s="160"/>
      <c r="FA155" s="160"/>
      <c r="FB155" s="160"/>
      <c r="FC155" s="160"/>
      <c r="FD155" s="160"/>
      <c r="FE155" s="160"/>
      <c r="FF155" s="160"/>
      <c r="FG155" s="160"/>
      <c r="FH155" s="160"/>
      <c r="FI155" s="160"/>
      <c r="FJ155" s="160"/>
      <c r="FK155" s="160"/>
      <c r="FL155" s="160"/>
      <c r="FM155" s="160"/>
      <c r="FN155" s="160"/>
      <c r="FO155" s="160"/>
      <c r="FP155" s="160"/>
      <c r="FQ155" s="160"/>
      <c r="FR155" s="160"/>
      <c r="FS155" s="160"/>
      <c r="FT155" s="160"/>
      <c r="FU155" s="160"/>
      <c r="FV155" s="160"/>
      <c r="FW155" s="160"/>
      <c r="FX155" s="160"/>
      <c r="FY155" s="160"/>
      <c r="FZ155" s="160"/>
      <c r="GA155" s="160"/>
      <c r="GB155" s="160"/>
      <c r="GC155" s="160"/>
      <c r="GD155" s="160"/>
      <c r="GE155" s="160"/>
      <c r="GF155" s="160"/>
      <c r="GG155" s="160"/>
      <c r="GH155" s="160"/>
      <c r="GI155" s="160"/>
      <c r="GJ155" s="160"/>
      <c r="GK155" s="160"/>
      <c r="GL155" s="160"/>
      <c r="GM155" s="160"/>
      <c r="GN155" s="160"/>
      <c r="GO155" s="160"/>
      <c r="GP155" s="160"/>
      <c r="GQ155" s="160"/>
      <c r="GR155" s="160"/>
      <c r="GS155" s="160"/>
      <c r="GT155" s="160"/>
      <c r="GU155" s="160"/>
      <c r="GV155" s="160"/>
      <c r="GW155" s="160"/>
      <c r="GX155" s="160"/>
      <c r="GY155" s="160"/>
      <c r="GZ155" s="160"/>
      <c r="HA155" s="160"/>
      <c r="HB155" s="160"/>
      <c r="HC155" s="160"/>
      <c r="HD155" s="160"/>
      <c r="HE155" s="160"/>
      <c r="HF155" s="160"/>
      <c r="HG155" s="160"/>
      <c r="HH155" s="160"/>
      <c r="HI155" s="160"/>
      <c r="HJ155" s="160"/>
      <c r="HK155" s="160"/>
      <c r="HL155" s="160"/>
      <c r="HM155" s="160"/>
      <c r="HN155" s="160"/>
      <c r="HO155" s="160"/>
      <c r="HP155" s="160"/>
      <c r="HQ155" s="160"/>
      <c r="HR155" s="160"/>
      <c r="HS155" s="160"/>
      <c r="HT155" s="160"/>
      <c r="HU155" s="160"/>
      <c r="HV155" s="160"/>
      <c r="HW155" s="160"/>
      <c r="HX155" s="160"/>
      <c r="HY155" s="160"/>
      <c r="HZ155" s="160"/>
      <c r="IA155" s="160"/>
      <c r="IB155" s="160"/>
      <c r="IC155" s="160"/>
      <c r="ID155" s="160"/>
      <c r="IE155" s="160"/>
      <c r="IF155" s="160"/>
      <c r="IG155" s="160"/>
      <c r="IH155" s="160"/>
      <c r="II155" s="160"/>
      <c r="IJ155" s="160"/>
      <c r="IK155" s="160"/>
      <c r="IL155" s="160"/>
      <c r="IM155" s="160"/>
      <c r="IN155" s="160"/>
      <c r="IO155" s="160"/>
      <c r="IP155" s="160"/>
      <c r="IQ155" s="160"/>
      <c r="IR155" s="160"/>
    </row>
    <row r="156" spans="1:252" s="8" customFormat="1" ht="13.5" customHeight="1" x14ac:dyDescent="0.25">
      <c r="A156" s="213" t="s">
        <v>301</v>
      </c>
      <c r="B156" s="22" t="s">
        <v>259</v>
      </c>
      <c r="C156" s="190"/>
      <c r="D156" s="191"/>
      <c r="E156" s="191"/>
      <c r="F156" s="191"/>
      <c r="G156" s="200" t="str">
        <f t="shared" si="9"/>
        <v/>
      </c>
      <c r="H156" s="190" t="s">
        <v>310</v>
      </c>
      <c r="I156" s="191">
        <v>1</v>
      </c>
      <c r="J156" s="191"/>
      <c r="K156" s="191"/>
      <c r="L156" s="200" t="str">
        <f t="shared" si="10"/>
        <v/>
      </c>
      <c r="M156" s="190"/>
      <c r="N156" s="191"/>
      <c r="O156" s="191"/>
      <c r="P156" s="191"/>
      <c r="Q156" s="200" t="str">
        <f t="shared" si="11"/>
        <v/>
      </c>
      <c r="R156" s="190"/>
      <c r="S156" s="191"/>
      <c r="T156" s="20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  <c r="BI156" s="160"/>
      <c r="BJ156" s="160"/>
      <c r="BK156" s="160"/>
      <c r="BL156" s="160"/>
      <c r="BM156" s="160"/>
      <c r="BN156" s="160"/>
      <c r="BO156" s="160"/>
      <c r="BP156" s="160"/>
      <c r="BQ156" s="160"/>
      <c r="BR156" s="160"/>
      <c r="BS156" s="160"/>
      <c r="BT156" s="160"/>
      <c r="BU156" s="160"/>
      <c r="BV156" s="160"/>
      <c r="BW156" s="160"/>
      <c r="BX156" s="160"/>
      <c r="BY156" s="160"/>
      <c r="BZ156" s="160"/>
      <c r="CA156" s="160"/>
      <c r="CB156" s="160"/>
      <c r="CC156" s="160"/>
      <c r="CD156" s="160"/>
      <c r="CE156" s="160"/>
      <c r="CF156" s="160"/>
      <c r="CG156" s="160"/>
      <c r="CH156" s="160"/>
      <c r="CI156" s="160"/>
      <c r="CJ156" s="160"/>
      <c r="CK156" s="160"/>
      <c r="CL156" s="160"/>
      <c r="CM156" s="160"/>
      <c r="CN156" s="160"/>
      <c r="CO156" s="160"/>
      <c r="CP156" s="160"/>
      <c r="CQ156" s="160"/>
      <c r="CR156" s="160"/>
      <c r="CS156" s="160"/>
      <c r="CT156" s="160"/>
      <c r="CU156" s="160"/>
      <c r="CV156" s="160"/>
      <c r="CW156" s="160"/>
      <c r="CX156" s="160"/>
      <c r="CY156" s="160"/>
      <c r="CZ156" s="160"/>
      <c r="DA156" s="160"/>
      <c r="DB156" s="160"/>
      <c r="DC156" s="160"/>
      <c r="DD156" s="160"/>
      <c r="DE156" s="160"/>
      <c r="DF156" s="160"/>
      <c r="DG156" s="160"/>
      <c r="DH156" s="160"/>
      <c r="DI156" s="160"/>
      <c r="DJ156" s="160"/>
      <c r="DK156" s="160"/>
      <c r="DL156" s="160"/>
      <c r="DM156" s="160"/>
      <c r="DN156" s="160"/>
      <c r="DO156" s="160"/>
      <c r="DP156" s="160"/>
      <c r="DQ156" s="160"/>
      <c r="DR156" s="160"/>
      <c r="DS156" s="160"/>
      <c r="DT156" s="160"/>
      <c r="DU156" s="160"/>
      <c r="DV156" s="160"/>
      <c r="DW156" s="160"/>
      <c r="DX156" s="160"/>
      <c r="DY156" s="160"/>
      <c r="DZ156" s="160"/>
      <c r="EA156" s="160"/>
      <c r="EB156" s="160"/>
      <c r="EC156" s="160"/>
      <c r="ED156" s="160"/>
      <c r="EE156" s="160"/>
      <c r="EF156" s="160"/>
      <c r="EG156" s="160"/>
      <c r="EH156" s="160"/>
      <c r="EI156" s="160"/>
      <c r="EJ156" s="160"/>
      <c r="EK156" s="160"/>
      <c r="EL156" s="160"/>
      <c r="EM156" s="160"/>
      <c r="EN156" s="160"/>
      <c r="EO156" s="160"/>
      <c r="EP156" s="160"/>
      <c r="EQ156" s="160"/>
      <c r="ER156" s="160"/>
      <c r="ES156" s="160"/>
      <c r="ET156" s="160"/>
      <c r="EU156" s="160"/>
      <c r="EV156" s="160"/>
      <c r="EW156" s="160"/>
      <c r="EX156" s="160"/>
      <c r="EY156" s="160"/>
      <c r="EZ156" s="160"/>
      <c r="FA156" s="160"/>
      <c r="FB156" s="160"/>
      <c r="FC156" s="160"/>
      <c r="FD156" s="160"/>
      <c r="FE156" s="160"/>
      <c r="FF156" s="160"/>
      <c r="FG156" s="160"/>
      <c r="FH156" s="160"/>
      <c r="FI156" s="160"/>
      <c r="FJ156" s="160"/>
      <c r="FK156" s="160"/>
      <c r="FL156" s="160"/>
      <c r="FM156" s="160"/>
      <c r="FN156" s="160"/>
      <c r="FO156" s="160"/>
      <c r="FP156" s="160"/>
      <c r="FQ156" s="160"/>
      <c r="FR156" s="160"/>
      <c r="FS156" s="160"/>
      <c r="FT156" s="160"/>
      <c r="FU156" s="160"/>
      <c r="FV156" s="160"/>
      <c r="FW156" s="160"/>
      <c r="FX156" s="160"/>
      <c r="FY156" s="160"/>
      <c r="FZ156" s="160"/>
      <c r="GA156" s="160"/>
      <c r="GB156" s="160"/>
      <c r="GC156" s="160"/>
      <c r="GD156" s="160"/>
      <c r="GE156" s="160"/>
      <c r="GF156" s="160"/>
      <c r="GG156" s="160"/>
      <c r="GH156" s="160"/>
      <c r="GI156" s="160"/>
      <c r="GJ156" s="160"/>
      <c r="GK156" s="160"/>
      <c r="GL156" s="160"/>
      <c r="GM156" s="160"/>
      <c r="GN156" s="160"/>
      <c r="GO156" s="160"/>
      <c r="GP156" s="160"/>
      <c r="GQ156" s="160"/>
      <c r="GR156" s="160"/>
      <c r="GS156" s="160"/>
      <c r="GT156" s="160"/>
      <c r="GU156" s="160"/>
      <c r="GV156" s="160"/>
      <c r="GW156" s="160"/>
      <c r="GX156" s="160"/>
      <c r="GY156" s="160"/>
      <c r="GZ156" s="160"/>
      <c r="HA156" s="160"/>
      <c r="HB156" s="160"/>
      <c r="HC156" s="160"/>
      <c r="HD156" s="160"/>
      <c r="HE156" s="160"/>
      <c r="HF156" s="160"/>
      <c r="HG156" s="160"/>
      <c r="HH156" s="160"/>
      <c r="HI156" s="160"/>
      <c r="HJ156" s="160"/>
      <c r="HK156" s="160"/>
      <c r="HL156" s="160"/>
      <c r="HM156" s="160"/>
      <c r="HN156" s="160"/>
      <c r="HO156" s="160"/>
      <c r="HP156" s="160"/>
      <c r="HQ156" s="160"/>
      <c r="HR156" s="160"/>
      <c r="HS156" s="160"/>
      <c r="HT156" s="160"/>
      <c r="HU156" s="160"/>
      <c r="HV156" s="160"/>
      <c r="HW156" s="160"/>
      <c r="HX156" s="160"/>
      <c r="HY156" s="160"/>
      <c r="HZ156" s="160"/>
      <c r="IA156" s="160"/>
      <c r="IB156" s="160"/>
      <c r="IC156" s="160"/>
      <c r="ID156" s="160"/>
      <c r="IE156" s="160"/>
      <c r="IF156" s="160"/>
      <c r="IG156" s="160"/>
      <c r="IH156" s="160"/>
      <c r="II156" s="160"/>
      <c r="IJ156" s="160"/>
      <c r="IK156" s="160"/>
      <c r="IL156" s="160"/>
      <c r="IM156" s="160"/>
      <c r="IN156" s="160"/>
      <c r="IO156" s="160"/>
      <c r="IP156" s="160"/>
      <c r="IQ156" s="160"/>
      <c r="IR156" s="160"/>
    </row>
    <row r="157" spans="1:252" s="8" customFormat="1" ht="13.5" customHeight="1" x14ac:dyDescent="0.25">
      <c r="A157" s="213" t="s">
        <v>301</v>
      </c>
      <c r="B157" s="22" t="s">
        <v>704</v>
      </c>
      <c r="C157" s="190"/>
      <c r="D157" s="60"/>
      <c r="E157" s="60"/>
      <c r="F157" s="60"/>
      <c r="G157" s="200" t="str">
        <f t="shared" si="9"/>
        <v/>
      </c>
      <c r="H157" s="192"/>
      <c r="I157" s="60"/>
      <c r="J157" s="60"/>
      <c r="K157" s="60"/>
      <c r="L157" s="200" t="str">
        <f t="shared" si="10"/>
        <v/>
      </c>
      <c r="M157" s="192"/>
      <c r="N157" s="60"/>
      <c r="O157" s="60"/>
      <c r="P157" s="60"/>
      <c r="Q157" s="200" t="str">
        <f t="shared" si="11"/>
        <v/>
      </c>
      <c r="R157" s="192"/>
      <c r="S157" s="60"/>
      <c r="T157" s="205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  <c r="BL157" s="160"/>
      <c r="BM157" s="160"/>
      <c r="BN157" s="160"/>
      <c r="BO157" s="160"/>
      <c r="BP157" s="160"/>
      <c r="BQ157" s="160"/>
      <c r="BR157" s="160"/>
      <c r="BS157" s="160"/>
      <c r="BT157" s="160"/>
      <c r="BU157" s="160"/>
      <c r="BV157" s="160"/>
      <c r="BW157" s="160"/>
      <c r="BX157" s="160"/>
      <c r="BY157" s="160"/>
      <c r="BZ157" s="160"/>
      <c r="CA157" s="160"/>
      <c r="CB157" s="160"/>
      <c r="CC157" s="160"/>
      <c r="CD157" s="160"/>
      <c r="CE157" s="160"/>
      <c r="CF157" s="160"/>
      <c r="CG157" s="160"/>
      <c r="CH157" s="160"/>
      <c r="CI157" s="160"/>
      <c r="CJ157" s="160"/>
      <c r="CK157" s="160"/>
      <c r="CL157" s="160"/>
      <c r="CM157" s="160"/>
      <c r="CN157" s="160"/>
      <c r="CO157" s="160"/>
      <c r="CP157" s="160"/>
      <c r="CQ157" s="160"/>
      <c r="CR157" s="160"/>
      <c r="CS157" s="160"/>
      <c r="CT157" s="160"/>
      <c r="CU157" s="160"/>
      <c r="CV157" s="160"/>
      <c r="CW157" s="160"/>
      <c r="CX157" s="160"/>
      <c r="CY157" s="160"/>
      <c r="CZ157" s="160"/>
      <c r="DA157" s="160"/>
      <c r="DB157" s="160"/>
      <c r="DC157" s="160"/>
      <c r="DD157" s="160"/>
      <c r="DE157" s="160"/>
      <c r="DF157" s="160"/>
      <c r="DG157" s="160"/>
      <c r="DH157" s="160"/>
      <c r="DI157" s="160"/>
      <c r="DJ157" s="160"/>
      <c r="DK157" s="160"/>
      <c r="DL157" s="160"/>
      <c r="DM157" s="160"/>
      <c r="DN157" s="160"/>
      <c r="DO157" s="160"/>
      <c r="DP157" s="160"/>
      <c r="DQ157" s="160"/>
      <c r="DR157" s="160"/>
      <c r="DS157" s="160"/>
      <c r="DT157" s="160"/>
      <c r="DU157" s="160"/>
      <c r="DV157" s="160"/>
      <c r="DW157" s="160"/>
      <c r="DX157" s="160"/>
      <c r="DY157" s="160"/>
      <c r="DZ157" s="160"/>
      <c r="EA157" s="160"/>
      <c r="EB157" s="160"/>
      <c r="EC157" s="160"/>
      <c r="ED157" s="160"/>
      <c r="EE157" s="160"/>
      <c r="EF157" s="160"/>
      <c r="EG157" s="160"/>
      <c r="EH157" s="160"/>
      <c r="EI157" s="160"/>
      <c r="EJ157" s="160"/>
      <c r="EK157" s="160"/>
      <c r="EL157" s="160"/>
      <c r="EM157" s="160"/>
      <c r="EN157" s="160"/>
      <c r="EO157" s="160"/>
      <c r="EP157" s="160"/>
      <c r="EQ157" s="160"/>
      <c r="ER157" s="160"/>
      <c r="ES157" s="160"/>
      <c r="ET157" s="160"/>
      <c r="EU157" s="160"/>
      <c r="EV157" s="160"/>
      <c r="EW157" s="160"/>
      <c r="EX157" s="160"/>
      <c r="EY157" s="160"/>
      <c r="EZ157" s="160"/>
      <c r="FA157" s="160"/>
      <c r="FB157" s="160"/>
      <c r="FC157" s="160"/>
      <c r="FD157" s="160"/>
      <c r="FE157" s="160"/>
      <c r="FF157" s="160"/>
      <c r="FG157" s="160"/>
      <c r="FH157" s="160"/>
      <c r="FI157" s="160"/>
      <c r="FJ157" s="160"/>
      <c r="FK157" s="160"/>
      <c r="FL157" s="160"/>
      <c r="FM157" s="160"/>
      <c r="FN157" s="160"/>
      <c r="FO157" s="160"/>
      <c r="FP157" s="160"/>
      <c r="FQ157" s="160"/>
      <c r="FR157" s="160"/>
      <c r="FS157" s="160"/>
      <c r="FT157" s="160"/>
      <c r="FU157" s="160"/>
      <c r="FV157" s="160"/>
      <c r="FW157" s="160"/>
      <c r="FX157" s="160"/>
      <c r="FY157" s="160"/>
      <c r="FZ157" s="160"/>
      <c r="GA157" s="160"/>
      <c r="GB157" s="160"/>
      <c r="GC157" s="160"/>
      <c r="GD157" s="160"/>
      <c r="GE157" s="160"/>
      <c r="GF157" s="160"/>
      <c r="GG157" s="160"/>
      <c r="GH157" s="160"/>
      <c r="GI157" s="160"/>
      <c r="GJ157" s="160"/>
      <c r="GK157" s="160"/>
      <c r="GL157" s="160"/>
      <c r="GM157" s="160"/>
      <c r="GN157" s="160"/>
      <c r="GO157" s="160"/>
      <c r="GP157" s="160"/>
      <c r="GQ157" s="160"/>
      <c r="GR157" s="160"/>
      <c r="GS157" s="160"/>
      <c r="GT157" s="160"/>
      <c r="GU157" s="160"/>
      <c r="GV157" s="160"/>
      <c r="GW157" s="160"/>
      <c r="GX157" s="160"/>
      <c r="GY157" s="160"/>
      <c r="GZ157" s="160"/>
      <c r="HA157" s="160"/>
      <c r="HB157" s="160"/>
      <c r="HC157" s="160"/>
      <c r="HD157" s="160"/>
      <c r="HE157" s="160"/>
      <c r="HF157" s="160"/>
      <c r="HG157" s="160"/>
      <c r="HH157" s="160"/>
      <c r="HI157" s="160"/>
      <c r="HJ157" s="160"/>
      <c r="HK157" s="160"/>
      <c r="HL157" s="160"/>
      <c r="HM157" s="160"/>
      <c r="HN157" s="160"/>
      <c r="HO157" s="160"/>
      <c r="HP157" s="160"/>
      <c r="HQ157" s="160"/>
      <c r="HR157" s="160"/>
      <c r="HS157" s="160"/>
      <c r="HT157" s="160"/>
      <c r="HU157" s="160"/>
      <c r="HV157" s="160"/>
      <c r="HW157" s="160"/>
      <c r="HX157" s="160"/>
      <c r="HY157" s="160"/>
      <c r="HZ157" s="160"/>
      <c r="IA157" s="160"/>
      <c r="IB157" s="160"/>
      <c r="IC157" s="160"/>
      <c r="ID157" s="160"/>
      <c r="IE157" s="160"/>
      <c r="IF157" s="160"/>
      <c r="IG157" s="160"/>
      <c r="IH157" s="160"/>
      <c r="II157" s="160"/>
      <c r="IJ157" s="160"/>
      <c r="IK157" s="160"/>
      <c r="IL157" s="160"/>
      <c r="IM157" s="160"/>
      <c r="IN157" s="160"/>
      <c r="IO157" s="160"/>
      <c r="IP157" s="160"/>
      <c r="IQ157" s="160"/>
      <c r="IR157" s="160"/>
    </row>
    <row r="158" spans="1:252" s="8" customFormat="1" ht="13.5" customHeight="1" x14ac:dyDescent="0.25">
      <c r="A158" s="214" t="s">
        <v>301</v>
      </c>
      <c r="B158" s="22" t="s">
        <v>706</v>
      </c>
      <c r="C158" s="190"/>
      <c r="D158" s="60"/>
      <c r="E158" s="60"/>
      <c r="F158" s="60"/>
      <c r="G158" s="200" t="str">
        <f t="shared" si="9"/>
        <v/>
      </c>
      <c r="H158" s="192"/>
      <c r="I158" s="60"/>
      <c r="J158" s="60"/>
      <c r="K158" s="60"/>
      <c r="L158" s="200" t="str">
        <f t="shared" si="10"/>
        <v/>
      </c>
      <c r="M158" s="192"/>
      <c r="N158" s="60"/>
      <c r="O158" s="60"/>
      <c r="P158" s="60"/>
      <c r="Q158" s="200" t="str">
        <f t="shared" si="11"/>
        <v/>
      </c>
      <c r="R158" s="192"/>
      <c r="S158" s="60"/>
      <c r="T158" s="205"/>
    </row>
    <row r="159" spans="1:252" s="8" customFormat="1" ht="13.5" customHeight="1" x14ac:dyDescent="0.25">
      <c r="A159" s="214" t="s">
        <v>301</v>
      </c>
      <c r="B159" s="22" t="s">
        <v>1784</v>
      </c>
      <c r="C159" s="190" t="s">
        <v>310</v>
      </c>
      <c r="D159" s="60">
        <v>2</v>
      </c>
      <c r="E159" s="60">
        <v>1</v>
      </c>
      <c r="F159" s="60"/>
      <c r="G159" s="200" t="str">
        <f t="shared" si="9"/>
        <v/>
      </c>
      <c r="H159" s="192"/>
      <c r="I159" s="60"/>
      <c r="J159" s="60"/>
      <c r="K159" s="60"/>
      <c r="L159" s="200"/>
      <c r="M159" s="192"/>
      <c r="N159" s="60"/>
      <c r="O159" s="60"/>
      <c r="P159" s="60"/>
      <c r="Q159" s="200"/>
      <c r="R159" s="192"/>
      <c r="S159" s="60"/>
      <c r="T159" s="205"/>
    </row>
    <row r="160" spans="1:252" s="8" customFormat="1" ht="13.5" customHeight="1" x14ac:dyDescent="0.25">
      <c r="A160" s="214" t="s">
        <v>301</v>
      </c>
      <c r="B160" s="7" t="s">
        <v>708</v>
      </c>
      <c r="C160" s="190"/>
      <c r="D160" s="60"/>
      <c r="E160" s="60"/>
      <c r="F160" s="60"/>
      <c r="G160" s="200" t="str">
        <f t="shared" si="9"/>
        <v/>
      </c>
      <c r="H160" s="192"/>
      <c r="I160" s="60"/>
      <c r="J160" s="60"/>
      <c r="K160" s="60"/>
      <c r="L160" s="200" t="str">
        <f t="shared" si="10"/>
        <v/>
      </c>
      <c r="M160" s="192"/>
      <c r="N160" s="60"/>
      <c r="O160" s="60"/>
      <c r="P160" s="60"/>
      <c r="Q160" s="200" t="str">
        <f t="shared" si="11"/>
        <v/>
      </c>
      <c r="R160" s="192"/>
      <c r="S160" s="60"/>
      <c r="T160" s="205"/>
    </row>
    <row r="161" spans="1:20" s="8" customFormat="1" ht="13.5" customHeight="1" x14ac:dyDescent="0.25">
      <c r="A161" s="214" t="s">
        <v>301</v>
      </c>
      <c r="B161" s="22" t="s">
        <v>710</v>
      </c>
      <c r="C161" s="190"/>
      <c r="D161" s="60"/>
      <c r="E161" s="60"/>
      <c r="F161" s="60"/>
      <c r="G161" s="200" t="str">
        <f t="shared" si="9"/>
        <v/>
      </c>
      <c r="H161" s="192"/>
      <c r="I161" s="60"/>
      <c r="J161" s="60"/>
      <c r="K161" s="60"/>
      <c r="L161" s="200" t="str">
        <f t="shared" si="10"/>
        <v/>
      </c>
      <c r="M161" s="192"/>
      <c r="N161" s="60"/>
      <c r="O161" s="60"/>
      <c r="P161" s="60"/>
      <c r="Q161" s="200" t="str">
        <f t="shared" si="11"/>
        <v/>
      </c>
      <c r="R161" s="192"/>
      <c r="S161" s="60"/>
      <c r="T161" s="205"/>
    </row>
    <row r="162" spans="1:20" s="8" customFormat="1" ht="13.5" customHeight="1" x14ac:dyDescent="0.25">
      <c r="A162" s="214" t="s">
        <v>301</v>
      </c>
      <c r="B162" s="7" t="s">
        <v>712</v>
      </c>
      <c r="C162" s="190"/>
      <c r="D162" s="60"/>
      <c r="E162" s="60"/>
      <c r="F162" s="60"/>
      <c r="G162" s="200" t="str">
        <f t="shared" si="9"/>
        <v/>
      </c>
      <c r="H162" s="192"/>
      <c r="I162" s="60"/>
      <c r="J162" s="60"/>
      <c r="K162" s="60"/>
      <c r="L162" s="200" t="str">
        <f t="shared" si="10"/>
        <v/>
      </c>
      <c r="M162" s="192"/>
      <c r="N162" s="60"/>
      <c r="O162" s="60"/>
      <c r="P162" s="60"/>
      <c r="Q162" s="200" t="str">
        <f t="shared" si="11"/>
        <v/>
      </c>
      <c r="R162" s="192"/>
      <c r="S162" s="60"/>
      <c r="T162" s="205"/>
    </row>
    <row r="163" spans="1:20" s="8" customFormat="1" ht="13.5" customHeight="1" x14ac:dyDescent="0.25">
      <c r="A163" s="214" t="s">
        <v>301</v>
      </c>
      <c r="B163" s="7" t="s">
        <v>714</v>
      </c>
      <c r="C163" s="190"/>
      <c r="D163" s="60"/>
      <c r="E163" s="60"/>
      <c r="F163" s="60"/>
      <c r="G163" s="200" t="str">
        <f t="shared" si="9"/>
        <v/>
      </c>
      <c r="H163" s="192"/>
      <c r="I163" s="60"/>
      <c r="J163" s="60"/>
      <c r="K163" s="60"/>
      <c r="L163" s="200" t="str">
        <f t="shared" si="10"/>
        <v/>
      </c>
      <c r="M163" s="192"/>
      <c r="N163" s="60"/>
      <c r="O163" s="60"/>
      <c r="P163" s="60"/>
      <c r="Q163" s="200" t="str">
        <f t="shared" si="11"/>
        <v/>
      </c>
      <c r="R163" s="192"/>
      <c r="S163" s="60"/>
      <c r="T163" s="205"/>
    </row>
    <row r="164" spans="1:20" s="8" customFormat="1" ht="13.5" customHeight="1" x14ac:dyDescent="0.25">
      <c r="A164" s="214" t="s">
        <v>301</v>
      </c>
      <c r="B164" s="7" t="s">
        <v>716</v>
      </c>
      <c r="C164" s="190"/>
      <c r="D164" s="60"/>
      <c r="E164" s="60"/>
      <c r="F164" s="60"/>
      <c r="G164" s="200" t="str">
        <f t="shared" si="9"/>
        <v/>
      </c>
      <c r="H164" s="192"/>
      <c r="I164" s="60"/>
      <c r="J164" s="60"/>
      <c r="K164" s="60"/>
      <c r="L164" s="200" t="str">
        <f t="shared" si="10"/>
        <v/>
      </c>
      <c r="M164" s="192" t="s">
        <v>310</v>
      </c>
      <c r="N164" s="60">
        <v>2</v>
      </c>
      <c r="O164" s="60"/>
      <c r="P164" s="60"/>
      <c r="Q164" s="200" t="str">
        <f t="shared" si="11"/>
        <v/>
      </c>
      <c r="R164" s="192"/>
      <c r="S164" s="60"/>
      <c r="T164" s="205"/>
    </row>
    <row r="165" spans="1:20" s="8" customFormat="1" ht="13.5" customHeight="1" x14ac:dyDescent="0.25">
      <c r="A165" s="214" t="s">
        <v>301</v>
      </c>
      <c r="B165" s="7" t="s">
        <v>717</v>
      </c>
      <c r="C165" s="190" t="s">
        <v>310</v>
      </c>
      <c r="D165" s="60">
        <v>1</v>
      </c>
      <c r="E165" s="60"/>
      <c r="F165" s="60"/>
      <c r="G165" s="200" t="str">
        <f t="shared" si="9"/>
        <v/>
      </c>
      <c r="H165" s="192" t="s">
        <v>310</v>
      </c>
      <c r="I165" s="60">
        <v>1</v>
      </c>
      <c r="J165" s="60"/>
      <c r="K165" s="60"/>
      <c r="L165" s="200" t="str">
        <f t="shared" si="10"/>
        <v/>
      </c>
      <c r="M165" s="192"/>
      <c r="N165" s="60"/>
      <c r="O165" s="60"/>
      <c r="P165" s="60"/>
      <c r="Q165" s="200" t="str">
        <f t="shared" si="11"/>
        <v/>
      </c>
      <c r="R165" s="192"/>
      <c r="S165" s="60"/>
      <c r="T165" s="205"/>
    </row>
    <row r="166" spans="1:20" s="8" customFormat="1" ht="13.5" customHeight="1" x14ac:dyDescent="0.25">
      <c r="A166" s="214" t="s">
        <v>301</v>
      </c>
      <c r="B166" s="7" t="s">
        <v>719</v>
      </c>
      <c r="C166" s="190"/>
      <c r="D166" s="60"/>
      <c r="E166" s="60"/>
      <c r="F166" s="60"/>
      <c r="G166" s="200" t="str">
        <f t="shared" si="9"/>
        <v/>
      </c>
      <c r="H166" s="192"/>
      <c r="I166" s="60"/>
      <c r="J166" s="60"/>
      <c r="K166" s="60"/>
      <c r="L166" s="200" t="str">
        <f t="shared" si="10"/>
        <v/>
      </c>
      <c r="M166" s="192"/>
      <c r="N166" s="60"/>
      <c r="O166" s="60"/>
      <c r="P166" s="60"/>
      <c r="Q166" s="200" t="str">
        <f t="shared" si="11"/>
        <v/>
      </c>
      <c r="R166" s="192"/>
      <c r="S166" s="60"/>
      <c r="T166" s="205"/>
    </row>
    <row r="167" spans="1:20" s="8" customFormat="1" ht="13.5" customHeight="1" x14ac:dyDescent="0.25">
      <c r="A167" s="214" t="s">
        <v>301</v>
      </c>
      <c r="B167" s="7" t="s">
        <v>207</v>
      </c>
      <c r="C167" s="190" t="s">
        <v>310</v>
      </c>
      <c r="D167" s="191">
        <v>2</v>
      </c>
      <c r="E167" s="191"/>
      <c r="F167" s="191"/>
      <c r="G167" s="200" t="str">
        <f t="shared" si="9"/>
        <v/>
      </c>
      <c r="H167" s="190"/>
      <c r="I167" s="191"/>
      <c r="J167" s="191"/>
      <c r="K167" s="191"/>
      <c r="L167" s="200" t="str">
        <f t="shared" si="10"/>
        <v/>
      </c>
      <c r="M167" s="190"/>
      <c r="N167" s="191"/>
      <c r="O167" s="191"/>
      <c r="P167" s="191"/>
      <c r="Q167" s="200" t="str">
        <f t="shared" si="11"/>
        <v/>
      </c>
      <c r="R167" s="190"/>
      <c r="S167" s="191"/>
      <c r="T167" s="200"/>
    </row>
    <row r="168" spans="1:20" s="8" customFormat="1" ht="13.5" customHeight="1" x14ac:dyDescent="0.25">
      <c r="A168" s="214" t="s">
        <v>301</v>
      </c>
      <c r="B168" s="7" t="s">
        <v>261</v>
      </c>
      <c r="C168" s="190"/>
      <c r="D168" s="191"/>
      <c r="E168" s="191"/>
      <c r="F168" s="191"/>
      <c r="G168" s="200" t="str">
        <f t="shared" si="9"/>
        <v/>
      </c>
      <c r="H168" s="190"/>
      <c r="I168" s="191"/>
      <c r="J168" s="191"/>
      <c r="K168" s="191"/>
      <c r="L168" s="200" t="str">
        <f t="shared" si="10"/>
        <v/>
      </c>
      <c r="M168" s="190"/>
      <c r="N168" s="191"/>
      <c r="O168" s="191"/>
      <c r="P168" s="191"/>
      <c r="Q168" s="200" t="str">
        <f t="shared" si="11"/>
        <v/>
      </c>
      <c r="R168" s="190"/>
      <c r="S168" s="191"/>
      <c r="T168" s="200"/>
    </row>
    <row r="169" spans="1:20" s="8" customFormat="1" ht="13.5" customHeight="1" x14ac:dyDescent="0.25">
      <c r="A169" s="214" t="s">
        <v>301</v>
      </c>
      <c r="B169" s="7" t="s">
        <v>722</v>
      </c>
      <c r="C169" s="190"/>
      <c r="D169" s="60"/>
      <c r="E169" s="60"/>
      <c r="F169" s="60"/>
      <c r="G169" s="200" t="str">
        <f t="shared" si="9"/>
        <v/>
      </c>
      <c r="H169" s="192"/>
      <c r="I169" s="60"/>
      <c r="J169" s="60"/>
      <c r="K169" s="60"/>
      <c r="L169" s="200" t="str">
        <f t="shared" si="10"/>
        <v/>
      </c>
      <c r="M169" s="192"/>
      <c r="N169" s="60"/>
      <c r="O169" s="60"/>
      <c r="P169" s="60"/>
      <c r="Q169" s="200" t="str">
        <f t="shared" si="11"/>
        <v/>
      </c>
      <c r="R169" s="192"/>
      <c r="S169" s="60"/>
      <c r="T169" s="205"/>
    </row>
    <row r="170" spans="1:20" s="8" customFormat="1" ht="13.5" customHeight="1" x14ac:dyDescent="0.25">
      <c r="A170" s="214" t="s">
        <v>301</v>
      </c>
      <c r="B170" s="7" t="s">
        <v>723</v>
      </c>
      <c r="C170" s="190"/>
      <c r="D170" s="60"/>
      <c r="E170" s="60"/>
      <c r="F170" s="60"/>
      <c r="G170" s="200" t="str">
        <f t="shared" si="9"/>
        <v/>
      </c>
      <c r="H170" s="192"/>
      <c r="I170" s="60"/>
      <c r="J170" s="60"/>
      <c r="K170" s="60"/>
      <c r="L170" s="200" t="str">
        <f t="shared" si="10"/>
        <v/>
      </c>
      <c r="M170" s="192"/>
      <c r="N170" s="60"/>
      <c r="O170" s="60"/>
      <c r="P170" s="60"/>
      <c r="Q170" s="200" t="str">
        <f t="shared" si="11"/>
        <v/>
      </c>
      <c r="R170" s="192"/>
      <c r="S170" s="60"/>
      <c r="T170" s="205"/>
    </row>
    <row r="171" spans="1:20" s="8" customFormat="1" ht="13.5" customHeight="1" x14ac:dyDescent="0.25">
      <c r="A171" s="214" t="s">
        <v>301</v>
      </c>
      <c r="B171" s="7" t="s">
        <v>153</v>
      </c>
      <c r="C171" s="190"/>
      <c r="D171" s="191"/>
      <c r="E171" s="191"/>
      <c r="F171" s="191"/>
      <c r="G171" s="200" t="str">
        <f t="shared" si="9"/>
        <v/>
      </c>
      <c r="H171" s="190"/>
      <c r="I171" s="191"/>
      <c r="J171" s="191"/>
      <c r="K171" s="191"/>
      <c r="L171" s="200" t="str">
        <f t="shared" si="10"/>
        <v/>
      </c>
      <c r="M171" s="190" t="s">
        <v>310</v>
      </c>
      <c r="N171" s="191">
        <v>2</v>
      </c>
      <c r="O171" s="191"/>
      <c r="P171" s="191"/>
      <c r="Q171" s="200" t="str">
        <f t="shared" si="11"/>
        <v/>
      </c>
      <c r="R171" s="190"/>
      <c r="S171" s="191"/>
      <c r="T171" s="200"/>
    </row>
    <row r="172" spans="1:20" s="8" customFormat="1" ht="13.5" customHeight="1" x14ac:dyDescent="0.25">
      <c r="A172" s="214" t="s">
        <v>301</v>
      </c>
      <c r="B172" s="7" t="s">
        <v>273</v>
      </c>
      <c r="C172" s="190"/>
      <c r="D172" s="191"/>
      <c r="E172" s="191"/>
      <c r="F172" s="191"/>
      <c r="G172" s="200" t="str">
        <f t="shared" si="9"/>
        <v/>
      </c>
      <c r="H172" s="190"/>
      <c r="I172" s="191"/>
      <c r="J172" s="191"/>
      <c r="K172" s="191"/>
      <c r="L172" s="200" t="str">
        <f t="shared" si="10"/>
        <v/>
      </c>
      <c r="M172" s="190"/>
      <c r="N172" s="191"/>
      <c r="O172" s="191"/>
      <c r="P172" s="191"/>
      <c r="Q172" s="200" t="str">
        <f t="shared" si="11"/>
        <v/>
      </c>
      <c r="R172" s="190"/>
      <c r="S172" s="191"/>
      <c r="T172" s="200"/>
    </row>
    <row r="173" spans="1:20" s="8" customFormat="1" ht="13.5" customHeight="1" x14ac:dyDescent="0.25">
      <c r="A173" s="214" t="s">
        <v>301</v>
      </c>
      <c r="B173" s="7" t="s">
        <v>726</v>
      </c>
      <c r="C173" s="190"/>
      <c r="D173" s="60"/>
      <c r="E173" s="60"/>
      <c r="F173" s="60"/>
      <c r="G173" s="200" t="str">
        <f t="shared" si="9"/>
        <v/>
      </c>
      <c r="H173" s="192"/>
      <c r="I173" s="60"/>
      <c r="J173" s="60"/>
      <c r="K173" s="60"/>
      <c r="L173" s="200" t="str">
        <f t="shared" si="10"/>
        <v/>
      </c>
      <c r="M173" s="192"/>
      <c r="N173" s="60"/>
      <c r="O173" s="60"/>
      <c r="P173" s="60"/>
      <c r="Q173" s="200" t="str">
        <f t="shared" si="11"/>
        <v/>
      </c>
      <c r="R173" s="192"/>
      <c r="S173" s="60"/>
      <c r="T173" s="205"/>
    </row>
    <row r="174" spans="1:20" s="8" customFormat="1" ht="13.5" customHeight="1" x14ac:dyDescent="0.25">
      <c r="A174" s="214" t="s">
        <v>301</v>
      </c>
      <c r="B174" s="7" t="s">
        <v>156</v>
      </c>
      <c r="C174" s="190"/>
      <c r="D174" s="191"/>
      <c r="E174" s="191"/>
      <c r="F174" s="191"/>
      <c r="G174" s="200" t="str">
        <f t="shared" si="9"/>
        <v/>
      </c>
      <c r="H174" s="190"/>
      <c r="I174" s="191"/>
      <c r="J174" s="191"/>
      <c r="K174" s="191"/>
      <c r="L174" s="200" t="str">
        <f t="shared" si="10"/>
        <v/>
      </c>
      <c r="M174" s="190" t="s">
        <v>310</v>
      </c>
      <c r="N174" s="191">
        <v>2</v>
      </c>
      <c r="O174" s="191"/>
      <c r="P174" s="191"/>
      <c r="Q174" s="200" t="str">
        <f t="shared" si="11"/>
        <v/>
      </c>
      <c r="R174" s="190"/>
      <c r="S174" s="191"/>
      <c r="T174" s="200"/>
    </row>
    <row r="175" spans="1:20" s="8" customFormat="1" ht="13.5" customHeight="1" x14ac:dyDescent="0.25">
      <c r="A175" s="214" t="s">
        <v>301</v>
      </c>
      <c r="B175" s="7" t="s">
        <v>729</v>
      </c>
      <c r="C175" s="190"/>
      <c r="D175" s="60"/>
      <c r="E175" s="60"/>
      <c r="F175" s="60"/>
      <c r="G175" s="200" t="str">
        <f t="shared" si="9"/>
        <v/>
      </c>
      <c r="H175" s="192"/>
      <c r="I175" s="60"/>
      <c r="J175" s="60"/>
      <c r="K175" s="60"/>
      <c r="L175" s="200" t="str">
        <f t="shared" si="10"/>
        <v/>
      </c>
      <c r="M175" s="192"/>
      <c r="N175" s="60"/>
      <c r="O175" s="60"/>
      <c r="P175" s="60"/>
      <c r="Q175" s="200" t="str">
        <f t="shared" si="11"/>
        <v/>
      </c>
      <c r="R175" s="192"/>
      <c r="S175" s="60"/>
      <c r="T175" s="205"/>
    </row>
    <row r="176" spans="1:20" s="8" customFormat="1" ht="13.5" customHeight="1" x14ac:dyDescent="0.25">
      <c r="A176" s="214" t="s">
        <v>301</v>
      </c>
      <c r="B176" s="7" t="s">
        <v>731</v>
      </c>
      <c r="C176" s="190"/>
      <c r="D176" s="60"/>
      <c r="E176" s="60"/>
      <c r="F176" s="60"/>
      <c r="G176" s="200" t="str">
        <f t="shared" si="9"/>
        <v/>
      </c>
      <c r="H176" s="192"/>
      <c r="I176" s="60"/>
      <c r="J176" s="60"/>
      <c r="K176" s="60"/>
      <c r="L176" s="200" t="str">
        <f t="shared" si="10"/>
        <v/>
      </c>
      <c r="M176" s="192"/>
      <c r="N176" s="60"/>
      <c r="O176" s="60"/>
      <c r="P176" s="60"/>
      <c r="Q176" s="200" t="str">
        <f t="shared" si="11"/>
        <v/>
      </c>
      <c r="R176" s="192"/>
      <c r="S176" s="60"/>
      <c r="T176" s="205"/>
    </row>
    <row r="177" spans="1:20" s="8" customFormat="1" ht="13.5" customHeight="1" x14ac:dyDescent="0.25">
      <c r="A177" s="214" t="s">
        <v>301</v>
      </c>
      <c r="B177" s="7" t="s">
        <v>733</v>
      </c>
      <c r="C177" s="190"/>
      <c r="D177" s="60"/>
      <c r="E177" s="60"/>
      <c r="F177" s="60"/>
      <c r="G177" s="200" t="str">
        <f t="shared" si="9"/>
        <v/>
      </c>
      <c r="H177" s="192"/>
      <c r="I177" s="60"/>
      <c r="J177" s="60"/>
      <c r="K177" s="60"/>
      <c r="L177" s="200" t="str">
        <f t="shared" si="10"/>
        <v/>
      </c>
      <c r="M177" s="192"/>
      <c r="N177" s="60"/>
      <c r="O177" s="60"/>
      <c r="P177" s="60"/>
      <c r="Q177" s="200" t="str">
        <f t="shared" si="11"/>
        <v/>
      </c>
      <c r="R177" s="192"/>
      <c r="S177" s="60"/>
      <c r="T177" s="205"/>
    </row>
    <row r="178" spans="1:20" s="8" customFormat="1" ht="13.5" customHeight="1" x14ac:dyDescent="0.25">
      <c r="A178" s="214" t="s">
        <v>301</v>
      </c>
      <c r="B178" s="7" t="s">
        <v>735</v>
      </c>
      <c r="C178" s="190"/>
      <c r="D178" s="60"/>
      <c r="E178" s="60"/>
      <c r="F178" s="60"/>
      <c r="G178" s="200" t="str">
        <f t="shared" si="9"/>
        <v/>
      </c>
      <c r="H178" s="192"/>
      <c r="I178" s="60"/>
      <c r="J178" s="60"/>
      <c r="K178" s="60"/>
      <c r="L178" s="200" t="str">
        <f t="shared" si="10"/>
        <v/>
      </c>
      <c r="M178" s="192"/>
      <c r="N178" s="60"/>
      <c r="O178" s="60"/>
      <c r="P178" s="60"/>
      <c r="Q178" s="200" t="str">
        <f t="shared" si="11"/>
        <v/>
      </c>
      <c r="R178" s="192"/>
      <c r="S178" s="60"/>
      <c r="T178" s="205"/>
    </row>
    <row r="179" spans="1:20" s="8" customFormat="1" ht="13.5" customHeight="1" x14ac:dyDescent="0.25">
      <c r="A179" s="214" t="s">
        <v>301</v>
      </c>
      <c r="B179" s="7" t="s">
        <v>737</v>
      </c>
      <c r="C179" s="190"/>
      <c r="D179" s="60"/>
      <c r="E179" s="60"/>
      <c r="F179" s="60"/>
      <c r="G179" s="200" t="str">
        <f t="shared" si="9"/>
        <v/>
      </c>
      <c r="H179" s="192"/>
      <c r="I179" s="60"/>
      <c r="J179" s="60"/>
      <c r="K179" s="60"/>
      <c r="L179" s="200" t="str">
        <f t="shared" si="10"/>
        <v/>
      </c>
      <c r="M179" s="192"/>
      <c r="N179" s="60"/>
      <c r="O179" s="60"/>
      <c r="P179" s="60"/>
      <c r="Q179" s="200" t="str">
        <f t="shared" si="11"/>
        <v/>
      </c>
      <c r="R179" s="192"/>
      <c r="S179" s="60"/>
      <c r="T179" s="205"/>
    </row>
    <row r="180" spans="1:20" s="8" customFormat="1" ht="13.5" customHeight="1" x14ac:dyDescent="0.25">
      <c r="A180" s="214" t="s">
        <v>301</v>
      </c>
      <c r="B180" s="7" t="s">
        <v>739</v>
      </c>
      <c r="C180" s="190"/>
      <c r="D180" s="60"/>
      <c r="E180" s="60"/>
      <c r="F180" s="60"/>
      <c r="G180" s="200" t="str">
        <f t="shared" si="9"/>
        <v/>
      </c>
      <c r="H180" s="192"/>
      <c r="I180" s="60"/>
      <c r="J180" s="60"/>
      <c r="K180" s="60"/>
      <c r="L180" s="200" t="str">
        <f t="shared" si="10"/>
        <v/>
      </c>
      <c r="M180" s="192"/>
      <c r="N180" s="60"/>
      <c r="O180" s="60"/>
      <c r="P180" s="60"/>
      <c r="Q180" s="200" t="str">
        <f t="shared" si="11"/>
        <v/>
      </c>
      <c r="R180" s="192"/>
      <c r="S180" s="60"/>
      <c r="T180" s="205"/>
    </row>
    <row r="181" spans="1:20" s="8" customFormat="1" ht="13.5" customHeight="1" x14ac:dyDescent="0.25">
      <c r="A181" s="214" t="s">
        <v>301</v>
      </c>
      <c r="B181" s="7" t="s">
        <v>186</v>
      </c>
      <c r="C181" s="190"/>
      <c r="D181" s="191"/>
      <c r="E181" s="191"/>
      <c r="F181" s="191"/>
      <c r="G181" s="200" t="str">
        <f t="shared" si="9"/>
        <v/>
      </c>
      <c r="H181" s="190"/>
      <c r="I181" s="191"/>
      <c r="J181" s="191"/>
      <c r="K181" s="191"/>
      <c r="L181" s="200" t="str">
        <f t="shared" si="10"/>
        <v/>
      </c>
      <c r="M181" s="190"/>
      <c r="N181" s="191"/>
      <c r="O181" s="191"/>
      <c r="P181" s="191"/>
      <c r="Q181" s="200" t="str">
        <f t="shared" si="11"/>
        <v/>
      </c>
      <c r="R181" s="190"/>
      <c r="S181" s="191"/>
      <c r="T181" s="200"/>
    </row>
    <row r="182" spans="1:20" s="8" customFormat="1" ht="13.5" customHeight="1" x14ac:dyDescent="0.25">
      <c r="A182" s="214" t="s">
        <v>301</v>
      </c>
      <c r="B182" s="22" t="s">
        <v>160</v>
      </c>
      <c r="C182" s="190" t="s">
        <v>310</v>
      </c>
      <c r="D182" s="191">
        <v>2</v>
      </c>
      <c r="E182" s="191">
        <v>1</v>
      </c>
      <c r="F182" s="191"/>
      <c r="G182" s="200" t="str">
        <f t="shared" si="9"/>
        <v/>
      </c>
      <c r="H182" s="190"/>
      <c r="I182" s="191"/>
      <c r="J182" s="191"/>
      <c r="K182" s="191"/>
      <c r="L182" s="200" t="str">
        <f t="shared" si="10"/>
        <v/>
      </c>
      <c r="M182" s="190"/>
      <c r="N182" s="191"/>
      <c r="O182" s="191"/>
      <c r="P182" s="191"/>
      <c r="Q182" s="200" t="str">
        <f t="shared" si="11"/>
        <v/>
      </c>
      <c r="R182" s="190"/>
      <c r="S182" s="191"/>
      <c r="T182" s="200"/>
    </row>
    <row r="183" spans="1:20" s="8" customFormat="1" ht="13.5" customHeight="1" x14ac:dyDescent="0.25">
      <c r="A183" s="214" t="s">
        <v>301</v>
      </c>
      <c r="B183" s="7" t="s">
        <v>741</v>
      </c>
      <c r="C183" s="190"/>
      <c r="D183" s="60"/>
      <c r="E183" s="60"/>
      <c r="F183" s="60"/>
      <c r="G183" s="200" t="str">
        <f t="shared" si="9"/>
        <v/>
      </c>
      <c r="H183" s="192"/>
      <c r="I183" s="60"/>
      <c r="J183" s="60"/>
      <c r="K183" s="60"/>
      <c r="L183" s="200" t="str">
        <f t="shared" si="10"/>
        <v/>
      </c>
      <c r="M183" s="192"/>
      <c r="N183" s="60"/>
      <c r="O183" s="60"/>
      <c r="P183" s="60"/>
      <c r="Q183" s="200" t="str">
        <f t="shared" si="11"/>
        <v/>
      </c>
      <c r="R183" s="192"/>
      <c r="S183" s="60"/>
      <c r="T183" s="205"/>
    </row>
    <row r="184" spans="1:20" s="8" customFormat="1" ht="13.5" customHeight="1" x14ac:dyDescent="0.25">
      <c r="A184" s="214" t="s">
        <v>301</v>
      </c>
      <c r="B184" s="22" t="s">
        <v>743</v>
      </c>
      <c r="C184" s="190"/>
      <c r="D184" s="60"/>
      <c r="E184" s="60"/>
      <c r="F184" s="60"/>
      <c r="G184" s="200" t="str">
        <f t="shared" si="9"/>
        <v/>
      </c>
      <c r="H184" s="192"/>
      <c r="I184" s="60"/>
      <c r="J184" s="60"/>
      <c r="K184" s="60"/>
      <c r="L184" s="200" t="str">
        <f t="shared" si="10"/>
        <v/>
      </c>
      <c r="M184" s="192"/>
      <c r="N184" s="60"/>
      <c r="O184" s="60"/>
      <c r="P184" s="60"/>
      <c r="Q184" s="200" t="str">
        <f t="shared" si="11"/>
        <v/>
      </c>
      <c r="R184" s="192"/>
      <c r="S184" s="60"/>
      <c r="T184" s="205"/>
    </row>
    <row r="185" spans="1:20" s="8" customFormat="1" ht="13.5" customHeight="1" x14ac:dyDescent="0.25">
      <c r="A185" s="214" t="s">
        <v>301</v>
      </c>
      <c r="B185" s="7" t="s">
        <v>745</v>
      </c>
      <c r="C185" s="190"/>
      <c r="D185" s="60"/>
      <c r="E185" s="60"/>
      <c r="F185" s="60"/>
      <c r="G185" s="200" t="str">
        <f t="shared" si="9"/>
        <v/>
      </c>
      <c r="H185" s="192"/>
      <c r="I185" s="60"/>
      <c r="J185" s="60"/>
      <c r="K185" s="60"/>
      <c r="L185" s="200" t="str">
        <f t="shared" si="10"/>
        <v/>
      </c>
      <c r="M185" s="192"/>
      <c r="N185" s="60"/>
      <c r="O185" s="60"/>
      <c r="P185" s="60"/>
      <c r="Q185" s="200" t="str">
        <f t="shared" si="11"/>
        <v/>
      </c>
      <c r="R185" s="192"/>
      <c r="S185" s="60"/>
      <c r="T185" s="205"/>
    </row>
    <row r="186" spans="1:20" s="8" customFormat="1" ht="13.5" customHeight="1" x14ac:dyDescent="0.25">
      <c r="A186" s="214" t="s">
        <v>301</v>
      </c>
      <c r="B186" s="7" t="s">
        <v>292</v>
      </c>
      <c r="C186" s="190" t="s">
        <v>310</v>
      </c>
      <c r="D186" s="191">
        <v>2</v>
      </c>
      <c r="E186" s="191"/>
      <c r="F186" s="191"/>
      <c r="G186" s="200" t="str">
        <f t="shared" si="9"/>
        <v/>
      </c>
      <c r="H186" s="190"/>
      <c r="I186" s="191"/>
      <c r="J186" s="191"/>
      <c r="K186" s="191"/>
      <c r="L186" s="200" t="str">
        <f t="shared" si="10"/>
        <v/>
      </c>
      <c r="M186" s="190"/>
      <c r="N186" s="191"/>
      <c r="O186" s="191"/>
      <c r="P186" s="191"/>
      <c r="Q186" s="200" t="str">
        <f t="shared" si="11"/>
        <v/>
      </c>
      <c r="R186" s="190"/>
      <c r="S186" s="191"/>
      <c r="T186" s="200"/>
    </row>
    <row r="187" spans="1:20" s="8" customFormat="1" ht="13.5" customHeight="1" x14ac:dyDescent="0.25">
      <c r="A187" s="214" t="s">
        <v>301</v>
      </c>
      <c r="B187" s="22" t="s">
        <v>747</v>
      </c>
      <c r="C187" s="190"/>
      <c r="D187" s="60"/>
      <c r="E187" s="60"/>
      <c r="F187" s="60"/>
      <c r="G187" s="200" t="str">
        <f t="shared" si="9"/>
        <v/>
      </c>
      <c r="H187" s="192"/>
      <c r="I187" s="60"/>
      <c r="J187" s="60"/>
      <c r="K187" s="60"/>
      <c r="L187" s="200" t="str">
        <f t="shared" si="10"/>
        <v/>
      </c>
      <c r="M187" s="192"/>
      <c r="N187" s="60"/>
      <c r="O187" s="60"/>
      <c r="P187" s="60"/>
      <c r="Q187" s="200" t="str">
        <f t="shared" si="11"/>
        <v/>
      </c>
      <c r="R187" s="192"/>
      <c r="S187" s="60"/>
      <c r="T187" s="205"/>
    </row>
    <row r="188" spans="1:20" s="8" customFormat="1" ht="13.5" customHeight="1" x14ac:dyDescent="0.25">
      <c r="A188" s="214" t="s">
        <v>301</v>
      </c>
      <c r="B188" s="7" t="s">
        <v>749</v>
      </c>
      <c r="C188" s="190"/>
      <c r="D188" s="60"/>
      <c r="E188" s="60"/>
      <c r="F188" s="60"/>
      <c r="G188" s="200" t="str">
        <f t="shared" si="9"/>
        <v/>
      </c>
      <c r="H188" s="192"/>
      <c r="I188" s="60"/>
      <c r="J188" s="60"/>
      <c r="K188" s="60"/>
      <c r="L188" s="200" t="str">
        <f t="shared" si="10"/>
        <v/>
      </c>
      <c r="M188" s="192"/>
      <c r="N188" s="60"/>
      <c r="O188" s="60"/>
      <c r="P188" s="60"/>
      <c r="Q188" s="200" t="str">
        <f t="shared" si="11"/>
        <v/>
      </c>
      <c r="R188" s="192"/>
      <c r="S188" s="60"/>
      <c r="T188" s="205"/>
    </row>
    <row r="189" spans="1:20" s="8" customFormat="1" ht="13.5" customHeight="1" x14ac:dyDescent="0.25">
      <c r="A189" s="214" t="s">
        <v>301</v>
      </c>
      <c r="B189" s="7" t="s">
        <v>751</v>
      </c>
      <c r="C189" s="190"/>
      <c r="D189" s="60"/>
      <c r="E189" s="60"/>
      <c r="F189" s="60"/>
      <c r="G189" s="200" t="str">
        <f t="shared" si="9"/>
        <v/>
      </c>
      <c r="H189" s="192"/>
      <c r="I189" s="60"/>
      <c r="J189" s="60"/>
      <c r="K189" s="60"/>
      <c r="L189" s="200" t="str">
        <f t="shared" si="10"/>
        <v/>
      </c>
      <c r="M189" s="192"/>
      <c r="N189" s="60"/>
      <c r="O189" s="60"/>
      <c r="P189" s="60"/>
      <c r="Q189" s="200" t="str">
        <f t="shared" si="11"/>
        <v/>
      </c>
      <c r="R189" s="192"/>
      <c r="S189" s="60"/>
      <c r="T189" s="205"/>
    </row>
    <row r="190" spans="1:20" s="8" customFormat="1" ht="13.5" customHeight="1" x14ac:dyDescent="0.25">
      <c r="A190" s="214" t="s">
        <v>301</v>
      </c>
      <c r="B190" s="7" t="s">
        <v>753</v>
      </c>
      <c r="C190" s="190"/>
      <c r="D190" s="60"/>
      <c r="E190" s="60"/>
      <c r="F190" s="60"/>
      <c r="G190" s="200" t="str">
        <f t="shared" si="9"/>
        <v/>
      </c>
      <c r="H190" s="192"/>
      <c r="I190" s="60"/>
      <c r="J190" s="60"/>
      <c r="K190" s="60"/>
      <c r="L190" s="200" t="str">
        <f t="shared" si="10"/>
        <v/>
      </c>
      <c r="M190" s="192"/>
      <c r="N190" s="60"/>
      <c r="O190" s="60"/>
      <c r="P190" s="60"/>
      <c r="Q190" s="200" t="str">
        <f t="shared" si="11"/>
        <v/>
      </c>
      <c r="R190" s="192"/>
      <c r="S190" s="60"/>
      <c r="T190" s="205"/>
    </row>
    <row r="191" spans="1:20" s="8" customFormat="1" ht="13.5" customHeight="1" x14ac:dyDescent="0.25">
      <c r="A191" s="214" t="s">
        <v>301</v>
      </c>
      <c r="B191" s="7" t="s">
        <v>755</v>
      </c>
      <c r="C191" s="190"/>
      <c r="D191" s="60"/>
      <c r="E191" s="60"/>
      <c r="F191" s="60"/>
      <c r="G191" s="200" t="str">
        <f t="shared" si="9"/>
        <v/>
      </c>
      <c r="H191" s="192"/>
      <c r="I191" s="60"/>
      <c r="J191" s="60"/>
      <c r="K191" s="60"/>
      <c r="L191" s="200" t="str">
        <f t="shared" si="10"/>
        <v/>
      </c>
      <c r="M191" s="192"/>
      <c r="N191" s="60"/>
      <c r="O191" s="60"/>
      <c r="P191" s="60"/>
      <c r="Q191" s="200" t="str">
        <f t="shared" si="11"/>
        <v/>
      </c>
      <c r="R191" s="192"/>
      <c r="S191" s="60"/>
      <c r="T191" s="205"/>
    </row>
    <row r="192" spans="1:20" s="8" customFormat="1" ht="13.5" customHeight="1" x14ac:dyDescent="0.25">
      <c r="A192" s="214" t="s">
        <v>301</v>
      </c>
      <c r="B192" s="7" t="s">
        <v>757</v>
      </c>
      <c r="C192" s="190"/>
      <c r="D192" s="60"/>
      <c r="E192" s="60"/>
      <c r="F192" s="60"/>
      <c r="G192" s="200" t="str">
        <f t="shared" ref="G192:G257" si="12">IF(F192=1,"New","")</f>
        <v/>
      </c>
      <c r="H192" s="192"/>
      <c r="I192" s="60"/>
      <c r="J192" s="60"/>
      <c r="K192" s="60"/>
      <c r="L192" s="200" t="str">
        <f t="shared" si="10"/>
        <v/>
      </c>
      <c r="M192" s="192"/>
      <c r="N192" s="60"/>
      <c r="O192" s="60"/>
      <c r="P192" s="60"/>
      <c r="Q192" s="200" t="str">
        <f t="shared" si="11"/>
        <v/>
      </c>
      <c r="R192" s="192"/>
      <c r="S192" s="60"/>
      <c r="T192" s="205"/>
    </row>
    <row r="193" spans="1:252" s="8" customFormat="1" ht="13.5" customHeight="1" x14ac:dyDescent="0.25">
      <c r="A193" s="214" t="s">
        <v>301</v>
      </c>
      <c r="B193" s="7" t="s">
        <v>759</v>
      </c>
      <c r="C193" s="190" t="s">
        <v>310</v>
      </c>
      <c r="D193" s="60">
        <v>2</v>
      </c>
      <c r="E193" s="60">
        <v>1</v>
      </c>
      <c r="F193" s="60"/>
      <c r="G193" s="200" t="str">
        <f t="shared" si="12"/>
        <v/>
      </c>
      <c r="H193" s="192"/>
      <c r="I193" s="60"/>
      <c r="J193" s="60"/>
      <c r="K193" s="60"/>
      <c r="L193" s="200" t="str">
        <f t="shared" ref="L193:L258" si="13">IF(K193=1,"New","")</f>
        <v/>
      </c>
      <c r="M193" s="192" t="s">
        <v>310</v>
      </c>
      <c r="N193" s="60">
        <v>2</v>
      </c>
      <c r="O193" s="60"/>
      <c r="P193" s="60"/>
      <c r="Q193" s="200" t="str">
        <f t="shared" ref="Q193:Q258" si="14">IF(P193=1,"New","")</f>
        <v/>
      </c>
      <c r="R193" s="192"/>
      <c r="S193" s="60"/>
      <c r="T193" s="205"/>
    </row>
    <row r="194" spans="1:252" s="8" customFormat="1" ht="13.5" customHeight="1" x14ac:dyDescent="0.25">
      <c r="A194" s="214" t="s">
        <v>301</v>
      </c>
      <c r="B194" s="7" t="s">
        <v>761</v>
      </c>
      <c r="C194" s="190"/>
      <c r="D194" s="60"/>
      <c r="E194" s="60"/>
      <c r="F194" s="60"/>
      <c r="G194" s="200" t="str">
        <f t="shared" si="12"/>
        <v/>
      </c>
      <c r="H194" s="192"/>
      <c r="I194" s="60"/>
      <c r="J194" s="60"/>
      <c r="K194" s="60"/>
      <c r="L194" s="200" t="str">
        <f t="shared" si="13"/>
        <v/>
      </c>
      <c r="M194" s="192"/>
      <c r="N194" s="60"/>
      <c r="O194" s="60"/>
      <c r="P194" s="60"/>
      <c r="Q194" s="200" t="str">
        <f t="shared" si="14"/>
        <v/>
      </c>
      <c r="R194" s="192"/>
      <c r="S194" s="60"/>
      <c r="T194" s="205"/>
    </row>
    <row r="195" spans="1:252" s="8" customFormat="1" ht="13.5" customHeight="1" x14ac:dyDescent="0.25">
      <c r="A195" s="214" t="s">
        <v>301</v>
      </c>
      <c r="B195" s="22" t="s">
        <v>763</v>
      </c>
      <c r="C195" s="190" t="s">
        <v>310</v>
      </c>
      <c r="D195" s="60">
        <v>2</v>
      </c>
      <c r="E195" s="60">
        <v>1</v>
      </c>
      <c r="F195" s="60"/>
      <c r="G195" s="200" t="str">
        <f t="shared" si="12"/>
        <v/>
      </c>
      <c r="H195" s="192"/>
      <c r="I195" s="60"/>
      <c r="J195" s="60"/>
      <c r="K195" s="60"/>
      <c r="L195" s="200" t="str">
        <f t="shared" si="13"/>
        <v/>
      </c>
      <c r="M195" s="192"/>
      <c r="N195" s="60"/>
      <c r="O195" s="60"/>
      <c r="P195" s="60"/>
      <c r="Q195" s="200" t="str">
        <f t="shared" si="14"/>
        <v/>
      </c>
      <c r="R195" s="192"/>
      <c r="S195" s="60"/>
      <c r="T195" s="205"/>
    </row>
    <row r="196" spans="1:252" s="8" customFormat="1" ht="13.5" customHeight="1" x14ac:dyDescent="0.25">
      <c r="A196" s="214" t="s">
        <v>301</v>
      </c>
      <c r="B196" s="7" t="s">
        <v>765</v>
      </c>
      <c r="C196" s="190"/>
      <c r="D196" s="60"/>
      <c r="E196" s="60"/>
      <c r="F196" s="60"/>
      <c r="G196" s="200" t="str">
        <f t="shared" si="12"/>
        <v/>
      </c>
      <c r="H196" s="192"/>
      <c r="I196" s="60"/>
      <c r="J196" s="60"/>
      <c r="K196" s="60"/>
      <c r="L196" s="200" t="str">
        <f t="shared" si="13"/>
        <v/>
      </c>
      <c r="M196" s="192"/>
      <c r="N196" s="60"/>
      <c r="O196" s="60"/>
      <c r="P196" s="60"/>
      <c r="Q196" s="200" t="str">
        <f t="shared" si="14"/>
        <v/>
      </c>
      <c r="R196" s="192"/>
      <c r="S196" s="60"/>
      <c r="T196" s="205"/>
    </row>
    <row r="197" spans="1:252" s="8" customFormat="1" ht="13.5" customHeight="1" x14ac:dyDescent="0.25">
      <c r="A197" s="214" t="s">
        <v>301</v>
      </c>
      <c r="B197" s="7" t="s">
        <v>1822</v>
      </c>
      <c r="C197" s="190" t="s">
        <v>310</v>
      </c>
      <c r="D197" s="60">
        <v>2</v>
      </c>
      <c r="E197" s="60"/>
      <c r="F197" s="60"/>
      <c r="G197" s="200" t="str">
        <f t="shared" si="12"/>
        <v/>
      </c>
      <c r="H197" s="192"/>
      <c r="I197" s="60"/>
      <c r="J197" s="60"/>
      <c r="K197" s="60"/>
      <c r="L197" s="200"/>
      <c r="M197" s="192"/>
      <c r="N197" s="60"/>
      <c r="O197" s="60"/>
      <c r="P197" s="60"/>
      <c r="Q197" s="200"/>
      <c r="R197" s="192"/>
      <c r="S197" s="60"/>
      <c r="T197" s="205"/>
    </row>
    <row r="198" spans="1:252" s="8" customFormat="1" ht="13.5" customHeight="1" x14ac:dyDescent="0.25">
      <c r="A198" s="214" t="s">
        <v>301</v>
      </c>
      <c r="B198" s="22" t="s">
        <v>767</v>
      </c>
      <c r="C198" s="190"/>
      <c r="D198" s="60"/>
      <c r="E198" s="60"/>
      <c r="F198" s="60"/>
      <c r="G198" s="200" t="str">
        <f t="shared" si="12"/>
        <v/>
      </c>
      <c r="H198" s="192"/>
      <c r="I198" s="60"/>
      <c r="J198" s="60"/>
      <c r="K198" s="60"/>
      <c r="L198" s="200" t="str">
        <f t="shared" si="13"/>
        <v/>
      </c>
      <c r="M198" s="192"/>
      <c r="N198" s="60"/>
      <c r="O198" s="60"/>
      <c r="P198" s="60"/>
      <c r="Q198" s="200" t="str">
        <f t="shared" si="14"/>
        <v/>
      </c>
      <c r="R198" s="192"/>
      <c r="S198" s="60"/>
      <c r="T198" s="205"/>
    </row>
    <row r="199" spans="1:252" s="8" customFormat="1" ht="13.5" customHeight="1" x14ac:dyDescent="0.25">
      <c r="A199" s="214" t="s">
        <v>301</v>
      </c>
      <c r="B199" s="7" t="s">
        <v>769</v>
      </c>
      <c r="C199" s="190" t="s">
        <v>310</v>
      </c>
      <c r="D199" s="60">
        <v>2</v>
      </c>
      <c r="E199" s="60">
        <v>1</v>
      </c>
      <c r="F199" s="60"/>
      <c r="G199" s="200" t="str">
        <f t="shared" si="12"/>
        <v/>
      </c>
      <c r="H199" s="192"/>
      <c r="I199" s="60"/>
      <c r="J199" s="60"/>
      <c r="K199" s="60"/>
      <c r="L199" s="200" t="str">
        <f t="shared" si="13"/>
        <v/>
      </c>
      <c r="M199" s="192"/>
      <c r="N199" s="60"/>
      <c r="O199" s="60"/>
      <c r="P199" s="60"/>
      <c r="Q199" s="200" t="str">
        <f t="shared" si="14"/>
        <v/>
      </c>
      <c r="R199" s="192"/>
      <c r="S199" s="60"/>
      <c r="T199" s="205"/>
    </row>
    <row r="200" spans="1:252" s="8" customFormat="1" ht="13.5" customHeight="1" x14ac:dyDescent="0.25">
      <c r="A200" s="214" t="s">
        <v>301</v>
      </c>
      <c r="B200" s="7" t="s">
        <v>50</v>
      </c>
      <c r="C200" s="190" t="s">
        <v>310</v>
      </c>
      <c r="D200" s="191">
        <v>2</v>
      </c>
      <c r="E200" s="191">
        <v>1</v>
      </c>
      <c r="F200" s="191"/>
      <c r="G200" s="200" t="str">
        <f t="shared" si="12"/>
        <v/>
      </c>
      <c r="H200" s="190"/>
      <c r="I200" s="191"/>
      <c r="J200" s="191"/>
      <c r="K200" s="191"/>
      <c r="L200" s="200" t="str">
        <f t="shared" si="13"/>
        <v/>
      </c>
      <c r="M200" s="190"/>
      <c r="N200" s="191"/>
      <c r="O200" s="191"/>
      <c r="P200" s="191"/>
      <c r="Q200" s="200" t="str">
        <f t="shared" si="14"/>
        <v/>
      </c>
      <c r="R200" s="190"/>
      <c r="S200" s="191"/>
      <c r="T200" s="200"/>
    </row>
    <row r="201" spans="1:252" s="157" customFormat="1" ht="13.5" customHeight="1" x14ac:dyDescent="0.25">
      <c r="A201" s="214" t="s">
        <v>301</v>
      </c>
      <c r="B201" s="22" t="s">
        <v>771</v>
      </c>
      <c r="C201" s="190" t="s">
        <v>310</v>
      </c>
      <c r="D201" s="60">
        <v>2</v>
      </c>
      <c r="E201" s="60"/>
      <c r="F201" s="60"/>
      <c r="G201" s="200" t="str">
        <f t="shared" si="12"/>
        <v/>
      </c>
      <c r="H201" s="192"/>
      <c r="I201" s="60"/>
      <c r="J201" s="60"/>
      <c r="K201" s="60"/>
      <c r="L201" s="200" t="str">
        <f t="shared" si="13"/>
        <v/>
      </c>
      <c r="M201" s="192"/>
      <c r="N201" s="60"/>
      <c r="O201" s="60"/>
      <c r="P201" s="60"/>
      <c r="Q201" s="200" t="str">
        <f t="shared" si="14"/>
        <v/>
      </c>
      <c r="R201" s="192"/>
      <c r="S201" s="60"/>
      <c r="T201" s="205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</row>
    <row r="202" spans="1:252" s="157" customFormat="1" ht="13.5" customHeight="1" x14ac:dyDescent="0.25">
      <c r="A202" s="229" t="s">
        <v>301</v>
      </c>
      <c r="B202" s="7" t="s">
        <v>157</v>
      </c>
      <c r="C202" s="190" t="s">
        <v>310</v>
      </c>
      <c r="D202" s="191">
        <v>2</v>
      </c>
      <c r="E202" s="191">
        <v>1</v>
      </c>
      <c r="F202" s="191"/>
      <c r="G202" s="200" t="str">
        <f t="shared" si="12"/>
        <v/>
      </c>
      <c r="H202" s="190"/>
      <c r="I202" s="191"/>
      <c r="J202" s="191"/>
      <c r="K202" s="191"/>
      <c r="L202" s="200" t="str">
        <f t="shared" si="13"/>
        <v/>
      </c>
      <c r="M202" s="190"/>
      <c r="N202" s="191"/>
      <c r="O202" s="191"/>
      <c r="P202" s="191"/>
      <c r="Q202" s="200" t="str">
        <f t="shared" si="14"/>
        <v/>
      </c>
      <c r="R202" s="190"/>
      <c r="S202" s="191"/>
      <c r="T202" s="200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</row>
    <row r="203" spans="1:252" s="157" customFormat="1" ht="13.5" customHeight="1" x14ac:dyDescent="0.25">
      <c r="A203" s="229" t="s">
        <v>301</v>
      </c>
      <c r="B203" s="7" t="s">
        <v>773</v>
      </c>
      <c r="C203" s="190"/>
      <c r="D203" s="60"/>
      <c r="E203" s="60"/>
      <c r="F203" s="60"/>
      <c r="G203" s="200" t="str">
        <f t="shared" si="12"/>
        <v/>
      </c>
      <c r="H203" s="192"/>
      <c r="I203" s="60"/>
      <c r="J203" s="60"/>
      <c r="K203" s="60"/>
      <c r="L203" s="200" t="str">
        <f t="shared" si="13"/>
        <v/>
      </c>
      <c r="M203" s="192"/>
      <c r="N203" s="60"/>
      <c r="O203" s="60"/>
      <c r="P203" s="60"/>
      <c r="Q203" s="200" t="str">
        <f t="shared" si="14"/>
        <v/>
      </c>
      <c r="R203" s="192"/>
      <c r="S203" s="60"/>
      <c r="T203" s="205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</row>
    <row r="204" spans="1:252" s="157" customFormat="1" ht="13.5" customHeight="1" x14ac:dyDescent="0.25">
      <c r="A204" s="216" t="s">
        <v>301</v>
      </c>
      <c r="B204" s="184" t="s">
        <v>1782</v>
      </c>
      <c r="C204" s="201"/>
      <c r="D204" s="187"/>
      <c r="E204" s="187"/>
      <c r="F204" s="187"/>
      <c r="G204" s="208"/>
      <c r="H204" s="193"/>
      <c r="I204" s="187"/>
      <c r="J204" s="187"/>
      <c r="K204" s="187"/>
      <c r="L204" s="208"/>
      <c r="M204" s="193" t="s">
        <v>310</v>
      </c>
      <c r="N204" s="187">
        <v>2</v>
      </c>
      <c r="O204" s="187"/>
      <c r="P204" s="187"/>
      <c r="Q204" s="208" t="str">
        <f t="shared" si="14"/>
        <v/>
      </c>
      <c r="R204" s="193"/>
      <c r="S204" s="187"/>
      <c r="T204" s="209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</row>
    <row r="205" spans="1:252" s="8" customFormat="1" ht="13.5" customHeight="1" x14ac:dyDescent="0.25">
      <c r="A205" s="213" t="s">
        <v>299</v>
      </c>
      <c r="B205" s="184" t="s">
        <v>57</v>
      </c>
      <c r="C205" s="190" t="s">
        <v>310</v>
      </c>
      <c r="D205" s="191">
        <v>1</v>
      </c>
      <c r="E205" s="191"/>
      <c r="F205" s="191"/>
      <c r="G205" s="200" t="str">
        <f t="shared" si="12"/>
        <v/>
      </c>
      <c r="H205" s="190" t="s">
        <v>310</v>
      </c>
      <c r="I205" s="191">
        <v>1</v>
      </c>
      <c r="J205" s="191"/>
      <c r="K205" s="191"/>
      <c r="L205" s="200" t="str">
        <f t="shared" si="13"/>
        <v/>
      </c>
      <c r="M205" s="190" t="s">
        <v>310</v>
      </c>
      <c r="N205" s="191">
        <v>1</v>
      </c>
      <c r="O205" s="191"/>
      <c r="P205" s="191"/>
      <c r="Q205" s="200" t="str">
        <f t="shared" si="14"/>
        <v/>
      </c>
      <c r="R205" s="190"/>
      <c r="S205" s="191"/>
      <c r="T205" s="200"/>
      <c r="U205" s="160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  <c r="BJ205" s="160"/>
      <c r="BK205" s="160"/>
      <c r="BL205" s="160"/>
      <c r="BM205" s="160"/>
      <c r="BN205" s="160"/>
      <c r="BO205" s="160"/>
      <c r="BP205" s="160"/>
      <c r="BQ205" s="160"/>
      <c r="BR205" s="160"/>
      <c r="BS205" s="160"/>
      <c r="BT205" s="160"/>
      <c r="BU205" s="160"/>
      <c r="BV205" s="160"/>
      <c r="BW205" s="160"/>
      <c r="BX205" s="160"/>
      <c r="BY205" s="160"/>
      <c r="BZ205" s="160"/>
      <c r="CA205" s="160"/>
      <c r="CB205" s="160"/>
      <c r="CC205" s="160"/>
      <c r="CD205" s="160"/>
      <c r="CE205" s="160"/>
      <c r="CF205" s="160"/>
      <c r="CG205" s="160"/>
      <c r="CH205" s="160"/>
      <c r="CI205" s="160"/>
      <c r="CJ205" s="160"/>
      <c r="CK205" s="160"/>
      <c r="CL205" s="160"/>
      <c r="CM205" s="160"/>
      <c r="CN205" s="160"/>
      <c r="CO205" s="160"/>
      <c r="CP205" s="160"/>
      <c r="CQ205" s="160"/>
      <c r="CR205" s="160"/>
      <c r="CS205" s="160"/>
      <c r="CT205" s="160"/>
      <c r="CU205" s="160"/>
      <c r="CV205" s="160"/>
      <c r="CW205" s="160"/>
      <c r="CX205" s="160"/>
      <c r="CY205" s="160"/>
      <c r="CZ205" s="160"/>
      <c r="DA205" s="160"/>
      <c r="DB205" s="160"/>
      <c r="DC205" s="160"/>
      <c r="DD205" s="160"/>
      <c r="DE205" s="160"/>
      <c r="DF205" s="160"/>
      <c r="DG205" s="160"/>
      <c r="DH205" s="160"/>
      <c r="DI205" s="160"/>
      <c r="DJ205" s="160"/>
      <c r="DK205" s="160"/>
      <c r="DL205" s="160"/>
      <c r="DM205" s="160"/>
      <c r="DN205" s="160"/>
      <c r="DO205" s="160"/>
      <c r="DP205" s="160"/>
      <c r="DQ205" s="160"/>
      <c r="DR205" s="160"/>
      <c r="DS205" s="160"/>
      <c r="DT205" s="160"/>
      <c r="DU205" s="160"/>
      <c r="DV205" s="160"/>
      <c r="DW205" s="160"/>
      <c r="DX205" s="160"/>
      <c r="DY205" s="160"/>
      <c r="DZ205" s="160"/>
      <c r="EA205" s="160"/>
      <c r="EB205" s="160"/>
      <c r="EC205" s="160"/>
      <c r="ED205" s="160"/>
      <c r="EE205" s="160"/>
      <c r="EF205" s="160"/>
      <c r="EG205" s="160"/>
      <c r="EH205" s="160"/>
      <c r="EI205" s="160"/>
      <c r="EJ205" s="160"/>
      <c r="EK205" s="160"/>
      <c r="EL205" s="160"/>
      <c r="EM205" s="160"/>
      <c r="EN205" s="160"/>
      <c r="EO205" s="160"/>
      <c r="EP205" s="160"/>
      <c r="EQ205" s="160"/>
      <c r="ER205" s="160"/>
      <c r="ES205" s="160"/>
      <c r="ET205" s="160"/>
      <c r="EU205" s="160"/>
      <c r="EV205" s="160"/>
      <c r="EW205" s="160"/>
      <c r="EX205" s="160"/>
      <c r="EY205" s="160"/>
      <c r="EZ205" s="160"/>
      <c r="FA205" s="160"/>
      <c r="FB205" s="160"/>
      <c r="FC205" s="160"/>
      <c r="FD205" s="160"/>
      <c r="FE205" s="160"/>
      <c r="FF205" s="160"/>
      <c r="FG205" s="160"/>
      <c r="FH205" s="160"/>
      <c r="FI205" s="160"/>
      <c r="FJ205" s="160"/>
      <c r="FK205" s="160"/>
      <c r="FL205" s="160"/>
      <c r="FM205" s="160"/>
      <c r="FN205" s="160"/>
      <c r="FO205" s="160"/>
      <c r="FP205" s="160"/>
      <c r="FQ205" s="160"/>
      <c r="FR205" s="160"/>
      <c r="FS205" s="160"/>
      <c r="FT205" s="160"/>
      <c r="FU205" s="160"/>
      <c r="FV205" s="160"/>
      <c r="FW205" s="160"/>
      <c r="FX205" s="160"/>
      <c r="FY205" s="160"/>
      <c r="FZ205" s="160"/>
      <c r="GA205" s="160"/>
      <c r="GB205" s="160"/>
      <c r="GC205" s="160"/>
      <c r="GD205" s="160"/>
      <c r="GE205" s="160"/>
      <c r="GF205" s="160"/>
      <c r="GG205" s="160"/>
      <c r="GH205" s="160"/>
      <c r="GI205" s="160"/>
      <c r="GJ205" s="160"/>
      <c r="GK205" s="160"/>
      <c r="GL205" s="160"/>
      <c r="GM205" s="160"/>
      <c r="GN205" s="160"/>
      <c r="GO205" s="160"/>
      <c r="GP205" s="160"/>
      <c r="GQ205" s="160"/>
      <c r="GR205" s="160"/>
      <c r="GS205" s="160"/>
      <c r="GT205" s="160"/>
      <c r="GU205" s="160"/>
      <c r="GV205" s="160"/>
      <c r="GW205" s="160"/>
      <c r="GX205" s="160"/>
      <c r="GY205" s="160"/>
      <c r="GZ205" s="160"/>
      <c r="HA205" s="160"/>
      <c r="HB205" s="160"/>
      <c r="HC205" s="160"/>
      <c r="HD205" s="160"/>
      <c r="HE205" s="160"/>
      <c r="HF205" s="160"/>
      <c r="HG205" s="160"/>
      <c r="HH205" s="160"/>
      <c r="HI205" s="160"/>
      <c r="HJ205" s="160"/>
      <c r="HK205" s="160"/>
      <c r="HL205" s="160"/>
      <c r="HM205" s="160"/>
      <c r="HN205" s="160"/>
      <c r="HO205" s="160"/>
      <c r="HP205" s="160"/>
      <c r="HQ205" s="160"/>
      <c r="HR205" s="160"/>
      <c r="HS205" s="160"/>
      <c r="HT205" s="160"/>
      <c r="HU205" s="160"/>
      <c r="HV205" s="160"/>
      <c r="HW205" s="160"/>
      <c r="HX205" s="160"/>
      <c r="HY205" s="160"/>
      <c r="HZ205" s="160"/>
      <c r="IA205" s="160"/>
      <c r="IB205" s="160"/>
      <c r="IC205" s="160"/>
      <c r="ID205" s="160"/>
      <c r="IE205" s="160"/>
      <c r="IF205" s="160"/>
      <c r="IG205" s="160"/>
      <c r="IH205" s="160"/>
      <c r="II205" s="160"/>
      <c r="IJ205" s="160"/>
      <c r="IK205" s="160"/>
      <c r="IL205" s="160"/>
      <c r="IM205" s="160"/>
      <c r="IN205" s="160"/>
      <c r="IO205" s="160"/>
      <c r="IP205" s="160"/>
      <c r="IQ205" s="160"/>
      <c r="IR205" s="160"/>
    </row>
    <row r="206" spans="1:252" s="8" customFormat="1" ht="13.5" customHeight="1" x14ac:dyDescent="0.25">
      <c r="A206" s="213" t="s">
        <v>299</v>
      </c>
      <c r="B206" s="175" t="s">
        <v>774</v>
      </c>
      <c r="C206" s="190"/>
      <c r="D206" s="60"/>
      <c r="E206" s="60"/>
      <c r="F206" s="60"/>
      <c r="G206" s="200" t="str">
        <f t="shared" si="12"/>
        <v/>
      </c>
      <c r="H206" s="192"/>
      <c r="I206" s="60"/>
      <c r="J206" s="60"/>
      <c r="K206" s="60"/>
      <c r="L206" s="200" t="str">
        <f t="shared" si="13"/>
        <v/>
      </c>
      <c r="M206" s="192"/>
      <c r="N206" s="60"/>
      <c r="O206" s="60"/>
      <c r="P206" s="60"/>
      <c r="Q206" s="200" t="str">
        <f t="shared" si="14"/>
        <v/>
      </c>
      <c r="R206" s="192"/>
      <c r="S206" s="60"/>
      <c r="T206" s="205"/>
      <c r="U206" s="160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0"/>
      <c r="BN206" s="160"/>
      <c r="BO206" s="160"/>
      <c r="BP206" s="160"/>
      <c r="BQ206" s="160"/>
      <c r="BR206" s="160"/>
      <c r="BS206" s="160"/>
      <c r="BT206" s="160"/>
      <c r="BU206" s="160"/>
      <c r="BV206" s="160"/>
      <c r="BW206" s="160"/>
      <c r="BX206" s="160"/>
      <c r="BY206" s="160"/>
      <c r="BZ206" s="160"/>
      <c r="CA206" s="160"/>
      <c r="CB206" s="160"/>
      <c r="CC206" s="160"/>
      <c r="CD206" s="160"/>
      <c r="CE206" s="160"/>
      <c r="CF206" s="160"/>
      <c r="CG206" s="160"/>
      <c r="CH206" s="160"/>
      <c r="CI206" s="160"/>
      <c r="CJ206" s="160"/>
      <c r="CK206" s="160"/>
      <c r="CL206" s="160"/>
      <c r="CM206" s="160"/>
      <c r="CN206" s="160"/>
      <c r="CO206" s="160"/>
      <c r="CP206" s="160"/>
      <c r="CQ206" s="160"/>
      <c r="CR206" s="160"/>
      <c r="CS206" s="160"/>
      <c r="CT206" s="160"/>
      <c r="CU206" s="160"/>
      <c r="CV206" s="160"/>
      <c r="CW206" s="160"/>
      <c r="CX206" s="160"/>
      <c r="CY206" s="160"/>
      <c r="CZ206" s="160"/>
      <c r="DA206" s="160"/>
      <c r="DB206" s="160"/>
      <c r="DC206" s="160"/>
      <c r="DD206" s="160"/>
      <c r="DE206" s="160"/>
      <c r="DF206" s="160"/>
      <c r="DG206" s="160"/>
      <c r="DH206" s="160"/>
      <c r="DI206" s="160"/>
      <c r="DJ206" s="160"/>
      <c r="DK206" s="160"/>
      <c r="DL206" s="160"/>
      <c r="DM206" s="160"/>
      <c r="DN206" s="160"/>
      <c r="DO206" s="160"/>
      <c r="DP206" s="160"/>
      <c r="DQ206" s="160"/>
      <c r="DR206" s="160"/>
      <c r="DS206" s="160"/>
      <c r="DT206" s="160"/>
      <c r="DU206" s="160"/>
      <c r="DV206" s="160"/>
      <c r="DW206" s="160"/>
      <c r="DX206" s="160"/>
      <c r="DY206" s="160"/>
      <c r="DZ206" s="160"/>
      <c r="EA206" s="160"/>
      <c r="EB206" s="160"/>
      <c r="EC206" s="160"/>
      <c r="ED206" s="160"/>
      <c r="EE206" s="160"/>
      <c r="EF206" s="160"/>
      <c r="EG206" s="160"/>
      <c r="EH206" s="160"/>
      <c r="EI206" s="160"/>
      <c r="EJ206" s="160"/>
      <c r="EK206" s="160"/>
      <c r="EL206" s="160"/>
      <c r="EM206" s="160"/>
      <c r="EN206" s="160"/>
      <c r="EO206" s="160"/>
      <c r="EP206" s="160"/>
      <c r="EQ206" s="160"/>
      <c r="ER206" s="160"/>
      <c r="ES206" s="160"/>
      <c r="ET206" s="160"/>
      <c r="EU206" s="160"/>
      <c r="EV206" s="160"/>
      <c r="EW206" s="160"/>
      <c r="EX206" s="160"/>
      <c r="EY206" s="160"/>
      <c r="EZ206" s="160"/>
      <c r="FA206" s="160"/>
      <c r="FB206" s="160"/>
      <c r="FC206" s="160"/>
      <c r="FD206" s="160"/>
      <c r="FE206" s="160"/>
      <c r="FF206" s="160"/>
      <c r="FG206" s="160"/>
      <c r="FH206" s="160"/>
      <c r="FI206" s="160"/>
      <c r="FJ206" s="160"/>
      <c r="FK206" s="160"/>
      <c r="FL206" s="160"/>
      <c r="FM206" s="160"/>
      <c r="FN206" s="160"/>
      <c r="FO206" s="160"/>
      <c r="FP206" s="160"/>
      <c r="FQ206" s="160"/>
      <c r="FR206" s="160"/>
      <c r="FS206" s="160"/>
      <c r="FT206" s="160"/>
      <c r="FU206" s="160"/>
      <c r="FV206" s="160"/>
      <c r="FW206" s="160"/>
      <c r="FX206" s="160"/>
      <c r="FY206" s="160"/>
      <c r="FZ206" s="160"/>
      <c r="GA206" s="160"/>
      <c r="GB206" s="160"/>
      <c r="GC206" s="160"/>
      <c r="GD206" s="160"/>
      <c r="GE206" s="160"/>
      <c r="GF206" s="160"/>
      <c r="GG206" s="160"/>
      <c r="GH206" s="160"/>
      <c r="GI206" s="160"/>
      <c r="GJ206" s="160"/>
      <c r="GK206" s="160"/>
      <c r="GL206" s="160"/>
      <c r="GM206" s="160"/>
      <c r="GN206" s="160"/>
      <c r="GO206" s="160"/>
      <c r="GP206" s="160"/>
      <c r="GQ206" s="160"/>
      <c r="GR206" s="160"/>
      <c r="GS206" s="160"/>
      <c r="GT206" s="160"/>
      <c r="GU206" s="160"/>
      <c r="GV206" s="160"/>
      <c r="GW206" s="160"/>
      <c r="GX206" s="160"/>
      <c r="GY206" s="160"/>
      <c r="GZ206" s="160"/>
      <c r="HA206" s="160"/>
      <c r="HB206" s="160"/>
      <c r="HC206" s="160"/>
      <c r="HD206" s="160"/>
      <c r="HE206" s="160"/>
      <c r="HF206" s="160"/>
      <c r="HG206" s="160"/>
      <c r="HH206" s="160"/>
      <c r="HI206" s="160"/>
      <c r="HJ206" s="160"/>
      <c r="HK206" s="160"/>
      <c r="HL206" s="160"/>
      <c r="HM206" s="160"/>
      <c r="HN206" s="160"/>
      <c r="HO206" s="160"/>
      <c r="HP206" s="160"/>
      <c r="HQ206" s="160"/>
      <c r="HR206" s="160"/>
      <c r="HS206" s="160"/>
      <c r="HT206" s="160"/>
      <c r="HU206" s="160"/>
      <c r="HV206" s="160"/>
      <c r="HW206" s="160"/>
      <c r="HX206" s="160"/>
      <c r="HY206" s="160"/>
      <c r="HZ206" s="160"/>
      <c r="IA206" s="160"/>
      <c r="IB206" s="160"/>
      <c r="IC206" s="160"/>
      <c r="ID206" s="160"/>
      <c r="IE206" s="160"/>
      <c r="IF206" s="160"/>
      <c r="IG206" s="160"/>
      <c r="IH206" s="160"/>
      <c r="II206" s="160"/>
      <c r="IJ206" s="160"/>
      <c r="IK206" s="160"/>
      <c r="IL206" s="160"/>
      <c r="IM206" s="160"/>
      <c r="IN206" s="160"/>
      <c r="IO206" s="160"/>
      <c r="IP206" s="160"/>
      <c r="IQ206" s="160"/>
      <c r="IR206" s="160"/>
    </row>
    <row r="207" spans="1:252" s="8" customFormat="1" ht="13.5" customHeight="1" x14ac:dyDescent="0.25">
      <c r="A207" s="213" t="s">
        <v>299</v>
      </c>
      <c r="B207" s="7" t="s">
        <v>777</v>
      </c>
      <c r="C207" s="190"/>
      <c r="D207" s="60"/>
      <c r="E207" s="60"/>
      <c r="F207" s="60"/>
      <c r="G207" s="200" t="str">
        <f t="shared" si="12"/>
        <v/>
      </c>
      <c r="H207" s="192"/>
      <c r="I207" s="60"/>
      <c r="J207" s="60"/>
      <c r="K207" s="60"/>
      <c r="L207" s="200" t="str">
        <f t="shared" si="13"/>
        <v/>
      </c>
      <c r="M207" s="192"/>
      <c r="N207" s="60"/>
      <c r="O207" s="60"/>
      <c r="P207" s="60"/>
      <c r="Q207" s="200" t="str">
        <f t="shared" si="14"/>
        <v/>
      </c>
      <c r="R207" s="192"/>
      <c r="S207" s="60"/>
      <c r="T207" s="205"/>
      <c r="U207" s="160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  <c r="BL207" s="160"/>
      <c r="BM207" s="160"/>
      <c r="BN207" s="160"/>
      <c r="BO207" s="160"/>
      <c r="BP207" s="160"/>
      <c r="BQ207" s="160"/>
      <c r="BR207" s="160"/>
      <c r="BS207" s="160"/>
      <c r="BT207" s="160"/>
      <c r="BU207" s="160"/>
      <c r="BV207" s="160"/>
      <c r="BW207" s="160"/>
      <c r="BX207" s="160"/>
      <c r="BY207" s="160"/>
      <c r="BZ207" s="160"/>
      <c r="CA207" s="160"/>
      <c r="CB207" s="160"/>
      <c r="CC207" s="160"/>
      <c r="CD207" s="160"/>
      <c r="CE207" s="160"/>
      <c r="CF207" s="160"/>
      <c r="CG207" s="160"/>
      <c r="CH207" s="160"/>
      <c r="CI207" s="160"/>
      <c r="CJ207" s="160"/>
      <c r="CK207" s="160"/>
      <c r="CL207" s="160"/>
      <c r="CM207" s="160"/>
      <c r="CN207" s="160"/>
      <c r="CO207" s="160"/>
      <c r="CP207" s="160"/>
      <c r="CQ207" s="160"/>
      <c r="CR207" s="160"/>
      <c r="CS207" s="160"/>
      <c r="CT207" s="160"/>
      <c r="CU207" s="160"/>
      <c r="CV207" s="160"/>
      <c r="CW207" s="160"/>
      <c r="CX207" s="160"/>
      <c r="CY207" s="160"/>
      <c r="CZ207" s="160"/>
      <c r="DA207" s="160"/>
      <c r="DB207" s="160"/>
      <c r="DC207" s="160"/>
      <c r="DD207" s="160"/>
      <c r="DE207" s="160"/>
      <c r="DF207" s="160"/>
      <c r="DG207" s="160"/>
      <c r="DH207" s="160"/>
      <c r="DI207" s="160"/>
      <c r="DJ207" s="160"/>
      <c r="DK207" s="160"/>
      <c r="DL207" s="160"/>
      <c r="DM207" s="160"/>
      <c r="DN207" s="160"/>
      <c r="DO207" s="160"/>
      <c r="DP207" s="160"/>
      <c r="DQ207" s="160"/>
      <c r="DR207" s="160"/>
      <c r="DS207" s="160"/>
      <c r="DT207" s="160"/>
      <c r="DU207" s="160"/>
      <c r="DV207" s="160"/>
      <c r="DW207" s="160"/>
      <c r="DX207" s="160"/>
      <c r="DY207" s="160"/>
      <c r="DZ207" s="160"/>
      <c r="EA207" s="160"/>
      <c r="EB207" s="160"/>
      <c r="EC207" s="160"/>
      <c r="ED207" s="160"/>
      <c r="EE207" s="160"/>
      <c r="EF207" s="160"/>
      <c r="EG207" s="160"/>
      <c r="EH207" s="160"/>
      <c r="EI207" s="160"/>
      <c r="EJ207" s="160"/>
      <c r="EK207" s="160"/>
      <c r="EL207" s="160"/>
      <c r="EM207" s="160"/>
      <c r="EN207" s="160"/>
      <c r="EO207" s="160"/>
      <c r="EP207" s="160"/>
      <c r="EQ207" s="160"/>
      <c r="ER207" s="160"/>
      <c r="ES207" s="160"/>
      <c r="ET207" s="160"/>
      <c r="EU207" s="160"/>
      <c r="EV207" s="160"/>
      <c r="EW207" s="160"/>
      <c r="EX207" s="160"/>
      <c r="EY207" s="160"/>
      <c r="EZ207" s="160"/>
      <c r="FA207" s="160"/>
      <c r="FB207" s="160"/>
      <c r="FC207" s="160"/>
      <c r="FD207" s="160"/>
      <c r="FE207" s="160"/>
      <c r="FF207" s="160"/>
      <c r="FG207" s="160"/>
      <c r="FH207" s="160"/>
      <c r="FI207" s="160"/>
      <c r="FJ207" s="160"/>
      <c r="FK207" s="160"/>
      <c r="FL207" s="160"/>
      <c r="FM207" s="160"/>
      <c r="FN207" s="160"/>
      <c r="FO207" s="160"/>
      <c r="FP207" s="160"/>
      <c r="FQ207" s="160"/>
      <c r="FR207" s="160"/>
      <c r="FS207" s="160"/>
      <c r="FT207" s="160"/>
      <c r="FU207" s="160"/>
      <c r="FV207" s="160"/>
      <c r="FW207" s="160"/>
      <c r="FX207" s="160"/>
      <c r="FY207" s="160"/>
      <c r="FZ207" s="160"/>
      <c r="GA207" s="160"/>
      <c r="GB207" s="160"/>
      <c r="GC207" s="160"/>
      <c r="GD207" s="160"/>
      <c r="GE207" s="160"/>
      <c r="GF207" s="160"/>
      <c r="GG207" s="160"/>
      <c r="GH207" s="160"/>
      <c r="GI207" s="160"/>
      <c r="GJ207" s="160"/>
      <c r="GK207" s="160"/>
      <c r="GL207" s="160"/>
      <c r="GM207" s="160"/>
      <c r="GN207" s="160"/>
      <c r="GO207" s="160"/>
      <c r="GP207" s="160"/>
      <c r="GQ207" s="160"/>
      <c r="GR207" s="160"/>
      <c r="GS207" s="160"/>
      <c r="GT207" s="160"/>
      <c r="GU207" s="160"/>
      <c r="GV207" s="160"/>
      <c r="GW207" s="160"/>
      <c r="GX207" s="160"/>
      <c r="GY207" s="160"/>
      <c r="GZ207" s="160"/>
      <c r="HA207" s="160"/>
      <c r="HB207" s="160"/>
      <c r="HC207" s="160"/>
      <c r="HD207" s="160"/>
      <c r="HE207" s="160"/>
      <c r="HF207" s="160"/>
      <c r="HG207" s="160"/>
      <c r="HH207" s="160"/>
      <c r="HI207" s="160"/>
      <c r="HJ207" s="160"/>
      <c r="HK207" s="160"/>
      <c r="HL207" s="160"/>
      <c r="HM207" s="160"/>
      <c r="HN207" s="160"/>
      <c r="HO207" s="160"/>
      <c r="HP207" s="160"/>
      <c r="HQ207" s="160"/>
      <c r="HR207" s="160"/>
      <c r="HS207" s="160"/>
      <c r="HT207" s="160"/>
      <c r="HU207" s="160"/>
      <c r="HV207" s="160"/>
      <c r="HW207" s="160"/>
      <c r="HX207" s="160"/>
      <c r="HY207" s="160"/>
      <c r="HZ207" s="160"/>
      <c r="IA207" s="160"/>
      <c r="IB207" s="160"/>
      <c r="IC207" s="160"/>
      <c r="ID207" s="160"/>
      <c r="IE207" s="160"/>
      <c r="IF207" s="160"/>
      <c r="IG207" s="160"/>
      <c r="IH207" s="160"/>
      <c r="II207" s="160"/>
      <c r="IJ207" s="160"/>
      <c r="IK207" s="160"/>
      <c r="IL207" s="160"/>
      <c r="IM207" s="160"/>
      <c r="IN207" s="160"/>
      <c r="IO207" s="160"/>
      <c r="IP207" s="160"/>
      <c r="IQ207" s="160"/>
      <c r="IR207" s="160"/>
    </row>
    <row r="208" spans="1:252" s="8" customFormat="1" ht="13.5" customHeight="1" x14ac:dyDescent="0.25">
      <c r="A208" s="213" t="s">
        <v>299</v>
      </c>
      <c r="B208" s="7" t="s">
        <v>780</v>
      </c>
      <c r="C208" s="190"/>
      <c r="D208" s="60"/>
      <c r="E208" s="60"/>
      <c r="F208" s="60"/>
      <c r="G208" s="200" t="str">
        <f t="shared" si="12"/>
        <v/>
      </c>
      <c r="H208" s="192"/>
      <c r="I208" s="60"/>
      <c r="J208" s="60"/>
      <c r="K208" s="60"/>
      <c r="L208" s="200" t="str">
        <f t="shared" si="13"/>
        <v/>
      </c>
      <c r="M208" s="192"/>
      <c r="N208" s="60"/>
      <c r="O208" s="60"/>
      <c r="P208" s="60"/>
      <c r="Q208" s="200" t="str">
        <f t="shared" si="14"/>
        <v/>
      </c>
      <c r="R208" s="192"/>
      <c r="S208" s="60"/>
      <c r="T208" s="205"/>
      <c r="U208" s="160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  <c r="BI208" s="160"/>
      <c r="BJ208" s="160"/>
      <c r="BK208" s="160"/>
      <c r="BL208" s="160"/>
      <c r="BM208" s="160"/>
      <c r="BN208" s="160"/>
      <c r="BO208" s="160"/>
      <c r="BP208" s="160"/>
      <c r="BQ208" s="160"/>
      <c r="BR208" s="160"/>
      <c r="BS208" s="160"/>
      <c r="BT208" s="160"/>
      <c r="BU208" s="160"/>
      <c r="BV208" s="160"/>
      <c r="BW208" s="160"/>
      <c r="BX208" s="160"/>
      <c r="BY208" s="160"/>
      <c r="BZ208" s="160"/>
      <c r="CA208" s="160"/>
      <c r="CB208" s="160"/>
      <c r="CC208" s="160"/>
      <c r="CD208" s="160"/>
      <c r="CE208" s="160"/>
      <c r="CF208" s="160"/>
      <c r="CG208" s="160"/>
      <c r="CH208" s="160"/>
      <c r="CI208" s="160"/>
      <c r="CJ208" s="160"/>
      <c r="CK208" s="160"/>
      <c r="CL208" s="160"/>
      <c r="CM208" s="160"/>
      <c r="CN208" s="160"/>
      <c r="CO208" s="160"/>
      <c r="CP208" s="160"/>
      <c r="CQ208" s="160"/>
      <c r="CR208" s="160"/>
      <c r="CS208" s="160"/>
      <c r="CT208" s="160"/>
      <c r="CU208" s="160"/>
      <c r="CV208" s="160"/>
      <c r="CW208" s="160"/>
      <c r="CX208" s="160"/>
      <c r="CY208" s="160"/>
      <c r="CZ208" s="160"/>
      <c r="DA208" s="160"/>
      <c r="DB208" s="160"/>
      <c r="DC208" s="160"/>
      <c r="DD208" s="160"/>
      <c r="DE208" s="160"/>
      <c r="DF208" s="160"/>
      <c r="DG208" s="160"/>
      <c r="DH208" s="160"/>
      <c r="DI208" s="160"/>
      <c r="DJ208" s="160"/>
      <c r="DK208" s="160"/>
      <c r="DL208" s="160"/>
      <c r="DM208" s="160"/>
      <c r="DN208" s="160"/>
      <c r="DO208" s="160"/>
      <c r="DP208" s="160"/>
      <c r="DQ208" s="160"/>
      <c r="DR208" s="160"/>
      <c r="DS208" s="160"/>
      <c r="DT208" s="160"/>
      <c r="DU208" s="160"/>
      <c r="DV208" s="160"/>
      <c r="DW208" s="160"/>
      <c r="DX208" s="160"/>
      <c r="DY208" s="160"/>
      <c r="DZ208" s="160"/>
      <c r="EA208" s="160"/>
      <c r="EB208" s="160"/>
      <c r="EC208" s="160"/>
      <c r="ED208" s="160"/>
      <c r="EE208" s="160"/>
      <c r="EF208" s="160"/>
      <c r="EG208" s="160"/>
      <c r="EH208" s="160"/>
      <c r="EI208" s="160"/>
      <c r="EJ208" s="160"/>
      <c r="EK208" s="160"/>
      <c r="EL208" s="160"/>
      <c r="EM208" s="160"/>
      <c r="EN208" s="160"/>
      <c r="EO208" s="160"/>
      <c r="EP208" s="160"/>
      <c r="EQ208" s="160"/>
      <c r="ER208" s="160"/>
      <c r="ES208" s="160"/>
      <c r="ET208" s="160"/>
      <c r="EU208" s="160"/>
      <c r="EV208" s="160"/>
      <c r="EW208" s="160"/>
      <c r="EX208" s="160"/>
      <c r="EY208" s="160"/>
      <c r="EZ208" s="160"/>
      <c r="FA208" s="160"/>
      <c r="FB208" s="160"/>
      <c r="FC208" s="160"/>
      <c r="FD208" s="160"/>
      <c r="FE208" s="160"/>
      <c r="FF208" s="160"/>
      <c r="FG208" s="160"/>
      <c r="FH208" s="160"/>
      <c r="FI208" s="160"/>
      <c r="FJ208" s="160"/>
      <c r="FK208" s="160"/>
      <c r="FL208" s="160"/>
      <c r="FM208" s="160"/>
      <c r="FN208" s="160"/>
      <c r="FO208" s="160"/>
      <c r="FP208" s="160"/>
      <c r="FQ208" s="160"/>
      <c r="FR208" s="160"/>
      <c r="FS208" s="160"/>
      <c r="FT208" s="160"/>
      <c r="FU208" s="160"/>
      <c r="FV208" s="160"/>
      <c r="FW208" s="160"/>
      <c r="FX208" s="160"/>
      <c r="FY208" s="160"/>
      <c r="FZ208" s="160"/>
      <c r="GA208" s="160"/>
      <c r="GB208" s="160"/>
      <c r="GC208" s="160"/>
      <c r="GD208" s="160"/>
      <c r="GE208" s="160"/>
      <c r="GF208" s="160"/>
      <c r="GG208" s="160"/>
      <c r="GH208" s="160"/>
      <c r="GI208" s="160"/>
      <c r="GJ208" s="160"/>
      <c r="GK208" s="160"/>
      <c r="GL208" s="160"/>
      <c r="GM208" s="160"/>
      <c r="GN208" s="160"/>
      <c r="GO208" s="160"/>
      <c r="GP208" s="160"/>
      <c r="GQ208" s="160"/>
      <c r="GR208" s="160"/>
      <c r="GS208" s="160"/>
      <c r="GT208" s="160"/>
      <c r="GU208" s="160"/>
      <c r="GV208" s="160"/>
      <c r="GW208" s="160"/>
      <c r="GX208" s="160"/>
      <c r="GY208" s="160"/>
      <c r="GZ208" s="160"/>
      <c r="HA208" s="160"/>
      <c r="HB208" s="160"/>
      <c r="HC208" s="160"/>
      <c r="HD208" s="160"/>
      <c r="HE208" s="160"/>
      <c r="HF208" s="160"/>
      <c r="HG208" s="160"/>
      <c r="HH208" s="160"/>
      <c r="HI208" s="160"/>
      <c r="HJ208" s="160"/>
      <c r="HK208" s="160"/>
      <c r="HL208" s="160"/>
      <c r="HM208" s="160"/>
      <c r="HN208" s="160"/>
      <c r="HO208" s="160"/>
      <c r="HP208" s="160"/>
      <c r="HQ208" s="160"/>
      <c r="HR208" s="160"/>
      <c r="HS208" s="160"/>
      <c r="HT208" s="160"/>
      <c r="HU208" s="160"/>
      <c r="HV208" s="160"/>
      <c r="HW208" s="160"/>
      <c r="HX208" s="160"/>
      <c r="HY208" s="160"/>
      <c r="HZ208" s="160"/>
      <c r="IA208" s="160"/>
      <c r="IB208" s="160"/>
      <c r="IC208" s="160"/>
      <c r="ID208" s="160"/>
      <c r="IE208" s="160"/>
      <c r="IF208" s="160"/>
      <c r="IG208" s="160"/>
      <c r="IH208" s="160"/>
      <c r="II208" s="160"/>
      <c r="IJ208" s="160"/>
      <c r="IK208" s="160"/>
      <c r="IL208" s="160"/>
      <c r="IM208" s="160"/>
      <c r="IN208" s="160"/>
      <c r="IO208" s="160"/>
      <c r="IP208" s="160"/>
      <c r="IQ208" s="160"/>
      <c r="IR208" s="160"/>
    </row>
    <row r="209" spans="1:252" s="8" customFormat="1" ht="13.5" customHeight="1" x14ac:dyDescent="0.25">
      <c r="A209" s="213" t="s">
        <v>299</v>
      </c>
      <c r="B209" s="7" t="s">
        <v>783</v>
      </c>
      <c r="C209" s="190"/>
      <c r="D209" s="60"/>
      <c r="E209" s="60"/>
      <c r="F209" s="60"/>
      <c r="G209" s="200" t="str">
        <f t="shared" si="12"/>
        <v/>
      </c>
      <c r="H209" s="192"/>
      <c r="I209" s="60"/>
      <c r="J209" s="60"/>
      <c r="K209" s="60"/>
      <c r="L209" s="200" t="str">
        <f t="shared" si="13"/>
        <v/>
      </c>
      <c r="M209" s="192"/>
      <c r="N209" s="60"/>
      <c r="O209" s="60"/>
      <c r="P209" s="60"/>
      <c r="Q209" s="200" t="str">
        <f t="shared" si="14"/>
        <v/>
      </c>
      <c r="R209" s="192"/>
      <c r="S209" s="60"/>
      <c r="T209" s="205"/>
      <c r="U209" s="160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  <c r="BJ209" s="160"/>
      <c r="BK209" s="160"/>
      <c r="BL209" s="160"/>
      <c r="BM209" s="160"/>
      <c r="BN209" s="160"/>
      <c r="BO209" s="160"/>
      <c r="BP209" s="160"/>
      <c r="BQ209" s="160"/>
      <c r="BR209" s="160"/>
      <c r="BS209" s="160"/>
      <c r="BT209" s="160"/>
      <c r="BU209" s="160"/>
      <c r="BV209" s="160"/>
      <c r="BW209" s="160"/>
      <c r="BX209" s="160"/>
      <c r="BY209" s="160"/>
      <c r="BZ209" s="160"/>
      <c r="CA209" s="160"/>
      <c r="CB209" s="160"/>
      <c r="CC209" s="160"/>
      <c r="CD209" s="160"/>
      <c r="CE209" s="160"/>
      <c r="CF209" s="160"/>
      <c r="CG209" s="160"/>
      <c r="CH209" s="160"/>
      <c r="CI209" s="160"/>
      <c r="CJ209" s="160"/>
      <c r="CK209" s="160"/>
      <c r="CL209" s="160"/>
      <c r="CM209" s="160"/>
      <c r="CN209" s="160"/>
      <c r="CO209" s="160"/>
      <c r="CP209" s="160"/>
      <c r="CQ209" s="160"/>
      <c r="CR209" s="160"/>
      <c r="CS209" s="160"/>
      <c r="CT209" s="160"/>
      <c r="CU209" s="160"/>
      <c r="CV209" s="160"/>
      <c r="CW209" s="160"/>
      <c r="CX209" s="160"/>
      <c r="CY209" s="160"/>
      <c r="CZ209" s="160"/>
      <c r="DA209" s="160"/>
      <c r="DB209" s="160"/>
      <c r="DC209" s="160"/>
      <c r="DD209" s="160"/>
      <c r="DE209" s="160"/>
      <c r="DF209" s="160"/>
      <c r="DG209" s="160"/>
      <c r="DH209" s="160"/>
      <c r="DI209" s="160"/>
      <c r="DJ209" s="160"/>
      <c r="DK209" s="160"/>
      <c r="DL209" s="160"/>
      <c r="DM209" s="160"/>
      <c r="DN209" s="160"/>
      <c r="DO209" s="160"/>
      <c r="DP209" s="160"/>
      <c r="DQ209" s="160"/>
      <c r="DR209" s="160"/>
      <c r="DS209" s="160"/>
      <c r="DT209" s="160"/>
      <c r="DU209" s="160"/>
      <c r="DV209" s="160"/>
      <c r="DW209" s="160"/>
      <c r="DX209" s="160"/>
      <c r="DY209" s="160"/>
      <c r="DZ209" s="160"/>
      <c r="EA209" s="160"/>
      <c r="EB209" s="160"/>
      <c r="EC209" s="160"/>
      <c r="ED209" s="160"/>
      <c r="EE209" s="160"/>
      <c r="EF209" s="160"/>
      <c r="EG209" s="160"/>
      <c r="EH209" s="160"/>
      <c r="EI209" s="160"/>
      <c r="EJ209" s="160"/>
      <c r="EK209" s="160"/>
      <c r="EL209" s="160"/>
      <c r="EM209" s="160"/>
      <c r="EN209" s="160"/>
      <c r="EO209" s="160"/>
      <c r="EP209" s="160"/>
      <c r="EQ209" s="160"/>
      <c r="ER209" s="160"/>
      <c r="ES209" s="160"/>
      <c r="ET209" s="160"/>
      <c r="EU209" s="160"/>
      <c r="EV209" s="160"/>
      <c r="EW209" s="160"/>
      <c r="EX209" s="160"/>
      <c r="EY209" s="160"/>
      <c r="EZ209" s="160"/>
      <c r="FA209" s="160"/>
      <c r="FB209" s="160"/>
      <c r="FC209" s="160"/>
      <c r="FD209" s="160"/>
      <c r="FE209" s="160"/>
      <c r="FF209" s="160"/>
      <c r="FG209" s="160"/>
      <c r="FH209" s="160"/>
      <c r="FI209" s="160"/>
      <c r="FJ209" s="160"/>
      <c r="FK209" s="160"/>
      <c r="FL209" s="160"/>
      <c r="FM209" s="160"/>
      <c r="FN209" s="160"/>
      <c r="FO209" s="160"/>
      <c r="FP209" s="160"/>
      <c r="FQ209" s="160"/>
      <c r="FR209" s="160"/>
      <c r="FS209" s="160"/>
      <c r="FT209" s="160"/>
      <c r="FU209" s="160"/>
      <c r="FV209" s="160"/>
      <c r="FW209" s="160"/>
      <c r="FX209" s="160"/>
      <c r="FY209" s="160"/>
      <c r="FZ209" s="160"/>
      <c r="GA209" s="160"/>
      <c r="GB209" s="160"/>
      <c r="GC209" s="160"/>
      <c r="GD209" s="160"/>
      <c r="GE209" s="160"/>
      <c r="GF209" s="160"/>
      <c r="GG209" s="160"/>
      <c r="GH209" s="160"/>
      <c r="GI209" s="160"/>
      <c r="GJ209" s="160"/>
      <c r="GK209" s="160"/>
      <c r="GL209" s="160"/>
      <c r="GM209" s="160"/>
      <c r="GN209" s="160"/>
      <c r="GO209" s="160"/>
      <c r="GP209" s="160"/>
      <c r="GQ209" s="160"/>
      <c r="GR209" s="160"/>
      <c r="GS209" s="160"/>
      <c r="GT209" s="160"/>
      <c r="GU209" s="160"/>
      <c r="GV209" s="160"/>
      <c r="GW209" s="160"/>
      <c r="GX209" s="160"/>
      <c r="GY209" s="160"/>
      <c r="GZ209" s="160"/>
      <c r="HA209" s="160"/>
      <c r="HB209" s="160"/>
      <c r="HC209" s="160"/>
      <c r="HD209" s="160"/>
      <c r="HE209" s="160"/>
      <c r="HF209" s="160"/>
      <c r="HG209" s="160"/>
      <c r="HH209" s="160"/>
      <c r="HI209" s="160"/>
      <c r="HJ209" s="160"/>
      <c r="HK209" s="160"/>
      <c r="HL209" s="160"/>
      <c r="HM209" s="160"/>
      <c r="HN209" s="160"/>
      <c r="HO209" s="160"/>
      <c r="HP209" s="160"/>
      <c r="HQ209" s="160"/>
      <c r="HR209" s="160"/>
      <c r="HS209" s="160"/>
      <c r="HT209" s="160"/>
      <c r="HU209" s="160"/>
      <c r="HV209" s="160"/>
      <c r="HW209" s="160"/>
      <c r="HX209" s="160"/>
      <c r="HY209" s="160"/>
      <c r="HZ209" s="160"/>
      <c r="IA209" s="160"/>
      <c r="IB209" s="160"/>
      <c r="IC209" s="160"/>
      <c r="ID209" s="160"/>
      <c r="IE209" s="160"/>
      <c r="IF209" s="160"/>
      <c r="IG209" s="160"/>
      <c r="IH209" s="160"/>
      <c r="II209" s="160"/>
      <c r="IJ209" s="160"/>
      <c r="IK209" s="160"/>
      <c r="IL209" s="160"/>
      <c r="IM209" s="160"/>
      <c r="IN209" s="160"/>
      <c r="IO209" s="160"/>
      <c r="IP209" s="160"/>
      <c r="IQ209" s="160"/>
      <c r="IR209" s="160"/>
    </row>
    <row r="210" spans="1:252" s="8" customFormat="1" ht="13.5" customHeight="1" x14ac:dyDescent="0.25">
      <c r="A210" s="213" t="s">
        <v>299</v>
      </c>
      <c r="B210" s="7" t="s">
        <v>786</v>
      </c>
      <c r="C210" s="190"/>
      <c r="D210" s="60"/>
      <c r="E210" s="60"/>
      <c r="F210" s="60"/>
      <c r="G210" s="200" t="str">
        <f t="shared" si="12"/>
        <v/>
      </c>
      <c r="H210" s="192"/>
      <c r="I210" s="60"/>
      <c r="J210" s="60"/>
      <c r="K210" s="60"/>
      <c r="L210" s="200" t="str">
        <f t="shared" si="13"/>
        <v/>
      </c>
      <c r="M210" s="192"/>
      <c r="N210" s="60"/>
      <c r="O210" s="60"/>
      <c r="P210" s="60"/>
      <c r="Q210" s="200" t="str">
        <f t="shared" si="14"/>
        <v/>
      </c>
      <c r="R210" s="192"/>
      <c r="S210" s="60"/>
      <c r="T210" s="205"/>
      <c r="U210" s="160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  <c r="BI210" s="160"/>
      <c r="BJ210" s="160"/>
      <c r="BK210" s="160"/>
      <c r="BL210" s="160"/>
      <c r="BM210" s="160"/>
      <c r="BN210" s="160"/>
      <c r="BO210" s="160"/>
      <c r="BP210" s="160"/>
      <c r="BQ210" s="160"/>
      <c r="BR210" s="160"/>
      <c r="BS210" s="160"/>
      <c r="BT210" s="160"/>
      <c r="BU210" s="160"/>
      <c r="BV210" s="160"/>
      <c r="BW210" s="160"/>
      <c r="BX210" s="160"/>
      <c r="BY210" s="160"/>
      <c r="BZ210" s="160"/>
      <c r="CA210" s="160"/>
      <c r="CB210" s="160"/>
      <c r="CC210" s="160"/>
      <c r="CD210" s="160"/>
      <c r="CE210" s="160"/>
      <c r="CF210" s="160"/>
      <c r="CG210" s="160"/>
      <c r="CH210" s="160"/>
      <c r="CI210" s="160"/>
      <c r="CJ210" s="160"/>
      <c r="CK210" s="160"/>
      <c r="CL210" s="160"/>
      <c r="CM210" s="160"/>
      <c r="CN210" s="160"/>
      <c r="CO210" s="160"/>
      <c r="CP210" s="160"/>
      <c r="CQ210" s="160"/>
      <c r="CR210" s="160"/>
      <c r="CS210" s="160"/>
      <c r="CT210" s="160"/>
      <c r="CU210" s="160"/>
      <c r="CV210" s="160"/>
      <c r="CW210" s="160"/>
      <c r="CX210" s="160"/>
      <c r="CY210" s="160"/>
      <c r="CZ210" s="160"/>
      <c r="DA210" s="160"/>
      <c r="DB210" s="160"/>
      <c r="DC210" s="160"/>
      <c r="DD210" s="160"/>
      <c r="DE210" s="160"/>
      <c r="DF210" s="160"/>
      <c r="DG210" s="160"/>
      <c r="DH210" s="160"/>
      <c r="DI210" s="160"/>
      <c r="DJ210" s="160"/>
      <c r="DK210" s="160"/>
      <c r="DL210" s="160"/>
      <c r="DM210" s="160"/>
      <c r="DN210" s="160"/>
      <c r="DO210" s="160"/>
      <c r="DP210" s="160"/>
      <c r="DQ210" s="160"/>
      <c r="DR210" s="160"/>
      <c r="DS210" s="160"/>
      <c r="DT210" s="160"/>
      <c r="DU210" s="160"/>
      <c r="DV210" s="160"/>
      <c r="DW210" s="160"/>
      <c r="DX210" s="160"/>
      <c r="DY210" s="160"/>
      <c r="DZ210" s="160"/>
      <c r="EA210" s="160"/>
      <c r="EB210" s="160"/>
      <c r="EC210" s="160"/>
      <c r="ED210" s="160"/>
      <c r="EE210" s="160"/>
      <c r="EF210" s="160"/>
      <c r="EG210" s="160"/>
      <c r="EH210" s="160"/>
      <c r="EI210" s="160"/>
      <c r="EJ210" s="160"/>
      <c r="EK210" s="160"/>
      <c r="EL210" s="160"/>
      <c r="EM210" s="160"/>
      <c r="EN210" s="160"/>
      <c r="EO210" s="160"/>
      <c r="EP210" s="160"/>
      <c r="EQ210" s="160"/>
      <c r="ER210" s="160"/>
      <c r="ES210" s="160"/>
      <c r="ET210" s="160"/>
      <c r="EU210" s="160"/>
      <c r="EV210" s="160"/>
      <c r="EW210" s="160"/>
      <c r="EX210" s="160"/>
      <c r="EY210" s="160"/>
      <c r="EZ210" s="160"/>
      <c r="FA210" s="160"/>
      <c r="FB210" s="160"/>
      <c r="FC210" s="160"/>
      <c r="FD210" s="160"/>
      <c r="FE210" s="160"/>
      <c r="FF210" s="160"/>
      <c r="FG210" s="160"/>
      <c r="FH210" s="160"/>
      <c r="FI210" s="160"/>
      <c r="FJ210" s="160"/>
      <c r="FK210" s="160"/>
      <c r="FL210" s="160"/>
      <c r="FM210" s="160"/>
      <c r="FN210" s="160"/>
      <c r="FO210" s="160"/>
      <c r="FP210" s="160"/>
      <c r="FQ210" s="160"/>
      <c r="FR210" s="160"/>
      <c r="FS210" s="160"/>
      <c r="FT210" s="160"/>
      <c r="FU210" s="160"/>
      <c r="FV210" s="160"/>
      <c r="FW210" s="160"/>
      <c r="FX210" s="160"/>
      <c r="FY210" s="160"/>
      <c r="FZ210" s="160"/>
      <c r="GA210" s="160"/>
      <c r="GB210" s="160"/>
      <c r="GC210" s="160"/>
      <c r="GD210" s="160"/>
      <c r="GE210" s="160"/>
      <c r="GF210" s="160"/>
      <c r="GG210" s="160"/>
      <c r="GH210" s="160"/>
      <c r="GI210" s="160"/>
      <c r="GJ210" s="160"/>
      <c r="GK210" s="160"/>
      <c r="GL210" s="160"/>
      <c r="GM210" s="160"/>
      <c r="GN210" s="160"/>
      <c r="GO210" s="160"/>
      <c r="GP210" s="160"/>
      <c r="GQ210" s="160"/>
      <c r="GR210" s="160"/>
      <c r="GS210" s="160"/>
      <c r="GT210" s="160"/>
      <c r="GU210" s="160"/>
      <c r="GV210" s="160"/>
      <c r="GW210" s="160"/>
      <c r="GX210" s="160"/>
      <c r="GY210" s="160"/>
      <c r="GZ210" s="160"/>
      <c r="HA210" s="160"/>
      <c r="HB210" s="160"/>
      <c r="HC210" s="160"/>
      <c r="HD210" s="160"/>
      <c r="HE210" s="160"/>
      <c r="HF210" s="160"/>
      <c r="HG210" s="160"/>
      <c r="HH210" s="160"/>
      <c r="HI210" s="160"/>
      <c r="HJ210" s="160"/>
      <c r="HK210" s="160"/>
      <c r="HL210" s="160"/>
      <c r="HM210" s="160"/>
      <c r="HN210" s="160"/>
      <c r="HO210" s="160"/>
      <c r="HP210" s="160"/>
      <c r="HQ210" s="160"/>
      <c r="HR210" s="160"/>
      <c r="HS210" s="160"/>
      <c r="HT210" s="160"/>
      <c r="HU210" s="160"/>
      <c r="HV210" s="160"/>
      <c r="HW210" s="160"/>
      <c r="HX210" s="160"/>
      <c r="HY210" s="160"/>
      <c r="HZ210" s="160"/>
      <c r="IA210" s="160"/>
      <c r="IB210" s="160"/>
      <c r="IC210" s="160"/>
      <c r="ID210" s="160"/>
      <c r="IE210" s="160"/>
      <c r="IF210" s="160"/>
      <c r="IG210" s="160"/>
      <c r="IH210" s="160"/>
      <c r="II210" s="160"/>
      <c r="IJ210" s="160"/>
      <c r="IK210" s="160"/>
      <c r="IL210" s="160"/>
      <c r="IM210" s="160"/>
      <c r="IN210" s="160"/>
      <c r="IO210" s="160"/>
      <c r="IP210" s="160"/>
      <c r="IQ210" s="160"/>
      <c r="IR210" s="160"/>
    </row>
    <row r="211" spans="1:252" s="8" customFormat="1" ht="13.5" customHeight="1" x14ac:dyDescent="0.25">
      <c r="A211" s="213" t="s">
        <v>299</v>
      </c>
      <c r="B211" s="7" t="s">
        <v>788</v>
      </c>
      <c r="C211" s="190"/>
      <c r="D211" s="60"/>
      <c r="E211" s="60"/>
      <c r="F211" s="60"/>
      <c r="G211" s="200" t="str">
        <f t="shared" si="12"/>
        <v/>
      </c>
      <c r="H211" s="192"/>
      <c r="I211" s="60"/>
      <c r="J211" s="60"/>
      <c r="K211" s="60"/>
      <c r="L211" s="200" t="str">
        <f t="shared" si="13"/>
        <v/>
      </c>
      <c r="M211" s="192"/>
      <c r="N211" s="60"/>
      <c r="O211" s="60"/>
      <c r="P211" s="60"/>
      <c r="Q211" s="200" t="str">
        <f t="shared" si="14"/>
        <v/>
      </c>
      <c r="R211" s="192"/>
      <c r="S211" s="60"/>
      <c r="T211" s="205"/>
      <c r="U211" s="160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  <c r="BI211" s="160"/>
      <c r="BJ211" s="160"/>
      <c r="BK211" s="160"/>
      <c r="BL211" s="160"/>
      <c r="BM211" s="160"/>
      <c r="BN211" s="160"/>
      <c r="BO211" s="160"/>
      <c r="BP211" s="160"/>
      <c r="BQ211" s="160"/>
      <c r="BR211" s="160"/>
      <c r="BS211" s="160"/>
      <c r="BT211" s="160"/>
      <c r="BU211" s="160"/>
      <c r="BV211" s="160"/>
      <c r="BW211" s="160"/>
      <c r="BX211" s="160"/>
      <c r="BY211" s="160"/>
      <c r="BZ211" s="160"/>
      <c r="CA211" s="160"/>
      <c r="CB211" s="160"/>
      <c r="CC211" s="160"/>
      <c r="CD211" s="160"/>
      <c r="CE211" s="160"/>
      <c r="CF211" s="160"/>
      <c r="CG211" s="160"/>
      <c r="CH211" s="160"/>
      <c r="CI211" s="160"/>
      <c r="CJ211" s="160"/>
      <c r="CK211" s="160"/>
      <c r="CL211" s="160"/>
      <c r="CM211" s="160"/>
      <c r="CN211" s="160"/>
      <c r="CO211" s="160"/>
      <c r="CP211" s="160"/>
      <c r="CQ211" s="160"/>
      <c r="CR211" s="160"/>
      <c r="CS211" s="160"/>
      <c r="CT211" s="160"/>
      <c r="CU211" s="160"/>
      <c r="CV211" s="160"/>
      <c r="CW211" s="160"/>
      <c r="CX211" s="160"/>
      <c r="CY211" s="160"/>
      <c r="CZ211" s="160"/>
      <c r="DA211" s="160"/>
      <c r="DB211" s="160"/>
      <c r="DC211" s="160"/>
      <c r="DD211" s="160"/>
      <c r="DE211" s="160"/>
      <c r="DF211" s="160"/>
      <c r="DG211" s="160"/>
      <c r="DH211" s="160"/>
      <c r="DI211" s="160"/>
      <c r="DJ211" s="160"/>
      <c r="DK211" s="160"/>
      <c r="DL211" s="160"/>
      <c r="DM211" s="160"/>
      <c r="DN211" s="160"/>
      <c r="DO211" s="160"/>
      <c r="DP211" s="160"/>
      <c r="DQ211" s="160"/>
      <c r="DR211" s="160"/>
      <c r="DS211" s="160"/>
      <c r="DT211" s="160"/>
      <c r="DU211" s="160"/>
      <c r="DV211" s="160"/>
      <c r="DW211" s="160"/>
      <c r="DX211" s="160"/>
      <c r="DY211" s="160"/>
      <c r="DZ211" s="160"/>
      <c r="EA211" s="160"/>
      <c r="EB211" s="160"/>
      <c r="EC211" s="160"/>
      <c r="ED211" s="160"/>
      <c r="EE211" s="160"/>
      <c r="EF211" s="160"/>
      <c r="EG211" s="160"/>
      <c r="EH211" s="160"/>
      <c r="EI211" s="160"/>
      <c r="EJ211" s="160"/>
      <c r="EK211" s="160"/>
      <c r="EL211" s="160"/>
      <c r="EM211" s="160"/>
      <c r="EN211" s="160"/>
      <c r="EO211" s="160"/>
      <c r="EP211" s="160"/>
      <c r="EQ211" s="160"/>
      <c r="ER211" s="160"/>
      <c r="ES211" s="160"/>
      <c r="ET211" s="160"/>
      <c r="EU211" s="160"/>
      <c r="EV211" s="160"/>
      <c r="EW211" s="160"/>
      <c r="EX211" s="160"/>
      <c r="EY211" s="160"/>
      <c r="EZ211" s="160"/>
      <c r="FA211" s="160"/>
      <c r="FB211" s="160"/>
      <c r="FC211" s="160"/>
      <c r="FD211" s="160"/>
      <c r="FE211" s="160"/>
      <c r="FF211" s="160"/>
      <c r="FG211" s="160"/>
      <c r="FH211" s="160"/>
      <c r="FI211" s="160"/>
      <c r="FJ211" s="160"/>
      <c r="FK211" s="160"/>
      <c r="FL211" s="160"/>
      <c r="FM211" s="160"/>
      <c r="FN211" s="160"/>
      <c r="FO211" s="160"/>
      <c r="FP211" s="160"/>
      <c r="FQ211" s="160"/>
      <c r="FR211" s="160"/>
      <c r="FS211" s="160"/>
      <c r="FT211" s="160"/>
      <c r="FU211" s="160"/>
      <c r="FV211" s="160"/>
      <c r="FW211" s="160"/>
      <c r="FX211" s="160"/>
      <c r="FY211" s="160"/>
      <c r="FZ211" s="160"/>
      <c r="GA211" s="160"/>
      <c r="GB211" s="160"/>
      <c r="GC211" s="160"/>
      <c r="GD211" s="160"/>
      <c r="GE211" s="160"/>
      <c r="GF211" s="160"/>
      <c r="GG211" s="160"/>
      <c r="GH211" s="160"/>
      <c r="GI211" s="160"/>
      <c r="GJ211" s="160"/>
      <c r="GK211" s="160"/>
      <c r="GL211" s="160"/>
      <c r="GM211" s="160"/>
      <c r="GN211" s="160"/>
      <c r="GO211" s="160"/>
      <c r="GP211" s="160"/>
      <c r="GQ211" s="160"/>
      <c r="GR211" s="160"/>
      <c r="GS211" s="160"/>
      <c r="GT211" s="160"/>
      <c r="GU211" s="160"/>
      <c r="GV211" s="160"/>
      <c r="GW211" s="160"/>
      <c r="GX211" s="160"/>
      <c r="GY211" s="160"/>
      <c r="GZ211" s="160"/>
      <c r="HA211" s="160"/>
      <c r="HB211" s="160"/>
      <c r="HC211" s="160"/>
      <c r="HD211" s="160"/>
      <c r="HE211" s="160"/>
      <c r="HF211" s="160"/>
      <c r="HG211" s="160"/>
      <c r="HH211" s="160"/>
      <c r="HI211" s="160"/>
      <c r="HJ211" s="160"/>
      <c r="HK211" s="160"/>
      <c r="HL211" s="160"/>
      <c r="HM211" s="160"/>
      <c r="HN211" s="160"/>
      <c r="HO211" s="160"/>
      <c r="HP211" s="160"/>
      <c r="HQ211" s="160"/>
      <c r="HR211" s="160"/>
      <c r="HS211" s="160"/>
      <c r="HT211" s="160"/>
      <c r="HU211" s="160"/>
      <c r="HV211" s="160"/>
      <c r="HW211" s="160"/>
      <c r="HX211" s="160"/>
      <c r="HY211" s="160"/>
      <c r="HZ211" s="160"/>
      <c r="IA211" s="160"/>
      <c r="IB211" s="160"/>
      <c r="IC211" s="160"/>
      <c r="ID211" s="160"/>
      <c r="IE211" s="160"/>
      <c r="IF211" s="160"/>
      <c r="IG211" s="160"/>
      <c r="IH211" s="160"/>
      <c r="II211" s="160"/>
      <c r="IJ211" s="160"/>
      <c r="IK211" s="160"/>
      <c r="IL211" s="160"/>
      <c r="IM211" s="160"/>
      <c r="IN211" s="160"/>
      <c r="IO211" s="160"/>
      <c r="IP211" s="160"/>
      <c r="IQ211" s="160"/>
      <c r="IR211" s="160"/>
    </row>
    <row r="212" spans="1:252" s="8" customFormat="1" ht="13.5" customHeight="1" x14ac:dyDescent="0.25">
      <c r="A212" s="213" t="s">
        <v>299</v>
      </c>
      <c r="B212" s="7" t="s">
        <v>790</v>
      </c>
      <c r="C212" s="190"/>
      <c r="D212" s="60"/>
      <c r="E212" s="60"/>
      <c r="F212" s="60"/>
      <c r="G212" s="200" t="str">
        <f t="shared" si="12"/>
        <v/>
      </c>
      <c r="H212" s="192"/>
      <c r="I212" s="60"/>
      <c r="J212" s="60"/>
      <c r="K212" s="60"/>
      <c r="L212" s="200" t="str">
        <f t="shared" si="13"/>
        <v/>
      </c>
      <c r="M212" s="192"/>
      <c r="N212" s="60"/>
      <c r="O212" s="60"/>
      <c r="P212" s="60"/>
      <c r="Q212" s="200" t="str">
        <f t="shared" si="14"/>
        <v/>
      </c>
      <c r="R212" s="192"/>
      <c r="S212" s="60"/>
      <c r="T212" s="205"/>
      <c r="U212" s="160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  <c r="BH212" s="160"/>
      <c r="BI212" s="160"/>
      <c r="BJ212" s="160"/>
      <c r="BK212" s="160"/>
      <c r="BL212" s="160"/>
      <c r="BM212" s="160"/>
      <c r="BN212" s="160"/>
      <c r="BO212" s="160"/>
      <c r="BP212" s="160"/>
      <c r="BQ212" s="160"/>
      <c r="BR212" s="160"/>
      <c r="BS212" s="160"/>
      <c r="BT212" s="160"/>
      <c r="BU212" s="160"/>
      <c r="BV212" s="160"/>
      <c r="BW212" s="160"/>
      <c r="BX212" s="160"/>
      <c r="BY212" s="160"/>
      <c r="BZ212" s="160"/>
      <c r="CA212" s="160"/>
      <c r="CB212" s="160"/>
      <c r="CC212" s="160"/>
      <c r="CD212" s="160"/>
      <c r="CE212" s="160"/>
      <c r="CF212" s="160"/>
      <c r="CG212" s="160"/>
      <c r="CH212" s="160"/>
      <c r="CI212" s="160"/>
      <c r="CJ212" s="160"/>
      <c r="CK212" s="160"/>
      <c r="CL212" s="160"/>
      <c r="CM212" s="160"/>
      <c r="CN212" s="160"/>
      <c r="CO212" s="160"/>
      <c r="CP212" s="160"/>
      <c r="CQ212" s="160"/>
      <c r="CR212" s="160"/>
      <c r="CS212" s="160"/>
      <c r="CT212" s="160"/>
      <c r="CU212" s="160"/>
      <c r="CV212" s="160"/>
      <c r="CW212" s="160"/>
      <c r="CX212" s="160"/>
      <c r="CY212" s="160"/>
      <c r="CZ212" s="160"/>
      <c r="DA212" s="160"/>
      <c r="DB212" s="160"/>
      <c r="DC212" s="160"/>
      <c r="DD212" s="160"/>
      <c r="DE212" s="160"/>
      <c r="DF212" s="160"/>
      <c r="DG212" s="160"/>
      <c r="DH212" s="160"/>
      <c r="DI212" s="160"/>
      <c r="DJ212" s="160"/>
      <c r="DK212" s="160"/>
      <c r="DL212" s="160"/>
      <c r="DM212" s="160"/>
      <c r="DN212" s="160"/>
      <c r="DO212" s="160"/>
      <c r="DP212" s="160"/>
      <c r="DQ212" s="160"/>
      <c r="DR212" s="160"/>
      <c r="DS212" s="160"/>
      <c r="DT212" s="160"/>
      <c r="DU212" s="160"/>
      <c r="DV212" s="160"/>
      <c r="DW212" s="160"/>
      <c r="DX212" s="160"/>
      <c r="DY212" s="160"/>
      <c r="DZ212" s="160"/>
      <c r="EA212" s="160"/>
      <c r="EB212" s="160"/>
      <c r="EC212" s="160"/>
      <c r="ED212" s="160"/>
      <c r="EE212" s="160"/>
      <c r="EF212" s="160"/>
      <c r="EG212" s="160"/>
      <c r="EH212" s="160"/>
      <c r="EI212" s="160"/>
      <c r="EJ212" s="160"/>
      <c r="EK212" s="160"/>
      <c r="EL212" s="160"/>
      <c r="EM212" s="160"/>
      <c r="EN212" s="160"/>
      <c r="EO212" s="160"/>
      <c r="EP212" s="160"/>
      <c r="EQ212" s="160"/>
      <c r="ER212" s="160"/>
      <c r="ES212" s="160"/>
      <c r="ET212" s="160"/>
      <c r="EU212" s="160"/>
      <c r="EV212" s="160"/>
      <c r="EW212" s="160"/>
      <c r="EX212" s="160"/>
      <c r="EY212" s="160"/>
      <c r="EZ212" s="160"/>
      <c r="FA212" s="160"/>
      <c r="FB212" s="160"/>
      <c r="FC212" s="160"/>
      <c r="FD212" s="160"/>
      <c r="FE212" s="160"/>
      <c r="FF212" s="160"/>
      <c r="FG212" s="160"/>
      <c r="FH212" s="160"/>
      <c r="FI212" s="160"/>
      <c r="FJ212" s="160"/>
      <c r="FK212" s="160"/>
      <c r="FL212" s="160"/>
      <c r="FM212" s="160"/>
      <c r="FN212" s="160"/>
      <c r="FO212" s="160"/>
      <c r="FP212" s="160"/>
      <c r="FQ212" s="160"/>
      <c r="FR212" s="160"/>
      <c r="FS212" s="160"/>
      <c r="FT212" s="160"/>
      <c r="FU212" s="160"/>
      <c r="FV212" s="160"/>
      <c r="FW212" s="160"/>
      <c r="FX212" s="160"/>
      <c r="FY212" s="160"/>
      <c r="FZ212" s="160"/>
      <c r="GA212" s="160"/>
      <c r="GB212" s="160"/>
      <c r="GC212" s="160"/>
      <c r="GD212" s="160"/>
      <c r="GE212" s="160"/>
      <c r="GF212" s="160"/>
      <c r="GG212" s="160"/>
      <c r="GH212" s="160"/>
      <c r="GI212" s="160"/>
      <c r="GJ212" s="160"/>
      <c r="GK212" s="160"/>
      <c r="GL212" s="160"/>
      <c r="GM212" s="160"/>
      <c r="GN212" s="160"/>
      <c r="GO212" s="160"/>
      <c r="GP212" s="160"/>
      <c r="GQ212" s="160"/>
      <c r="GR212" s="160"/>
      <c r="GS212" s="160"/>
      <c r="GT212" s="160"/>
      <c r="GU212" s="160"/>
      <c r="GV212" s="160"/>
      <c r="GW212" s="160"/>
      <c r="GX212" s="160"/>
      <c r="GY212" s="160"/>
      <c r="GZ212" s="160"/>
      <c r="HA212" s="160"/>
      <c r="HB212" s="160"/>
      <c r="HC212" s="160"/>
      <c r="HD212" s="160"/>
      <c r="HE212" s="160"/>
      <c r="HF212" s="160"/>
      <c r="HG212" s="160"/>
      <c r="HH212" s="160"/>
      <c r="HI212" s="160"/>
      <c r="HJ212" s="160"/>
      <c r="HK212" s="160"/>
      <c r="HL212" s="160"/>
      <c r="HM212" s="160"/>
      <c r="HN212" s="160"/>
      <c r="HO212" s="160"/>
      <c r="HP212" s="160"/>
      <c r="HQ212" s="160"/>
      <c r="HR212" s="160"/>
      <c r="HS212" s="160"/>
      <c r="HT212" s="160"/>
      <c r="HU212" s="160"/>
      <c r="HV212" s="160"/>
      <c r="HW212" s="160"/>
      <c r="HX212" s="160"/>
      <c r="HY212" s="160"/>
      <c r="HZ212" s="160"/>
      <c r="IA212" s="160"/>
      <c r="IB212" s="160"/>
      <c r="IC212" s="160"/>
      <c r="ID212" s="160"/>
      <c r="IE212" s="160"/>
      <c r="IF212" s="160"/>
      <c r="IG212" s="160"/>
      <c r="IH212" s="160"/>
      <c r="II212" s="160"/>
      <c r="IJ212" s="160"/>
      <c r="IK212" s="160"/>
      <c r="IL212" s="160"/>
      <c r="IM212" s="160"/>
      <c r="IN212" s="160"/>
      <c r="IO212" s="160"/>
      <c r="IP212" s="160"/>
      <c r="IQ212" s="160"/>
      <c r="IR212" s="160"/>
    </row>
    <row r="213" spans="1:252" s="8" customFormat="1" ht="13.5" customHeight="1" x14ac:dyDescent="0.25">
      <c r="A213" s="213" t="s">
        <v>299</v>
      </c>
      <c r="B213" s="7" t="s">
        <v>792</v>
      </c>
      <c r="C213" s="190"/>
      <c r="D213" s="60"/>
      <c r="E213" s="60"/>
      <c r="F213" s="60"/>
      <c r="G213" s="200" t="str">
        <f t="shared" si="12"/>
        <v/>
      </c>
      <c r="H213" s="192"/>
      <c r="I213" s="60"/>
      <c r="J213" s="60"/>
      <c r="K213" s="60"/>
      <c r="L213" s="200" t="str">
        <f t="shared" si="13"/>
        <v/>
      </c>
      <c r="M213" s="192"/>
      <c r="N213" s="60"/>
      <c r="O213" s="60"/>
      <c r="P213" s="60"/>
      <c r="Q213" s="200" t="str">
        <f t="shared" si="14"/>
        <v/>
      </c>
      <c r="R213" s="192"/>
      <c r="S213" s="60"/>
      <c r="T213" s="205"/>
      <c r="U213" s="160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  <c r="BI213" s="160"/>
      <c r="BJ213" s="160"/>
      <c r="BK213" s="160"/>
      <c r="BL213" s="160"/>
      <c r="BM213" s="160"/>
      <c r="BN213" s="160"/>
      <c r="BO213" s="160"/>
      <c r="BP213" s="160"/>
      <c r="BQ213" s="160"/>
      <c r="BR213" s="160"/>
      <c r="BS213" s="160"/>
      <c r="BT213" s="160"/>
      <c r="BU213" s="160"/>
      <c r="BV213" s="160"/>
      <c r="BW213" s="160"/>
      <c r="BX213" s="160"/>
      <c r="BY213" s="160"/>
      <c r="BZ213" s="160"/>
      <c r="CA213" s="160"/>
      <c r="CB213" s="160"/>
      <c r="CC213" s="160"/>
      <c r="CD213" s="160"/>
      <c r="CE213" s="160"/>
      <c r="CF213" s="160"/>
      <c r="CG213" s="160"/>
      <c r="CH213" s="160"/>
      <c r="CI213" s="160"/>
      <c r="CJ213" s="160"/>
      <c r="CK213" s="160"/>
      <c r="CL213" s="160"/>
      <c r="CM213" s="160"/>
      <c r="CN213" s="160"/>
      <c r="CO213" s="160"/>
      <c r="CP213" s="160"/>
      <c r="CQ213" s="160"/>
      <c r="CR213" s="160"/>
      <c r="CS213" s="160"/>
      <c r="CT213" s="160"/>
      <c r="CU213" s="160"/>
      <c r="CV213" s="160"/>
      <c r="CW213" s="160"/>
      <c r="CX213" s="160"/>
      <c r="CY213" s="160"/>
      <c r="CZ213" s="160"/>
      <c r="DA213" s="160"/>
      <c r="DB213" s="160"/>
      <c r="DC213" s="160"/>
      <c r="DD213" s="160"/>
      <c r="DE213" s="160"/>
      <c r="DF213" s="160"/>
      <c r="DG213" s="160"/>
      <c r="DH213" s="160"/>
      <c r="DI213" s="160"/>
      <c r="DJ213" s="160"/>
      <c r="DK213" s="160"/>
      <c r="DL213" s="160"/>
      <c r="DM213" s="160"/>
      <c r="DN213" s="160"/>
      <c r="DO213" s="160"/>
      <c r="DP213" s="160"/>
      <c r="DQ213" s="160"/>
      <c r="DR213" s="160"/>
      <c r="DS213" s="160"/>
      <c r="DT213" s="160"/>
      <c r="DU213" s="160"/>
      <c r="DV213" s="160"/>
      <c r="DW213" s="160"/>
      <c r="DX213" s="160"/>
      <c r="DY213" s="160"/>
      <c r="DZ213" s="160"/>
      <c r="EA213" s="160"/>
      <c r="EB213" s="160"/>
      <c r="EC213" s="160"/>
      <c r="ED213" s="160"/>
      <c r="EE213" s="160"/>
      <c r="EF213" s="160"/>
      <c r="EG213" s="160"/>
      <c r="EH213" s="160"/>
      <c r="EI213" s="160"/>
      <c r="EJ213" s="160"/>
      <c r="EK213" s="160"/>
      <c r="EL213" s="160"/>
      <c r="EM213" s="160"/>
      <c r="EN213" s="160"/>
      <c r="EO213" s="160"/>
      <c r="EP213" s="160"/>
      <c r="EQ213" s="160"/>
      <c r="ER213" s="160"/>
      <c r="ES213" s="160"/>
      <c r="ET213" s="160"/>
      <c r="EU213" s="160"/>
      <c r="EV213" s="160"/>
      <c r="EW213" s="160"/>
      <c r="EX213" s="160"/>
      <c r="EY213" s="160"/>
      <c r="EZ213" s="160"/>
      <c r="FA213" s="160"/>
      <c r="FB213" s="160"/>
      <c r="FC213" s="160"/>
      <c r="FD213" s="160"/>
      <c r="FE213" s="160"/>
      <c r="FF213" s="160"/>
      <c r="FG213" s="160"/>
      <c r="FH213" s="160"/>
      <c r="FI213" s="160"/>
      <c r="FJ213" s="160"/>
      <c r="FK213" s="160"/>
      <c r="FL213" s="160"/>
      <c r="FM213" s="160"/>
      <c r="FN213" s="160"/>
      <c r="FO213" s="160"/>
      <c r="FP213" s="160"/>
      <c r="FQ213" s="160"/>
      <c r="FR213" s="160"/>
      <c r="FS213" s="160"/>
      <c r="FT213" s="160"/>
      <c r="FU213" s="160"/>
      <c r="FV213" s="160"/>
      <c r="FW213" s="160"/>
      <c r="FX213" s="160"/>
      <c r="FY213" s="160"/>
      <c r="FZ213" s="160"/>
      <c r="GA213" s="160"/>
      <c r="GB213" s="160"/>
      <c r="GC213" s="160"/>
      <c r="GD213" s="160"/>
      <c r="GE213" s="160"/>
      <c r="GF213" s="160"/>
      <c r="GG213" s="160"/>
      <c r="GH213" s="160"/>
      <c r="GI213" s="160"/>
      <c r="GJ213" s="160"/>
      <c r="GK213" s="160"/>
      <c r="GL213" s="160"/>
      <c r="GM213" s="160"/>
      <c r="GN213" s="160"/>
      <c r="GO213" s="160"/>
      <c r="GP213" s="160"/>
      <c r="GQ213" s="160"/>
      <c r="GR213" s="160"/>
      <c r="GS213" s="160"/>
      <c r="GT213" s="160"/>
      <c r="GU213" s="160"/>
      <c r="GV213" s="160"/>
      <c r="GW213" s="160"/>
      <c r="GX213" s="160"/>
      <c r="GY213" s="160"/>
      <c r="GZ213" s="160"/>
      <c r="HA213" s="160"/>
      <c r="HB213" s="160"/>
      <c r="HC213" s="160"/>
      <c r="HD213" s="160"/>
      <c r="HE213" s="160"/>
      <c r="HF213" s="160"/>
      <c r="HG213" s="160"/>
      <c r="HH213" s="160"/>
      <c r="HI213" s="160"/>
      <c r="HJ213" s="160"/>
      <c r="HK213" s="160"/>
      <c r="HL213" s="160"/>
      <c r="HM213" s="160"/>
      <c r="HN213" s="160"/>
      <c r="HO213" s="160"/>
      <c r="HP213" s="160"/>
      <c r="HQ213" s="160"/>
      <c r="HR213" s="160"/>
      <c r="HS213" s="160"/>
      <c r="HT213" s="160"/>
      <c r="HU213" s="160"/>
      <c r="HV213" s="160"/>
      <c r="HW213" s="160"/>
      <c r="HX213" s="160"/>
      <c r="HY213" s="160"/>
      <c r="HZ213" s="160"/>
      <c r="IA213" s="160"/>
      <c r="IB213" s="160"/>
      <c r="IC213" s="160"/>
      <c r="ID213" s="160"/>
      <c r="IE213" s="160"/>
      <c r="IF213" s="160"/>
      <c r="IG213" s="160"/>
      <c r="IH213" s="160"/>
      <c r="II213" s="160"/>
      <c r="IJ213" s="160"/>
      <c r="IK213" s="160"/>
      <c r="IL213" s="160"/>
      <c r="IM213" s="160"/>
      <c r="IN213" s="160"/>
      <c r="IO213" s="160"/>
      <c r="IP213" s="160"/>
      <c r="IQ213" s="160"/>
      <c r="IR213" s="160"/>
    </row>
    <row r="214" spans="1:252" s="8" customFormat="1" ht="13.5" customHeight="1" x14ac:dyDescent="0.25">
      <c r="A214" s="213" t="s">
        <v>299</v>
      </c>
      <c r="B214" s="7" t="s">
        <v>794</v>
      </c>
      <c r="C214" s="190"/>
      <c r="D214" s="60"/>
      <c r="E214" s="60"/>
      <c r="F214" s="60"/>
      <c r="G214" s="200" t="str">
        <f t="shared" si="12"/>
        <v/>
      </c>
      <c r="H214" s="192"/>
      <c r="I214" s="60"/>
      <c r="J214" s="60"/>
      <c r="K214" s="60"/>
      <c r="L214" s="200" t="str">
        <f t="shared" si="13"/>
        <v/>
      </c>
      <c r="M214" s="192"/>
      <c r="N214" s="60"/>
      <c r="O214" s="60"/>
      <c r="P214" s="60"/>
      <c r="Q214" s="200" t="str">
        <f t="shared" si="14"/>
        <v/>
      </c>
      <c r="R214" s="192"/>
      <c r="S214" s="60"/>
      <c r="T214" s="205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  <c r="AS214" s="160"/>
      <c r="AT214" s="160"/>
      <c r="AU214" s="160"/>
      <c r="AV214" s="160"/>
      <c r="AW214" s="160"/>
      <c r="AX214" s="160"/>
      <c r="AY214" s="160"/>
      <c r="AZ214" s="160"/>
      <c r="BA214" s="160"/>
      <c r="BB214" s="160"/>
      <c r="BC214" s="160"/>
      <c r="BD214" s="160"/>
      <c r="BE214" s="160"/>
      <c r="BF214" s="160"/>
      <c r="BG214" s="160"/>
      <c r="BH214" s="160"/>
      <c r="BI214" s="160"/>
      <c r="BJ214" s="160"/>
      <c r="BK214" s="160"/>
      <c r="BL214" s="160"/>
      <c r="BM214" s="160"/>
      <c r="BN214" s="160"/>
      <c r="BO214" s="160"/>
      <c r="BP214" s="160"/>
      <c r="BQ214" s="160"/>
      <c r="BR214" s="160"/>
      <c r="BS214" s="160"/>
      <c r="BT214" s="160"/>
      <c r="BU214" s="160"/>
      <c r="BV214" s="160"/>
      <c r="BW214" s="160"/>
      <c r="BX214" s="160"/>
      <c r="BY214" s="160"/>
      <c r="BZ214" s="160"/>
      <c r="CA214" s="160"/>
      <c r="CB214" s="160"/>
      <c r="CC214" s="160"/>
      <c r="CD214" s="160"/>
      <c r="CE214" s="160"/>
      <c r="CF214" s="160"/>
      <c r="CG214" s="160"/>
      <c r="CH214" s="160"/>
      <c r="CI214" s="160"/>
      <c r="CJ214" s="160"/>
      <c r="CK214" s="160"/>
      <c r="CL214" s="160"/>
      <c r="CM214" s="160"/>
      <c r="CN214" s="160"/>
      <c r="CO214" s="160"/>
      <c r="CP214" s="160"/>
      <c r="CQ214" s="160"/>
      <c r="CR214" s="160"/>
      <c r="CS214" s="160"/>
      <c r="CT214" s="160"/>
      <c r="CU214" s="160"/>
      <c r="CV214" s="160"/>
      <c r="CW214" s="160"/>
      <c r="CX214" s="160"/>
      <c r="CY214" s="160"/>
      <c r="CZ214" s="160"/>
      <c r="DA214" s="160"/>
      <c r="DB214" s="160"/>
      <c r="DC214" s="160"/>
      <c r="DD214" s="160"/>
      <c r="DE214" s="160"/>
      <c r="DF214" s="160"/>
      <c r="DG214" s="160"/>
      <c r="DH214" s="160"/>
      <c r="DI214" s="160"/>
      <c r="DJ214" s="160"/>
      <c r="DK214" s="160"/>
      <c r="DL214" s="160"/>
      <c r="DM214" s="160"/>
      <c r="DN214" s="160"/>
      <c r="DO214" s="160"/>
      <c r="DP214" s="160"/>
      <c r="DQ214" s="160"/>
      <c r="DR214" s="160"/>
      <c r="DS214" s="160"/>
      <c r="DT214" s="160"/>
      <c r="DU214" s="160"/>
      <c r="DV214" s="160"/>
      <c r="DW214" s="160"/>
      <c r="DX214" s="160"/>
      <c r="DY214" s="160"/>
      <c r="DZ214" s="160"/>
      <c r="EA214" s="160"/>
      <c r="EB214" s="160"/>
      <c r="EC214" s="160"/>
      <c r="ED214" s="160"/>
      <c r="EE214" s="160"/>
      <c r="EF214" s="160"/>
      <c r="EG214" s="160"/>
      <c r="EH214" s="160"/>
      <c r="EI214" s="160"/>
      <c r="EJ214" s="160"/>
      <c r="EK214" s="160"/>
      <c r="EL214" s="160"/>
      <c r="EM214" s="160"/>
      <c r="EN214" s="160"/>
      <c r="EO214" s="160"/>
      <c r="EP214" s="160"/>
      <c r="EQ214" s="160"/>
      <c r="ER214" s="160"/>
      <c r="ES214" s="160"/>
      <c r="ET214" s="160"/>
      <c r="EU214" s="160"/>
      <c r="EV214" s="160"/>
      <c r="EW214" s="160"/>
      <c r="EX214" s="160"/>
      <c r="EY214" s="160"/>
      <c r="EZ214" s="160"/>
      <c r="FA214" s="160"/>
      <c r="FB214" s="160"/>
      <c r="FC214" s="160"/>
      <c r="FD214" s="160"/>
      <c r="FE214" s="160"/>
      <c r="FF214" s="160"/>
      <c r="FG214" s="160"/>
      <c r="FH214" s="160"/>
      <c r="FI214" s="160"/>
      <c r="FJ214" s="160"/>
      <c r="FK214" s="160"/>
      <c r="FL214" s="160"/>
      <c r="FM214" s="160"/>
      <c r="FN214" s="160"/>
      <c r="FO214" s="160"/>
      <c r="FP214" s="160"/>
      <c r="FQ214" s="160"/>
      <c r="FR214" s="160"/>
      <c r="FS214" s="160"/>
      <c r="FT214" s="160"/>
      <c r="FU214" s="160"/>
      <c r="FV214" s="160"/>
      <c r="FW214" s="160"/>
      <c r="FX214" s="160"/>
      <c r="FY214" s="160"/>
      <c r="FZ214" s="160"/>
      <c r="GA214" s="160"/>
      <c r="GB214" s="160"/>
      <c r="GC214" s="160"/>
      <c r="GD214" s="160"/>
      <c r="GE214" s="160"/>
      <c r="GF214" s="160"/>
      <c r="GG214" s="160"/>
      <c r="GH214" s="160"/>
      <c r="GI214" s="160"/>
      <c r="GJ214" s="160"/>
      <c r="GK214" s="160"/>
      <c r="GL214" s="160"/>
      <c r="GM214" s="160"/>
      <c r="GN214" s="160"/>
      <c r="GO214" s="160"/>
      <c r="GP214" s="160"/>
      <c r="GQ214" s="160"/>
      <c r="GR214" s="160"/>
      <c r="GS214" s="160"/>
      <c r="GT214" s="160"/>
      <c r="GU214" s="160"/>
      <c r="GV214" s="160"/>
      <c r="GW214" s="160"/>
      <c r="GX214" s="160"/>
      <c r="GY214" s="160"/>
      <c r="GZ214" s="160"/>
      <c r="HA214" s="160"/>
      <c r="HB214" s="160"/>
      <c r="HC214" s="160"/>
      <c r="HD214" s="160"/>
      <c r="HE214" s="160"/>
      <c r="HF214" s="160"/>
      <c r="HG214" s="160"/>
      <c r="HH214" s="160"/>
      <c r="HI214" s="160"/>
      <c r="HJ214" s="160"/>
      <c r="HK214" s="160"/>
      <c r="HL214" s="160"/>
      <c r="HM214" s="160"/>
      <c r="HN214" s="160"/>
      <c r="HO214" s="160"/>
      <c r="HP214" s="160"/>
      <c r="HQ214" s="160"/>
      <c r="HR214" s="160"/>
      <c r="HS214" s="160"/>
      <c r="HT214" s="160"/>
      <c r="HU214" s="160"/>
      <c r="HV214" s="160"/>
      <c r="HW214" s="160"/>
      <c r="HX214" s="160"/>
      <c r="HY214" s="160"/>
      <c r="HZ214" s="160"/>
      <c r="IA214" s="160"/>
      <c r="IB214" s="160"/>
      <c r="IC214" s="160"/>
      <c r="ID214" s="160"/>
      <c r="IE214" s="160"/>
      <c r="IF214" s="160"/>
      <c r="IG214" s="160"/>
      <c r="IH214" s="160"/>
      <c r="II214" s="160"/>
      <c r="IJ214" s="160"/>
      <c r="IK214" s="160"/>
      <c r="IL214" s="160"/>
      <c r="IM214" s="160"/>
      <c r="IN214" s="160"/>
      <c r="IO214" s="160"/>
      <c r="IP214" s="160"/>
      <c r="IQ214" s="160"/>
      <c r="IR214" s="160"/>
    </row>
    <row r="215" spans="1:252" s="8" customFormat="1" ht="13.5" customHeight="1" x14ac:dyDescent="0.25">
      <c r="A215" s="213" t="s">
        <v>299</v>
      </c>
      <c r="B215" s="7" t="s">
        <v>795</v>
      </c>
      <c r="C215" s="190"/>
      <c r="D215" s="60"/>
      <c r="E215" s="60"/>
      <c r="F215" s="60"/>
      <c r="G215" s="200" t="str">
        <f t="shared" si="12"/>
        <v/>
      </c>
      <c r="H215" s="192"/>
      <c r="I215" s="60"/>
      <c r="J215" s="60"/>
      <c r="K215" s="60"/>
      <c r="L215" s="200" t="str">
        <f t="shared" si="13"/>
        <v/>
      </c>
      <c r="M215" s="192"/>
      <c r="N215" s="60"/>
      <c r="O215" s="60"/>
      <c r="P215" s="60"/>
      <c r="Q215" s="200" t="str">
        <f t="shared" si="14"/>
        <v/>
      </c>
      <c r="R215" s="192"/>
      <c r="S215" s="60"/>
      <c r="T215" s="205"/>
      <c r="U215" s="160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  <c r="BI215" s="160"/>
      <c r="BJ215" s="160"/>
      <c r="BK215" s="160"/>
      <c r="BL215" s="160"/>
      <c r="BM215" s="160"/>
      <c r="BN215" s="160"/>
      <c r="BO215" s="160"/>
      <c r="BP215" s="160"/>
      <c r="BQ215" s="160"/>
      <c r="BR215" s="160"/>
      <c r="BS215" s="160"/>
      <c r="BT215" s="160"/>
      <c r="BU215" s="160"/>
      <c r="BV215" s="160"/>
      <c r="BW215" s="160"/>
      <c r="BX215" s="160"/>
      <c r="BY215" s="160"/>
      <c r="BZ215" s="160"/>
      <c r="CA215" s="160"/>
      <c r="CB215" s="160"/>
      <c r="CC215" s="160"/>
      <c r="CD215" s="160"/>
      <c r="CE215" s="160"/>
      <c r="CF215" s="160"/>
      <c r="CG215" s="160"/>
      <c r="CH215" s="160"/>
      <c r="CI215" s="160"/>
      <c r="CJ215" s="160"/>
      <c r="CK215" s="160"/>
      <c r="CL215" s="160"/>
      <c r="CM215" s="160"/>
      <c r="CN215" s="160"/>
      <c r="CO215" s="160"/>
      <c r="CP215" s="160"/>
      <c r="CQ215" s="160"/>
      <c r="CR215" s="160"/>
      <c r="CS215" s="160"/>
      <c r="CT215" s="160"/>
      <c r="CU215" s="160"/>
      <c r="CV215" s="160"/>
      <c r="CW215" s="160"/>
      <c r="CX215" s="160"/>
      <c r="CY215" s="160"/>
      <c r="CZ215" s="160"/>
      <c r="DA215" s="160"/>
      <c r="DB215" s="160"/>
      <c r="DC215" s="160"/>
      <c r="DD215" s="160"/>
      <c r="DE215" s="160"/>
      <c r="DF215" s="160"/>
      <c r="DG215" s="160"/>
      <c r="DH215" s="160"/>
      <c r="DI215" s="160"/>
      <c r="DJ215" s="160"/>
      <c r="DK215" s="160"/>
      <c r="DL215" s="160"/>
      <c r="DM215" s="160"/>
      <c r="DN215" s="160"/>
      <c r="DO215" s="160"/>
      <c r="DP215" s="160"/>
      <c r="DQ215" s="160"/>
      <c r="DR215" s="160"/>
      <c r="DS215" s="160"/>
      <c r="DT215" s="160"/>
      <c r="DU215" s="160"/>
      <c r="DV215" s="160"/>
      <c r="DW215" s="160"/>
      <c r="DX215" s="160"/>
      <c r="DY215" s="160"/>
      <c r="DZ215" s="160"/>
      <c r="EA215" s="160"/>
      <c r="EB215" s="160"/>
      <c r="EC215" s="160"/>
      <c r="ED215" s="160"/>
      <c r="EE215" s="160"/>
      <c r="EF215" s="160"/>
      <c r="EG215" s="160"/>
      <c r="EH215" s="160"/>
      <c r="EI215" s="160"/>
      <c r="EJ215" s="160"/>
      <c r="EK215" s="160"/>
      <c r="EL215" s="160"/>
      <c r="EM215" s="160"/>
      <c r="EN215" s="160"/>
      <c r="EO215" s="160"/>
      <c r="EP215" s="160"/>
      <c r="EQ215" s="160"/>
      <c r="ER215" s="160"/>
      <c r="ES215" s="160"/>
      <c r="ET215" s="160"/>
      <c r="EU215" s="160"/>
      <c r="EV215" s="160"/>
      <c r="EW215" s="160"/>
      <c r="EX215" s="160"/>
      <c r="EY215" s="160"/>
      <c r="EZ215" s="160"/>
      <c r="FA215" s="160"/>
      <c r="FB215" s="160"/>
      <c r="FC215" s="160"/>
      <c r="FD215" s="160"/>
      <c r="FE215" s="160"/>
      <c r="FF215" s="160"/>
      <c r="FG215" s="160"/>
      <c r="FH215" s="160"/>
      <c r="FI215" s="160"/>
      <c r="FJ215" s="160"/>
      <c r="FK215" s="160"/>
      <c r="FL215" s="160"/>
      <c r="FM215" s="160"/>
      <c r="FN215" s="160"/>
      <c r="FO215" s="160"/>
      <c r="FP215" s="160"/>
      <c r="FQ215" s="160"/>
      <c r="FR215" s="160"/>
      <c r="FS215" s="160"/>
      <c r="FT215" s="160"/>
      <c r="FU215" s="160"/>
      <c r="FV215" s="160"/>
      <c r="FW215" s="160"/>
      <c r="FX215" s="160"/>
      <c r="FY215" s="160"/>
      <c r="FZ215" s="160"/>
      <c r="GA215" s="160"/>
      <c r="GB215" s="160"/>
      <c r="GC215" s="160"/>
      <c r="GD215" s="160"/>
      <c r="GE215" s="160"/>
      <c r="GF215" s="160"/>
      <c r="GG215" s="160"/>
      <c r="GH215" s="160"/>
      <c r="GI215" s="160"/>
      <c r="GJ215" s="160"/>
      <c r="GK215" s="160"/>
      <c r="GL215" s="160"/>
      <c r="GM215" s="160"/>
      <c r="GN215" s="160"/>
      <c r="GO215" s="160"/>
      <c r="GP215" s="160"/>
      <c r="GQ215" s="160"/>
      <c r="GR215" s="160"/>
      <c r="GS215" s="160"/>
      <c r="GT215" s="160"/>
      <c r="GU215" s="160"/>
      <c r="GV215" s="160"/>
      <c r="GW215" s="160"/>
      <c r="GX215" s="160"/>
      <c r="GY215" s="160"/>
      <c r="GZ215" s="160"/>
      <c r="HA215" s="160"/>
      <c r="HB215" s="160"/>
      <c r="HC215" s="160"/>
      <c r="HD215" s="160"/>
      <c r="HE215" s="160"/>
      <c r="HF215" s="160"/>
      <c r="HG215" s="160"/>
      <c r="HH215" s="160"/>
      <c r="HI215" s="160"/>
      <c r="HJ215" s="160"/>
      <c r="HK215" s="160"/>
      <c r="HL215" s="160"/>
      <c r="HM215" s="160"/>
      <c r="HN215" s="160"/>
      <c r="HO215" s="160"/>
      <c r="HP215" s="160"/>
      <c r="HQ215" s="160"/>
      <c r="HR215" s="160"/>
      <c r="HS215" s="160"/>
      <c r="HT215" s="160"/>
      <c r="HU215" s="160"/>
      <c r="HV215" s="160"/>
      <c r="HW215" s="160"/>
      <c r="HX215" s="160"/>
      <c r="HY215" s="160"/>
      <c r="HZ215" s="160"/>
      <c r="IA215" s="160"/>
      <c r="IB215" s="160"/>
      <c r="IC215" s="160"/>
      <c r="ID215" s="160"/>
      <c r="IE215" s="160"/>
      <c r="IF215" s="160"/>
      <c r="IG215" s="160"/>
      <c r="IH215" s="160"/>
      <c r="II215" s="160"/>
      <c r="IJ215" s="160"/>
      <c r="IK215" s="160"/>
      <c r="IL215" s="160"/>
      <c r="IM215" s="160"/>
      <c r="IN215" s="160"/>
      <c r="IO215" s="160"/>
      <c r="IP215" s="160"/>
      <c r="IQ215" s="160"/>
      <c r="IR215" s="160"/>
    </row>
    <row r="216" spans="1:252" s="8" customFormat="1" ht="13.5" customHeight="1" x14ac:dyDescent="0.25">
      <c r="A216" s="213" t="s">
        <v>299</v>
      </c>
      <c r="B216" s="7" t="s">
        <v>797</v>
      </c>
      <c r="C216" s="190"/>
      <c r="D216" s="60"/>
      <c r="E216" s="60"/>
      <c r="F216" s="60"/>
      <c r="G216" s="200" t="str">
        <f t="shared" si="12"/>
        <v/>
      </c>
      <c r="H216" s="192"/>
      <c r="I216" s="60"/>
      <c r="J216" s="60"/>
      <c r="K216" s="60"/>
      <c r="L216" s="200" t="str">
        <f t="shared" si="13"/>
        <v/>
      </c>
      <c r="M216" s="192"/>
      <c r="N216" s="60"/>
      <c r="O216" s="60"/>
      <c r="P216" s="60"/>
      <c r="Q216" s="200" t="str">
        <f t="shared" si="14"/>
        <v/>
      </c>
      <c r="R216" s="192"/>
      <c r="S216" s="60"/>
      <c r="T216" s="205"/>
      <c r="U216" s="160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  <c r="BF216" s="160"/>
      <c r="BG216" s="160"/>
      <c r="BH216" s="160"/>
      <c r="BI216" s="160"/>
      <c r="BJ216" s="160"/>
      <c r="BK216" s="160"/>
      <c r="BL216" s="160"/>
      <c r="BM216" s="160"/>
      <c r="BN216" s="160"/>
      <c r="BO216" s="160"/>
      <c r="BP216" s="160"/>
      <c r="BQ216" s="160"/>
      <c r="BR216" s="160"/>
      <c r="BS216" s="160"/>
      <c r="BT216" s="160"/>
      <c r="BU216" s="160"/>
      <c r="BV216" s="160"/>
      <c r="BW216" s="160"/>
      <c r="BX216" s="160"/>
      <c r="BY216" s="160"/>
      <c r="BZ216" s="160"/>
      <c r="CA216" s="160"/>
      <c r="CB216" s="160"/>
      <c r="CC216" s="160"/>
      <c r="CD216" s="160"/>
      <c r="CE216" s="160"/>
      <c r="CF216" s="160"/>
      <c r="CG216" s="160"/>
      <c r="CH216" s="160"/>
      <c r="CI216" s="160"/>
      <c r="CJ216" s="160"/>
      <c r="CK216" s="160"/>
      <c r="CL216" s="160"/>
      <c r="CM216" s="160"/>
      <c r="CN216" s="160"/>
      <c r="CO216" s="160"/>
      <c r="CP216" s="160"/>
      <c r="CQ216" s="160"/>
      <c r="CR216" s="160"/>
      <c r="CS216" s="160"/>
      <c r="CT216" s="160"/>
      <c r="CU216" s="160"/>
      <c r="CV216" s="160"/>
      <c r="CW216" s="160"/>
      <c r="CX216" s="160"/>
      <c r="CY216" s="160"/>
      <c r="CZ216" s="160"/>
      <c r="DA216" s="160"/>
      <c r="DB216" s="160"/>
      <c r="DC216" s="160"/>
      <c r="DD216" s="160"/>
      <c r="DE216" s="160"/>
      <c r="DF216" s="160"/>
      <c r="DG216" s="160"/>
      <c r="DH216" s="160"/>
      <c r="DI216" s="160"/>
      <c r="DJ216" s="160"/>
      <c r="DK216" s="160"/>
      <c r="DL216" s="160"/>
      <c r="DM216" s="160"/>
      <c r="DN216" s="160"/>
      <c r="DO216" s="160"/>
      <c r="DP216" s="160"/>
      <c r="DQ216" s="160"/>
      <c r="DR216" s="160"/>
      <c r="DS216" s="160"/>
      <c r="DT216" s="160"/>
      <c r="DU216" s="160"/>
      <c r="DV216" s="160"/>
      <c r="DW216" s="160"/>
      <c r="DX216" s="160"/>
      <c r="DY216" s="160"/>
      <c r="DZ216" s="160"/>
      <c r="EA216" s="160"/>
      <c r="EB216" s="160"/>
      <c r="EC216" s="160"/>
      <c r="ED216" s="160"/>
      <c r="EE216" s="160"/>
      <c r="EF216" s="160"/>
      <c r="EG216" s="160"/>
      <c r="EH216" s="160"/>
      <c r="EI216" s="160"/>
      <c r="EJ216" s="160"/>
      <c r="EK216" s="160"/>
      <c r="EL216" s="160"/>
      <c r="EM216" s="160"/>
      <c r="EN216" s="160"/>
      <c r="EO216" s="160"/>
      <c r="EP216" s="160"/>
      <c r="EQ216" s="160"/>
      <c r="ER216" s="160"/>
      <c r="ES216" s="160"/>
      <c r="ET216" s="160"/>
      <c r="EU216" s="160"/>
      <c r="EV216" s="160"/>
      <c r="EW216" s="160"/>
      <c r="EX216" s="160"/>
      <c r="EY216" s="160"/>
      <c r="EZ216" s="160"/>
      <c r="FA216" s="160"/>
      <c r="FB216" s="160"/>
      <c r="FC216" s="160"/>
      <c r="FD216" s="160"/>
      <c r="FE216" s="160"/>
      <c r="FF216" s="160"/>
      <c r="FG216" s="160"/>
      <c r="FH216" s="160"/>
      <c r="FI216" s="160"/>
      <c r="FJ216" s="160"/>
      <c r="FK216" s="160"/>
      <c r="FL216" s="160"/>
      <c r="FM216" s="160"/>
      <c r="FN216" s="160"/>
      <c r="FO216" s="160"/>
      <c r="FP216" s="160"/>
      <c r="FQ216" s="160"/>
      <c r="FR216" s="160"/>
      <c r="FS216" s="160"/>
      <c r="FT216" s="160"/>
      <c r="FU216" s="160"/>
      <c r="FV216" s="160"/>
      <c r="FW216" s="160"/>
      <c r="FX216" s="160"/>
      <c r="FY216" s="160"/>
      <c r="FZ216" s="160"/>
      <c r="GA216" s="160"/>
      <c r="GB216" s="160"/>
      <c r="GC216" s="160"/>
      <c r="GD216" s="160"/>
      <c r="GE216" s="160"/>
      <c r="GF216" s="160"/>
      <c r="GG216" s="160"/>
      <c r="GH216" s="160"/>
      <c r="GI216" s="160"/>
      <c r="GJ216" s="160"/>
      <c r="GK216" s="160"/>
      <c r="GL216" s="160"/>
      <c r="GM216" s="160"/>
      <c r="GN216" s="160"/>
      <c r="GO216" s="160"/>
      <c r="GP216" s="160"/>
      <c r="GQ216" s="160"/>
      <c r="GR216" s="160"/>
      <c r="GS216" s="160"/>
      <c r="GT216" s="160"/>
      <c r="GU216" s="160"/>
      <c r="GV216" s="160"/>
      <c r="GW216" s="160"/>
      <c r="GX216" s="160"/>
      <c r="GY216" s="160"/>
      <c r="GZ216" s="160"/>
      <c r="HA216" s="160"/>
      <c r="HB216" s="160"/>
      <c r="HC216" s="160"/>
      <c r="HD216" s="160"/>
      <c r="HE216" s="160"/>
      <c r="HF216" s="160"/>
      <c r="HG216" s="160"/>
      <c r="HH216" s="160"/>
      <c r="HI216" s="160"/>
      <c r="HJ216" s="160"/>
      <c r="HK216" s="160"/>
      <c r="HL216" s="160"/>
      <c r="HM216" s="160"/>
      <c r="HN216" s="160"/>
      <c r="HO216" s="160"/>
      <c r="HP216" s="160"/>
      <c r="HQ216" s="160"/>
      <c r="HR216" s="160"/>
      <c r="HS216" s="160"/>
      <c r="HT216" s="160"/>
      <c r="HU216" s="160"/>
      <c r="HV216" s="160"/>
      <c r="HW216" s="160"/>
      <c r="HX216" s="160"/>
      <c r="HY216" s="160"/>
      <c r="HZ216" s="160"/>
      <c r="IA216" s="160"/>
      <c r="IB216" s="160"/>
      <c r="IC216" s="160"/>
      <c r="ID216" s="160"/>
      <c r="IE216" s="160"/>
      <c r="IF216" s="160"/>
      <c r="IG216" s="160"/>
      <c r="IH216" s="160"/>
      <c r="II216" s="160"/>
      <c r="IJ216" s="160"/>
      <c r="IK216" s="160"/>
      <c r="IL216" s="160"/>
      <c r="IM216" s="160"/>
      <c r="IN216" s="160"/>
      <c r="IO216" s="160"/>
      <c r="IP216" s="160"/>
      <c r="IQ216" s="160"/>
      <c r="IR216" s="160"/>
    </row>
    <row r="217" spans="1:252" s="8" customFormat="1" ht="13.5" customHeight="1" x14ac:dyDescent="0.25">
      <c r="A217" s="213" t="s">
        <v>299</v>
      </c>
      <c r="B217" s="7" t="s">
        <v>799</v>
      </c>
      <c r="C217" s="190"/>
      <c r="D217" s="60"/>
      <c r="E217" s="60"/>
      <c r="F217" s="60"/>
      <c r="G217" s="200" t="str">
        <f t="shared" si="12"/>
        <v/>
      </c>
      <c r="H217" s="192"/>
      <c r="I217" s="60"/>
      <c r="J217" s="60"/>
      <c r="K217" s="60"/>
      <c r="L217" s="200" t="str">
        <f t="shared" si="13"/>
        <v/>
      </c>
      <c r="M217" s="192"/>
      <c r="N217" s="60"/>
      <c r="O217" s="60"/>
      <c r="P217" s="60"/>
      <c r="Q217" s="200" t="str">
        <f t="shared" si="14"/>
        <v/>
      </c>
      <c r="R217" s="192"/>
      <c r="S217" s="60"/>
      <c r="T217" s="205"/>
      <c r="U217" s="160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0"/>
      <c r="BH217" s="160"/>
      <c r="BI217" s="160"/>
      <c r="BJ217" s="160"/>
      <c r="BK217" s="160"/>
      <c r="BL217" s="160"/>
      <c r="BM217" s="160"/>
      <c r="BN217" s="160"/>
      <c r="BO217" s="160"/>
      <c r="BP217" s="160"/>
      <c r="BQ217" s="160"/>
      <c r="BR217" s="160"/>
      <c r="BS217" s="160"/>
      <c r="BT217" s="160"/>
      <c r="BU217" s="160"/>
      <c r="BV217" s="160"/>
      <c r="BW217" s="160"/>
      <c r="BX217" s="160"/>
      <c r="BY217" s="160"/>
      <c r="BZ217" s="160"/>
      <c r="CA217" s="160"/>
      <c r="CB217" s="160"/>
      <c r="CC217" s="160"/>
      <c r="CD217" s="160"/>
      <c r="CE217" s="160"/>
      <c r="CF217" s="160"/>
      <c r="CG217" s="160"/>
      <c r="CH217" s="160"/>
      <c r="CI217" s="160"/>
      <c r="CJ217" s="160"/>
      <c r="CK217" s="160"/>
      <c r="CL217" s="160"/>
      <c r="CM217" s="160"/>
      <c r="CN217" s="160"/>
      <c r="CO217" s="160"/>
      <c r="CP217" s="160"/>
      <c r="CQ217" s="160"/>
      <c r="CR217" s="160"/>
      <c r="CS217" s="160"/>
      <c r="CT217" s="160"/>
      <c r="CU217" s="160"/>
      <c r="CV217" s="160"/>
      <c r="CW217" s="160"/>
      <c r="CX217" s="160"/>
      <c r="CY217" s="160"/>
      <c r="CZ217" s="160"/>
      <c r="DA217" s="160"/>
      <c r="DB217" s="160"/>
      <c r="DC217" s="160"/>
      <c r="DD217" s="160"/>
      <c r="DE217" s="160"/>
      <c r="DF217" s="160"/>
      <c r="DG217" s="160"/>
      <c r="DH217" s="160"/>
      <c r="DI217" s="160"/>
      <c r="DJ217" s="160"/>
      <c r="DK217" s="160"/>
      <c r="DL217" s="160"/>
      <c r="DM217" s="160"/>
      <c r="DN217" s="160"/>
      <c r="DO217" s="160"/>
      <c r="DP217" s="160"/>
      <c r="DQ217" s="160"/>
      <c r="DR217" s="160"/>
      <c r="DS217" s="160"/>
      <c r="DT217" s="160"/>
      <c r="DU217" s="160"/>
      <c r="DV217" s="160"/>
      <c r="DW217" s="160"/>
      <c r="DX217" s="160"/>
      <c r="DY217" s="160"/>
      <c r="DZ217" s="160"/>
      <c r="EA217" s="160"/>
      <c r="EB217" s="160"/>
      <c r="EC217" s="160"/>
      <c r="ED217" s="160"/>
      <c r="EE217" s="160"/>
      <c r="EF217" s="160"/>
      <c r="EG217" s="160"/>
      <c r="EH217" s="160"/>
      <c r="EI217" s="160"/>
      <c r="EJ217" s="160"/>
      <c r="EK217" s="160"/>
      <c r="EL217" s="160"/>
      <c r="EM217" s="160"/>
      <c r="EN217" s="160"/>
      <c r="EO217" s="160"/>
      <c r="EP217" s="160"/>
      <c r="EQ217" s="160"/>
      <c r="ER217" s="160"/>
      <c r="ES217" s="160"/>
      <c r="ET217" s="160"/>
      <c r="EU217" s="160"/>
      <c r="EV217" s="160"/>
      <c r="EW217" s="160"/>
      <c r="EX217" s="160"/>
      <c r="EY217" s="160"/>
      <c r="EZ217" s="160"/>
      <c r="FA217" s="160"/>
      <c r="FB217" s="160"/>
      <c r="FC217" s="160"/>
      <c r="FD217" s="160"/>
      <c r="FE217" s="160"/>
      <c r="FF217" s="160"/>
      <c r="FG217" s="160"/>
      <c r="FH217" s="160"/>
      <c r="FI217" s="160"/>
      <c r="FJ217" s="160"/>
      <c r="FK217" s="160"/>
      <c r="FL217" s="160"/>
      <c r="FM217" s="160"/>
      <c r="FN217" s="160"/>
      <c r="FO217" s="160"/>
      <c r="FP217" s="160"/>
      <c r="FQ217" s="160"/>
      <c r="FR217" s="160"/>
      <c r="FS217" s="160"/>
      <c r="FT217" s="160"/>
      <c r="FU217" s="160"/>
      <c r="FV217" s="160"/>
      <c r="FW217" s="160"/>
      <c r="FX217" s="160"/>
      <c r="FY217" s="160"/>
      <c r="FZ217" s="160"/>
      <c r="GA217" s="160"/>
      <c r="GB217" s="160"/>
      <c r="GC217" s="160"/>
      <c r="GD217" s="160"/>
      <c r="GE217" s="160"/>
      <c r="GF217" s="160"/>
      <c r="GG217" s="160"/>
      <c r="GH217" s="160"/>
      <c r="GI217" s="160"/>
      <c r="GJ217" s="160"/>
      <c r="GK217" s="160"/>
      <c r="GL217" s="160"/>
      <c r="GM217" s="160"/>
      <c r="GN217" s="160"/>
      <c r="GO217" s="160"/>
      <c r="GP217" s="160"/>
      <c r="GQ217" s="160"/>
      <c r="GR217" s="160"/>
      <c r="GS217" s="160"/>
      <c r="GT217" s="160"/>
      <c r="GU217" s="160"/>
      <c r="GV217" s="160"/>
      <c r="GW217" s="160"/>
      <c r="GX217" s="160"/>
      <c r="GY217" s="160"/>
      <c r="GZ217" s="160"/>
      <c r="HA217" s="160"/>
      <c r="HB217" s="160"/>
      <c r="HC217" s="160"/>
      <c r="HD217" s="160"/>
      <c r="HE217" s="160"/>
      <c r="HF217" s="160"/>
      <c r="HG217" s="160"/>
      <c r="HH217" s="160"/>
      <c r="HI217" s="160"/>
      <c r="HJ217" s="160"/>
      <c r="HK217" s="160"/>
      <c r="HL217" s="160"/>
      <c r="HM217" s="160"/>
      <c r="HN217" s="160"/>
      <c r="HO217" s="160"/>
      <c r="HP217" s="160"/>
      <c r="HQ217" s="160"/>
      <c r="HR217" s="160"/>
      <c r="HS217" s="160"/>
      <c r="HT217" s="160"/>
      <c r="HU217" s="160"/>
      <c r="HV217" s="160"/>
      <c r="HW217" s="160"/>
      <c r="HX217" s="160"/>
      <c r="HY217" s="160"/>
      <c r="HZ217" s="160"/>
      <c r="IA217" s="160"/>
      <c r="IB217" s="160"/>
      <c r="IC217" s="160"/>
      <c r="ID217" s="160"/>
      <c r="IE217" s="160"/>
      <c r="IF217" s="160"/>
      <c r="IG217" s="160"/>
      <c r="IH217" s="160"/>
      <c r="II217" s="160"/>
      <c r="IJ217" s="160"/>
      <c r="IK217" s="160"/>
      <c r="IL217" s="160"/>
      <c r="IM217" s="160"/>
      <c r="IN217" s="160"/>
      <c r="IO217" s="160"/>
      <c r="IP217" s="160"/>
      <c r="IQ217" s="160"/>
      <c r="IR217" s="160"/>
    </row>
    <row r="218" spans="1:252" s="8" customFormat="1" ht="13.5" customHeight="1" x14ac:dyDescent="0.25">
      <c r="A218" s="213" t="s">
        <v>299</v>
      </c>
      <c r="B218" s="7" t="s">
        <v>801</v>
      </c>
      <c r="C218" s="190"/>
      <c r="D218" s="60"/>
      <c r="E218" s="60"/>
      <c r="F218" s="60"/>
      <c r="G218" s="200" t="str">
        <f t="shared" si="12"/>
        <v/>
      </c>
      <c r="H218" s="192"/>
      <c r="I218" s="60"/>
      <c r="J218" s="60"/>
      <c r="K218" s="60"/>
      <c r="L218" s="200" t="str">
        <f t="shared" si="13"/>
        <v/>
      </c>
      <c r="M218" s="192"/>
      <c r="N218" s="60"/>
      <c r="O218" s="60"/>
      <c r="P218" s="60"/>
      <c r="Q218" s="200" t="str">
        <f t="shared" si="14"/>
        <v/>
      </c>
      <c r="R218" s="192"/>
      <c r="S218" s="60"/>
      <c r="T218" s="205"/>
      <c r="U218" s="160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160"/>
      <c r="BH218" s="160"/>
      <c r="BI218" s="160"/>
      <c r="BJ218" s="160"/>
      <c r="BK218" s="160"/>
      <c r="BL218" s="160"/>
      <c r="BM218" s="160"/>
      <c r="BN218" s="160"/>
      <c r="BO218" s="160"/>
      <c r="BP218" s="160"/>
      <c r="BQ218" s="160"/>
      <c r="BR218" s="160"/>
      <c r="BS218" s="160"/>
      <c r="BT218" s="160"/>
      <c r="BU218" s="160"/>
      <c r="BV218" s="160"/>
      <c r="BW218" s="160"/>
      <c r="BX218" s="160"/>
      <c r="BY218" s="160"/>
      <c r="BZ218" s="160"/>
      <c r="CA218" s="160"/>
      <c r="CB218" s="160"/>
      <c r="CC218" s="160"/>
      <c r="CD218" s="160"/>
      <c r="CE218" s="160"/>
      <c r="CF218" s="160"/>
      <c r="CG218" s="160"/>
      <c r="CH218" s="160"/>
      <c r="CI218" s="160"/>
      <c r="CJ218" s="160"/>
      <c r="CK218" s="160"/>
      <c r="CL218" s="160"/>
      <c r="CM218" s="160"/>
      <c r="CN218" s="160"/>
      <c r="CO218" s="160"/>
      <c r="CP218" s="160"/>
      <c r="CQ218" s="160"/>
      <c r="CR218" s="160"/>
      <c r="CS218" s="160"/>
      <c r="CT218" s="160"/>
      <c r="CU218" s="160"/>
      <c r="CV218" s="160"/>
      <c r="CW218" s="160"/>
      <c r="CX218" s="160"/>
      <c r="CY218" s="160"/>
      <c r="CZ218" s="160"/>
      <c r="DA218" s="160"/>
      <c r="DB218" s="160"/>
      <c r="DC218" s="160"/>
      <c r="DD218" s="160"/>
      <c r="DE218" s="160"/>
      <c r="DF218" s="160"/>
      <c r="DG218" s="160"/>
      <c r="DH218" s="160"/>
      <c r="DI218" s="160"/>
      <c r="DJ218" s="160"/>
      <c r="DK218" s="160"/>
      <c r="DL218" s="160"/>
      <c r="DM218" s="160"/>
      <c r="DN218" s="160"/>
      <c r="DO218" s="160"/>
      <c r="DP218" s="160"/>
      <c r="DQ218" s="160"/>
      <c r="DR218" s="160"/>
      <c r="DS218" s="160"/>
      <c r="DT218" s="160"/>
      <c r="DU218" s="160"/>
      <c r="DV218" s="160"/>
      <c r="DW218" s="160"/>
      <c r="DX218" s="160"/>
      <c r="DY218" s="160"/>
      <c r="DZ218" s="160"/>
      <c r="EA218" s="160"/>
      <c r="EB218" s="160"/>
      <c r="EC218" s="160"/>
      <c r="ED218" s="160"/>
      <c r="EE218" s="160"/>
      <c r="EF218" s="160"/>
      <c r="EG218" s="160"/>
      <c r="EH218" s="160"/>
      <c r="EI218" s="160"/>
      <c r="EJ218" s="160"/>
      <c r="EK218" s="160"/>
      <c r="EL218" s="160"/>
      <c r="EM218" s="160"/>
      <c r="EN218" s="160"/>
      <c r="EO218" s="160"/>
      <c r="EP218" s="160"/>
      <c r="EQ218" s="160"/>
      <c r="ER218" s="160"/>
      <c r="ES218" s="160"/>
      <c r="ET218" s="160"/>
      <c r="EU218" s="160"/>
      <c r="EV218" s="160"/>
      <c r="EW218" s="160"/>
      <c r="EX218" s="160"/>
      <c r="EY218" s="160"/>
      <c r="EZ218" s="160"/>
      <c r="FA218" s="160"/>
      <c r="FB218" s="160"/>
      <c r="FC218" s="160"/>
      <c r="FD218" s="160"/>
      <c r="FE218" s="160"/>
      <c r="FF218" s="160"/>
      <c r="FG218" s="160"/>
      <c r="FH218" s="160"/>
      <c r="FI218" s="160"/>
      <c r="FJ218" s="160"/>
      <c r="FK218" s="160"/>
      <c r="FL218" s="160"/>
      <c r="FM218" s="160"/>
      <c r="FN218" s="160"/>
      <c r="FO218" s="160"/>
      <c r="FP218" s="160"/>
      <c r="FQ218" s="160"/>
      <c r="FR218" s="160"/>
      <c r="FS218" s="160"/>
      <c r="FT218" s="160"/>
      <c r="FU218" s="160"/>
      <c r="FV218" s="160"/>
      <c r="FW218" s="160"/>
      <c r="FX218" s="160"/>
      <c r="FY218" s="160"/>
      <c r="FZ218" s="160"/>
      <c r="GA218" s="160"/>
      <c r="GB218" s="160"/>
      <c r="GC218" s="160"/>
      <c r="GD218" s="160"/>
      <c r="GE218" s="160"/>
      <c r="GF218" s="160"/>
      <c r="GG218" s="160"/>
      <c r="GH218" s="160"/>
      <c r="GI218" s="160"/>
      <c r="GJ218" s="160"/>
      <c r="GK218" s="160"/>
      <c r="GL218" s="160"/>
      <c r="GM218" s="160"/>
      <c r="GN218" s="160"/>
      <c r="GO218" s="160"/>
      <c r="GP218" s="160"/>
      <c r="GQ218" s="160"/>
      <c r="GR218" s="160"/>
      <c r="GS218" s="160"/>
      <c r="GT218" s="160"/>
      <c r="GU218" s="160"/>
      <c r="GV218" s="160"/>
      <c r="GW218" s="160"/>
      <c r="GX218" s="160"/>
      <c r="GY218" s="160"/>
      <c r="GZ218" s="160"/>
      <c r="HA218" s="160"/>
      <c r="HB218" s="160"/>
      <c r="HC218" s="160"/>
      <c r="HD218" s="160"/>
      <c r="HE218" s="160"/>
      <c r="HF218" s="160"/>
      <c r="HG218" s="160"/>
      <c r="HH218" s="160"/>
      <c r="HI218" s="160"/>
      <c r="HJ218" s="160"/>
      <c r="HK218" s="160"/>
      <c r="HL218" s="160"/>
      <c r="HM218" s="160"/>
      <c r="HN218" s="160"/>
      <c r="HO218" s="160"/>
      <c r="HP218" s="160"/>
      <c r="HQ218" s="160"/>
      <c r="HR218" s="160"/>
      <c r="HS218" s="160"/>
      <c r="HT218" s="160"/>
      <c r="HU218" s="160"/>
      <c r="HV218" s="160"/>
      <c r="HW218" s="160"/>
      <c r="HX218" s="160"/>
      <c r="HY218" s="160"/>
      <c r="HZ218" s="160"/>
      <c r="IA218" s="160"/>
      <c r="IB218" s="160"/>
      <c r="IC218" s="160"/>
      <c r="ID218" s="160"/>
      <c r="IE218" s="160"/>
      <c r="IF218" s="160"/>
      <c r="IG218" s="160"/>
      <c r="IH218" s="160"/>
      <c r="II218" s="160"/>
      <c r="IJ218" s="160"/>
      <c r="IK218" s="160"/>
      <c r="IL218" s="160"/>
      <c r="IM218" s="160"/>
      <c r="IN218" s="160"/>
      <c r="IO218" s="160"/>
      <c r="IP218" s="160"/>
      <c r="IQ218" s="160"/>
      <c r="IR218" s="160"/>
    </row>
    <row r="219" spans="1:252" s="8" customFormat="1" ht="13.5" customHeight="1" x14ac:dyDescent="0.25">
      <c r="A219" s="213" t="s">
        <v>299</v>
      </c>
      <c r="B219" s="7" t="s">
        <v>803</v>
      </c>
      <c r="C219" s="190"/>
      <c r="D219" s="60"/>
      <c r="E219" s="60"/>
      <c r="F219" s="60"/>
      <c r="G219" s="200" t="str">
        <f t="shared" si="12"/>
        <v/>
      </c>
      <c r="H219" s="192"/>
      <c r="I219" s="60"/>
      <c r="J219" s="60"/>
      <c r="K219" s="60"/>
      <c r="L219" s="200" t="str">
        <f t="shared" si="13"/>
        <v/>
      </c>
      <c r="M219" s="192"/>
      <c r="N219" s="60"/>
      <c r="O219" s="60"/>
      <c r="P219" s="60"/>
      <c r="Q219" s="200" t="str">
        <f t="shared" si="14"/>
        <v/>
      </c>
      <c r="R219" s="192"/>
      <c r="S219" s="60"/>
      <c r="T219" s="205"/>
      <c r="U219" s="160"/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  <c r="BJ219" s="160"/>
      <c r="BK219" s="160"/>
      <c r="BL219" s="160"/>
      <c r="BM219" s="160"/>
      <c r="BN219" s="160"/>
      <c r="BO219" s="160"/>
      <c r="BP219" s="160"/>
      <c r="BQ219" s="160"/>
      <c r="BR219" s="160"/>
      <c r="BS219" s="160"/>
      <c r="BT219" s="160"/>
      <c r="BU219" s="160"/>
      <c r="BV219" s="160"/>
      <c r="BW219" s="160"/>
      <c r="BX219" s="160"/>
      <c r="BY219" s="160"/>
      <c r="BZ219" s="160"/>
      <c r="CA219" s="160"/>
      <c r="CB219" s="160"/>
      <c r="CC219" s="160"/>
      <c r="CD219" s="160"/>
      <c r="CE219" s="160"/>
      <c r="CF219" s="160"/>
      <c r="CG219" s="160"/>
      <c r="CH219" s="160"/>
      <c r="CI219" s="160"/>
      <c r="CJ219" s="160"/>
      <c r="CK219" s="160"/>
      <c r="CL219" s="160"/>
      <c r="CM219" s="160"/>
      <c r="CN219" s="160"/>
      <c r="CO219" s="160"/>
      <c r="CP219" s="160"/>
      <c r="CQ219" s="160"/>
      <c r="CR219" s="160"/>
      <c r="CS219" s="160"/>
      <c r="CT219" s="160"/>
      <c r="CU219" s="160"/>
      <c r="CV219" s="160"/>
      <c r="CW219" s="160"/>
      <c r="CX219" s="160"/>
      <c r="CY219" s="160"/>
      <c r="CZ219" s="160"/>
      <c r="DA219" s="160"/>
      <c r="DB219" s="160"/>
      <c r="DC219" s="160"/>
      <c r="DD219" s="160"/>
      <c r="DE219" s="160"/>
      <c r="DF219" s="160"/>
      <c r="DG219" s="160"/>
      <c r="DH219" s="160"/>
      <c r="DI219" s="160"/>
      <c r="DJ219" s="160"/>
      <c r="DK219" s="160"/>
      <c r="DL219" s="160"/>
      <c r="DM219" s="160"/>
      <c r="DN219" s="160"/>
      <c r="DO219" s="160"/>
      <c r="DP219" s="160"/>
      <c r="DQ219" s="160"/>
      <c r="DR219" s="160"/>
      <c r="DS219" s="160"/>
      <c r="DT219" s="160"/>
      <c r="DU219" s="160"/>
      <c r="DV219" s="160"/>
      <c r="DW219" s="160"/>
      <c r="DX219" s="160"/>
      <c r="DY219" s="160"/>
      <c r="DZ219" s="160"/>
      <c r="EA219" s="160"/>
      <c r="EB219" s="160"/>
      <c r="EC219" s="160"/>
      <c r="ED219" s="160"/>
      <c r="EE219" s="160"/>
      <c r="EF219" s="160"/>
      <c r="EG219" s="160"/>
      <c r="EH219" s="160"/>
      <c r="EI219" s="160"/>
      <c r="EJ219" s="160"/>
      <c r="EK219" s="160"/>
      <c r="EL219" s="160"/>
      <c r="EM219" s="160"/>
      <c r="EN219" s="160"/>
      <c r="EO219" s="160"/>
      <c r="EP219" s="160"/>
      <c r="EQ219" s="160"/>
      <c r="ER219" s="160"/>
      <c r="ES219" s="160"/>
      <c r="ET219" s="160"/>
      <c r="EU219" s="160"/>
      <c r="EV219" s="160"/>
      <c r="EW219" s="160"/>
      <c r="EX219" s="160"/>
      <c r="EY219" s="160"/>
      <c r="EZ219" s="160"/>
      <c r="FA219" s="160"/>
      <c r="FB219" s="160"/>
      <c r="FC219" s="160"/>
      <c r="FD219" s="160"/>
      <c r="FE219" s="160"/>
      <c r="FF219" s="160"/>
      <c r="FG219" s="160"/>
      <c r="FH219" s="160"/>
      <c r="FI219" s="160"/>
      <c r="FJ219" s="160"/>
      <c r="FK219" s="160"/>
      <c r="FL219" s="160"/>
      <c r="FM219" s="160"/>
      <c r="FN219" s="160"/>
      <c r="FO219" s="160"/>
      <c r="FP219" s="160"/>
      <c r="FQ219" s="160"/>
      <c r="FR219" s="160"/>
      <c r="FS219" s="160"/>
      <c r="FT219" s="160"/>
      <c r="FU219" s="160"/>
      <c r="FV219" s="160"/>
      <c r="FW219" s="160"/>
      <c r="FX219" s="160"/>
      <c r="FY219" s="160"/>
      <c r="FZ219" s="160"/>
      <c r="GA219" s="160"/>
      <c r="GB219" s="160"/>
      <c r="GC219" s="160"/>
      <c r="GD219" s="160"/>
      <c r="GE219" s="160"/>
      <c r="GF219" s="160"/>
      <c r="GG219" s="160"/>
      <c r="GH219" s="160"/>
      <c r="GI219" s="160"/>
      <c r="GJ219" s="160"/>
      <c r="GK219" s="160"/>
      <c r="GL219" s="160"/>
      <c r="GM219" s="160"/>
      <c r="GN219" s="160"/>
      <c r="GO219" s="160"/>
      <c r="GP219" s="160"/>
      <c r="GQ219" s="160"/>
      <c r="GR219" s="160"/>
      <c r="GS219" s="160"/>
      <c r="GT219" s="160"/>
      <c r="GU219" s="160"/>
      <c r="GV219" s="160"/>
      <c r="GW219" s="160"/>
      <c r="GX219" s="160"/>
      <c r="GY219" s="160"/>
      <c r="GZ219" s="160"/>
      <c r="HA219" s="160"/>
      <c r="HB219" s="160"/>
      <c r="HC219" s="160"/>
      <c r="HD219" s="160"/>
      <c r="HE219" s="160"/>
      <c r="HF219" s="160"/>
      <c r="HG219" s="160"/>
      <c r="HH219" s="160"/>
      <c r="HI219" s="160"/>
      <c r="HJ219" s="160"/>
      <c r="HK219" s="160"/>
      <c r="HL219" s="160"/>
      <c r="HM219" s="160"/>
      <c r="HN219" s="160"/>
      <c r="HO219" s="160"/>
      <c r="HP219" s="160"/>
      <c r="HQ219" s="160"/>
      <c r="HR219" s="160"/>
      <c r="HS219" s="160"/>
      <c r="HT219" s="160"/>
      <c r="HU219" s="160"/>
      <c r="HV219" s="160"/>
      <c r="HW219" s="160"/>
      <c r="HX219" s="160"/>
      <c r="HY219" s="160"/>
      <c r="HZ219" s="160"/>
      <c r="IA219" s="160"/>
      <c r="IB219" s="160"/>
      <c r="IC219" s="160"/>
      <c r="ID219" s="160"/>
      <c r="IE219" s="160"/>
      <c r="IF219" s="160"/>
      <c r="IG219" s="160"/>
      <c r="IH219" s="160"/>
      <c r="II219" s="160"/>
      <c r="IJ219" s="160"/>
      <c r="IK219" s="160"/>
      <c r="IL219" s="160"/>
      <c r="IM219" s="160"/>
      <c r="IN219" s="160"/>
      <c r="IO219" s="160"/>
      <c r="IP219" s="160"/>
      <c r="IQ219" s="160"/>
      <c r="IR219" s="160"/>
    </row>
    <row r="220" spans="1:252" s="8" customFormat="1" ht="13.5" customHeight="1" x14ac:dyDescent="0.25">
      <c r="A220" s="213" t="s">
        <v>299</v>
      </c>
      <c r="B220" s="7" t="s">
        <v>805</v>
      </c>
      <c r="C220" s="190"/>
      <c r="D220" s="60"/>
      <c r="E220" s="60"/>
      <c r="F220" s="60"/>
      <c r="G220" s="200" t="str">
        <f t="shared" si="12"/>
        <v/>
      </c>
      <c r="H220" s="192"/>
      <c r="I220" s="60"/>
      <c r="J220" s="60"/>
      <c r="K220" s="60"/>
      <c r="L220" s="200" t="str">
        <f t="shared" si="13"/>
        <v/>
      </c>
      <c r="M220" s="192"/>
      <c r="N220" s="60"/>
      <c r="O220" s="60"/>
      <c r="P220" s="60"/>
      <c r="Q220" s="200" t="str">
        <f t="shared" si="14"/>
        <v/>
      </c>
      <c r="R220" s="192"/>
      <c r="S220" s="60"/>
      <c r="T220" s="205"/>
      <c r="U220" s="160"/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  <c r="BJ220" s="160"/>
      <c r="BK220" s="160"/>
      <c r="BL220" s="160"/>
      <c r="BM220" s="160"/>
      <c r="BN220" s="160"/>
      <c r="BO220" s="160"/>
      <c r="BP220" s="160"/>
      <c r="BQ220" s="160"/>
      <c r="BR220" s="160"/>
      <c r="BS220" s="160"/>
      <c r="BT220" s="160"/>
      <c r="BU220" s="160"/>
      <c r="BV220" s="160"/>
      <c r="BW220" s="160"/>
      <c r="BX220" s="160"/>
      <c r="BY220" s="160"/>
      <c r="BZ220" s="160"/>
      <c r="CA220" s="160"/>
      <c r="CB220" s="160"/>
      <c r="CC220" s="160"/>
      <c r="CD220" s="160"/>
      <c r="CE220" s="160"/>
      <c r="CF220" s="160"/>
      <c r="CG220" s="160"/>
      <c r="CH220" s="160"/>
      <c r="CI220" s="160"/>
      <c r="CJ220" s="160"/>
      <c r="CK220" s="160"/>
      <c r="CL220" s="160"/>
      <c r="CM220" s="160"/>
      <c r="CN220" s="160"/>
      <c r="CO220" s="160"/>
      <c r="CP220" s="160"/>
      <c r="CQ220" s="160"/>
      <c r="CR220" s="160"/>
      <c r="CS220" s="160"/>
      <c r="CT220" s="160"/>
      <c r="CU220" s="160"/>
      <c r="CV220" s="160"/>
      <c r="CW220" s="160"/>
      <c r="CX220" s="160"/>
      <c r="CY220" s="160"/>
      <c r="CZ220" s="160"/>
      <c r="DA220" s="160"/>
      <c r="DB220" s="160"/>
      <c r="DC220" s="160"/>
      <c r="DD220" s="160"/>
      <c r="DE220" s="160"/>
      <c r="DF220" s="160"/>
      <c r="DG220" s="160"/>
      <c r="DH220" s="160"/>
      <c r="DI220" s="160"/>
      <c r="DJ220" s="160"/>
      <c r="DK220" s="160"/>
      <c r="DL220" s="160"/>
      <c r="DM220" s="160"/>
      <c r="DN220" s="160"/>
      <c r="DO220" s="160"/>
      <c r="DP220" s="160"/>
      <c r="DQ220" s="160"/>
      <c r="DR220" s="160"/>
      <c r="DS220" s="160"/>
      <c r="DT220" s="160"/>
      <c r="DU220" s="160"/>
      <c r="DV220" s="160"/>
      <c r="DW220" s="160"/>
      <c r="DX220" s="160"/>
      <c r="DY220" s="160"/>
      <c r="DZ220" s="160"/>
      <c r="EA220" s="160"/>
      <c r="EB220" s="160"/>
      <c r="EC220" s="160"/>
      <c r="ED220" s="160"/>
      <c r="EE220" s="160"/>
      <c r="EF220" s="160"/>
      <c r="EG220" s="160"/>
      <c r="EH220" s="160"/>
      <c r="EI220" s="160"/>
      <c r="EJ220" s="160"/>
      <c r="EK220" s="160"/>
      <c r="EL220" s="160"/>
      <c r="EM220" s="160"/>
      <c r="EN220" s="160"/>
      <c r="EO220" s="160"/>
      <c r="EP220" s="160"/>
      <c r="EQ220" s="160"/>
      <c r="ER220" s="160"/>
      <c r="ES220" s="160"/>
      <c r="ET220" s="160"/>
      <c r="EU220" s="160"/>
      <c r="EV220" s="160"/>
      <c r="EW220" s="160"/>
      <c r="EX220" s="160"/>
      <c r="EY220" s="160"/>
      <c r="EZ220" s="160"/>
      <c r="FA220" s="160"/>
      <c r="FB220" s="160"/>
      <c r="FC220" s="160"/>
      <c r="FD220" s="160"/>
      <c r="FE220" s="160"/>
      <c r="FF220" s="160"/>
      <c r="FG220" s="160"/>
      <c r="FH220" s="160"/>
      <c r="FI220" s="160"/>
      <c r="FJ220" s="160"/>
      <c r="FK220" s="160"/>
      <c r="FL220" s="160"/>
      <c r="FM220" s="160"/>
      <c r="FN220" s="160"/>
      <c r="FO220" s="160"/>
      <c r="FP220" s="160"/>
      <c r="FQ220" s="160"/>
      <c r="FR220" s="160"/>
      <c r="FS220" s="160"/>
      <c r="FT220" s="160"/>
      <c r="FU220" s="160"/>
      <c r="FV220" s="160"/>
      <c r="FW220" s="160"/>
      <c r="FX220" s="160"/>
      <c r="FY220" s="160"/>
      <c r="FZ220" s="160"/>
      <c r="GA220" s="160"/>
      <c r="GB220" s="160"/>
      <c r="GC220" s="160"/>
      <c r="GD220" s="160"/>
      <c r="GE220" s="160"/>
      <c r="GF220" s="160"/>
      <c r="GG220" s="160"/>
      <c r="GH220" s="160"/>
      <c r="GI220" s="160"/>
      <c r="GJ220" s="160"/>
      <c r="GK220" s="160"/>
      <c r="GL220" s="160"/>
      <c r="GM220" s="160"/>
      <c r="GN220" s="160"/>
      <c r="GO220" s="160"/>
      <c r="GP220" s="160"/>
      <c r="GQ220" s="160"/>
      <c r="GR220" s="160"/>
      <c r="GS220" s="160"/>
      <c r="GT220" s="160"/>
      <c r="GU220" s="160"/>
      <c r="GV220" s="160"/>
      <c r="GW220" s="160"/>
      <c r="GX220" s="160"/>
      <c r="GY220" s="160"/>
      <c r="GZ220" s="160"/>
      <c r="HA220" s="160"/>
      <c r="HB220" s="160"/>
      <c r="HC220" s="160"/>
      <c r="HD220" s="160"/>
      <c r="HE220" s="160"/>
      <c r="HF220" s="160"/>
      <c r="HG220" s="160"/>
      <c r="HH220" s="160"/>
      <c r="HI220" s="160"/>
      <c r="HJ220" s="160"/>
      <c r="HK220" s="160"/>
      <c r="HL220" s="160"/>
      <c r="HM220" s="160"/>
      <c r="HN220" s="160"/>
      <c r="HO220" s="160"/>
      <c r="HP220" s="160"/>
      <c r="HQ220" s="160"/>
      <c r="HR220" s="160"/>
      <c r="HS220" s="160"/>
      <c r="HT220" s="160"/>
      <c r="HU220" s="160"/>
      <c r="HV220" s="160"/>
      <c r="HW220" s="160"/>
      <c r="HX220" s="160"/>
      <c r="HY220" s="160"/>
      <c r="HZ220" s="160"/>
      <c r="IA220" s="160"/>
      <c r="IB220" s="160"/>
      <c r="IC220" s="160"/>
      <c r="ID220" s="160"/>
      <c r="IE220" s="160"/>
      <c r="IF220" s="160"/>
      <c r="IG220" s="160"/>
      <c r="IH220" s="160"/>
      <c r="II220" s="160"/>
      <c r="IJ220" s="160"/>
      <c r="IK220" s="160"/>
      <c r="IL220" s="160"/>
      <c r="IM220" s="160"/>
      <c r="IN220" s="160"/>
      <c r="IO220" s="160"/>
      <c r="IP220" s="160"/>
      <c r="IQ220" s="160"/>
      <c r="IR220" s="160"/>
    </row>
    <row r="221" spans="1:252" s="8" customFormat="1" ht="13.5" customHeight="1" x14ac:dyDescent="0.25">
      <c r="A221" s="213" t="s">
        <v>299</v>
      </c>
      <c r="B221" s="7" t="s">
        <v>806</v>
      </c>
      <c r="C221" s="190"/>
      <c r="D221" s="60"/>
      <c r="E221" s="60"/>
      <c r="F221" s="60"/>
      <c r="G221" s="200" t="str">
        <f t="shared" si="12"/>
        <v/>
      </c>
      <c r="H221" s="192"/>
      <c r="I221" s="60"/>
      <c r="J221" s="60"/>
      <c r="K221" s="60"/>
      <c r="L221" s="200" t="str">
        <f t="shared" si="13"/>
        <v/>
      </c>
      <c r="M221" s="192"/>
      <c r="N221" s="60"/>
      <c r="O221" s="60"/>
      <c r="P221" s="60"/>
      <c r="Q221" s="200" t="str">
        <f t="shared" si="14"/>
        <v/>
      </c>
      <c r="R221" s="192"/>
      <c r="S221" s="60"/>
      <c r="T221" s="205"/>
      <c r="U221" s="160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0"/>
      <c r="AU221" s="160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  <c r="BF221" s="160"/>
      <c r="BG221" s="160"/>
      <c r="BH221" s="160"/>
      <c r="BI221" s="160"/>
      <c r="BJ221" s="160"/>
      <c r="BK221" s="160"/>
      <c r="BL221" s="160"/>
      <c r="BM221" s="160"/>
      <c r="BN221" s="160"/>
      <c r="BO221" s="160"/>
      <c r="BP221" s="160"/>
      <c r="BQ221" s="160"/>
      <c r="BR221" s="160"/>
      <c r="BS221" s="160"/>
      <c r="BT221" s="160"/>
      <c r="BU221" s="160"/>
      <c r="BV221" s="160"/>
      <c r="BW221" s="160"/>
      <c r="BX221" s="160"/>
      <c r="BY221" s="160"/>
      <c r="BZ221" s="160"/>
      <c r="CA221" s="160"/>
      <c r="CB221" s="160"/>
      <c r="CC221" s="160"/>
      <c r="CD221" s="160"/>
      <c r="CE221" s="160"/>
      <c r="CF221" s="160"/>
      <c r="CG221" s="160"/>
      <c r="CH221" s="160"/>
      <c r="CI221" s="160"/>
      <c r="CJ221" s="160"/>
      <c r="CK221" s="160"/>
      <c r="CL221" s="160"/>
      <c r="CM221" s="160"/>
      <c r="CN221" s="160"/>
      <c r="CO221" s="160"/>
      <c r="CP221" s="160"/>
      <c r="CQ221" s="160"/>
      <c r="CR221" s="160"/>
      <c r="CS221" s="160"/>
      <c r="CT221" s="160"/>
      <c r="CU221" s="160"/>
      <c r="CV221" s="160"/>
      <c r="CW221" s="160"/>
      <c r="CX221" s="160"/>
      <c r="CY221" s="160"/>
      <c r="CZ221" s="160"/>
      <c r="DA221" s="160"/>
      <c r="DB221" s="160"/>
      <c r="DC221" s="160"/>
      <c r="DD221" s="160"/>
      <c r="DE221" s="160"/>
      <c r="DF221" s="160"/>
      <c r="DG221" s="160"/>
      <c r="DH221" s="160"/>
      <c r="DI221" s="160"/>
      <c r="DJ221" s="160"/>
      <c r="DK221" s="160"/>
      <c r="DL221" s="160"/>
      <c r="DM221" s="160"/>
      <c r="DN221" s="160"/>
      <c r="DO221" s="160"/>
      <c r="DP221" s="160"/>
      <c r="DQ221" s="160"/>
      <c r="DR221" s="160"/>
      <c r="DS221" s="160"/>
      <c r="DT221" s="160"/>
      <c r="DU221" s="160"/>
      <c r="DV221" s="160"/>
      <c r="DW221" s="160"/>
      <c r="DX221" s="160"/>
      <c r="DY221" s="160"/>
      <c r="DZ221" s="160"/>
      <c r="EA221" s="160"/>
      <c r="EB221" s="160"/>
      <c r="EC221" s="160"/>
      <c r="ED221" s="160"/>
      <c r="EE221" s="160"/>
      <c r="EF221" s="160"/>
      <c r="EG221" s="160"/>
      <c r="EH221" s="160"/>
      <c r="EI221" s="160"/>
      <c r="EJ221" s="160"/>
      <c r="EK221" s="160"/>
      <c r="EL221" s="160"/>
      <c r="EM221" s="160"/>
      <c r="EN221" s="160"/>
      <c r="EO221" s="160"/>
      <c r="EP221" s="160"/>
      <c r="EQ221" s="160"/>
      <c r="ER221" s="160"/>
      <c r="ES221" s="160"/>
      <c r="ET221" s="160"/>
      <c r="EU221" s="160"/>
      <c r="EV221" s="160"/>
      <c r="EW221" s="160"/>
      <c r="EX221" s="160"/>
      <c r="EY221" s="160"/>
      <c r="EZ221" s="160"/>
      <c r="FA221" s="160"/>
      <c r="FB221" s="160"/>
      <c r="FC221" s="160"/>
      <c r="FD221" s="160"/>
      <c r="FE221" s="160"/>
      <c r="FF221" s="160"/>
      <c r="FG221" s="160"/>
      <c r="FH221" s="160"/>
      <c r="FI221" s="160"/>
      <c r="FJ221" s="160"/>
      <c r="FK221" s="160"/>
      <c r="FL221" s="160"/>
      <c r="FM221" s="160"/>
      <c r="FN221" s="160"/>
      <c r="FO221" s="160"/>
      <c r="FP221" s="160"/>
      <c r="FQ221" s="160"/>
      <c r="FR221" s="160"/>
      <c r="FS221" s="160"/>
      <c r="FT221" s="160"/>
      <c r="FU221" s="160"/>
      <c r="FV221" s="160"/>
      <c r="FW221" s="160"/>
      <c r="FX221" s="160"/>
      <c r="FY221" s="160"/>
      <c r="FZ221" s="160"/>
      <c r="GA221" s="160"/>
      <c r="GB221" s="160"/>
      <c r="GC221" s="160"/>
      <c r="GD221" s="160"/>
      <c r="GE221" s="160"/>
      <c r="GF221" s="160"/>
      <c r="GG221" s="160"/>
      <c r="GH221" s="160"/>
      <c r="GI221" s="160"/>
      <c r="GJ221" s="160"/>
      <c r="GK221" s="160"/>
      <c r="GL221" s="160"/>
      <c r="GM221" s="160"/>
      <c r="GN221" s="160"/>
      <c r="GO221" s="160"/>
      <c r="GP221" s="160"/>
      <c r="GQ221" s="160"/>
      <c r="GR221" s="160"/>
      <c r="GS221" s="160"/>
      <c r="GT221" s="160"/>
      <c r="GU221" s="160"/>
      <c r="GV221" s="160"/>
      <c r="GW221" s="160"/>
      <c r="GX221" s="160"/>
      <c r="GY221" s="160"/>
      <c r="GZ221" s="160"/>
      <c r="HA221" s="160"/>
      <c r="HB221" s="160"/>
      <c r="HC221" s="160"/>
      <c r="HD221" s="160"/>
      <c r="HE221" s="160"/>
      <c r="HF221" s="160"/>
      <c r="HG221" s="160"/>
      <c r="HH221" s="160"/>
      <c r="HI221" s="160"/>
      <c r="HJ221" s="160"/>
      <c r="HK221" s="160"/>
      <c r="HL221" s="160"/>
      <c r="HM221" s="160"/>
      <c r="HN221" s="160"/>
      <c r="HO221" s="160"/>
      <c r="HP221" s="160"/>
      <c r="HQ221" s="160"/>
      <c r="HR221" s="160"/>
      <c r="HS221" s="160"/>
      <c r="HT221" s="160"/>
      <c r="HU221" s="160"/>
      <c r="HV221" s="160"/>
      <c r="HW221" s="160"/>
      <c r="HX221" s="160"/>
      <c r="HY221" s="160"/>
      <c r="HZ221" s="160"/>
      <c r="IA221" s="160"/>
      <c r="IB221" s="160"/>
      <c r="IC221" s="160"/>
      <c r="ID221" s="160"/>
      <c r="IE221" s="160"/>
      <c r="IF221" s="160"/>
      <c r="IG221" s="160"/>
      <c r="IH221" s="160"/>
      <c r="II221" s="160"/>
      <c r="IJ221" s="160"/>
      <c r="IK221" s="160"/>
      <c r="IL221" s="160"/>
      <c r="IM221" s="160"/>
      <c r="IN221" s="160"/>
      <c r="IO221" s="160"/>
      <c r="IP221" s="160"/>
      <c r="IQ221" s="160"/>
      <c r="IR221" s="160"/>
    </row>
    <row r="222" spans="1:252" s="8" customFormat="1" ht="13.5" customHeight="1" x14ac:dyDescent="0.25">
      <c r="A222" s="213" t="s">
        <v>299</v>
      </c>
      <c r="B222" s="7" t="s">
        <v>808</v>
      </c>
      <c r="C222" s="190"/>
      <c r="D222" s="60"/>
      <c r="E222" s="60"/>
      <c r="F222" s="60"/>
      <c r="G222" s="200" t="str">
        <f t="shared" si="12"/>
        <v/>
      </c>
      <c r="H222" s="192"/>
      <c r="I222" s="60"/>
      <c r="J222" s="60"/>
      <c r="K222" s="60"/>
      <c r="L222" s="200" t="str">
        <f t="shared" si="13"/>
        <v/>
      </c>
      <c r="M222" s="192"/>
      <c r="N222" s="60"/>
      <c r="O222" s="60"/>
      <c r="P222" s="60"/>
      <c r="Q222" s="200" t="str">
        <f t="shared" si="14"/>
        <v/>
      </c>
      <c r="R222" s="192"/>
      <c r="S222" s="60"/>
      <c r="T222" s="205"/>
      <c r="U222" s="160"/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/>
      <c r="BG222" s="160"/>
      <c r="BH222" s="160"/>
      <c r="BI222" s="160"/>
      <c r="BJ222" s="160"/>
      <c r="BK222" s="160"/>
      <c r="BL222" s="160"/>
      <c r="BM222" s="160"/>
      <c r="BN222" s="160"/>
      <c r="BO222" s="160"/>
      <c r="BP222" s="160"/>
      <c r="BQ222" s="160"/>
      <c r="BR222" s="160"/>
      <c r="BS222" s="160"/>
      <c r="BT222" s="160"/>
      <c r="BU222" s="160"/>
      <c r="BV222" s="160"/>
      <c r="BW222" s="160"/>
      <c r="BX222" s="160"/>
      <c r="BY222" s="160"/>
      <c r="BZ222" s="160"/>
      <c r="CA222" s="160"/>
      <c r="CB222" s="160"/>
      <c r="CC222" s="160"/>
      <c r="CD222" s="160"/>
      <c r="CE222" s="160"/>
      <c r="CF222" s="160"/>
      <c r="CG222" s="160"/>
      <c r="CH222" s="160"/>
      <c r="CI222" s="160"/>
      <c r="CJ222" s="160"/>
      <c r="CK222" s="160"/>
      <c r="CL222" s="160"/>
      <c r="CM222" s="160"/>
      <c r="CN222" s="160"/>
      <c r="CO222" s="160"/>
      <c r="CP222" s="160"/>
      <c r="CQ222" s="160"/>
      <c r="CR222" s="160"/>
      <c r="CS222" s="160"/>
      <c r="CT222" s="160"/>
      <c r="CU222" s="160"/>
      <c r="CV222" s="160"/>
      <c r="CW222" s="160"/>
      <c r="CX222" s="160"/>
      <c r="CY222" s="160"/>
      <c r="CZ222" s="160"/>
      <c r="DA222" s="160"/>
      <c r="DB222" s="160"/>
      <c r="DC222" s="160"/>
      <c r="DD222" s="160"/>
      <c r="DE222" s="160"/>
      <c r="DF222" s="160"/>
      <c r="DG222" s="160"/>
      <c r="DH222" s="160"/>
      <c r="DI222" s="160"/>
      <c r="DJ222" s="160"/>
      <c r="DK222" s="160"/>
      <c r="DL222" s="160"/>
      <c r="DM222" s="160"/>
      <c r="DN222" s="160"/>
      <c r="DO222" s="160"/>
      <c r="DP222" s="160"/>
      <c r="DQ222" s="160"/>
      <c r="DR222" s="160"/>
      <c r="DS222" s="160"/>
      <c r="DT222" s="160"/>
      <c r="DU222" s="160"/>
      <c r="DV222" s="160"/>
      <c r="DW222" s="160"/>
      <c r="DX222" s="160"/>
      <c r="DY222" s="160"/>
      <c r="DZ222" s="160"/>
      <c r="EA222" s="160"/>
      <c r="EB222" s="160"/>
      <c r="EC222" s="160"/>
      <c r="ED222" s="160"/>
      <c r="EE222" s="160"/>
      <c r="EF222" s="160"/>
      <c r="EG222" s="160"/>
      <c r="EH222" s="160"/>
      <c r="EI222" s="160"/>
      <c r="EJ222" s="160"/>
      <c r="EK222" s="160"/>
      <c r="EL222" s="160"/>
      <c r="EM222" s="160"/>
      <c r="EN222" s="160"/>
      <c r="EO222" s="160"/>
      <c r="EP222" s="160"/>
      <c r="EQ222" s="160"/>
      <c r="ER222" s="160"/>
      <c r="ES222" s="160"/>
      <c r="ET222" s="160"/>
      <c r="EU222" s="160"/>
      <c r="EV222" s="160"/>
      <c r="EW222" s="160"/>
      <c r="EX222" s="160"/>
      <c r="EY222" s="160"/>
      <c r="EZ222" s="160"/>
      <c r="FA222" s="160"/>
      <c r="FB222" s="160"/>
      <c r="FC222" s="160"/>
      <c r="FD222" s="160"/>
      <c r="FE222" s="160"/>
      <c r="FF222" s="160"/>
      <c r="FG222" s="160"/>
      <c r="FH222" s="160"/>
      <c r="FI222" s="160"/>
      <c r="FJ222" s="160"/>
      <c r="FK222" s="160"/>
      <c r="FL222" s="160"/>
      <c r="FM222" s="160"/>
      <c r="FN222" s="160"/>
      <c r="FO222" s="160"/>
      <c r="FP222" s="160"/>
      <c r="FQ222" s="160"/>
      <c r="FR222" s="160"/>
      <c r="FS222" s="160"/>
      <c r="FT222" s="160"/>
      <c r="FU222" s="160"/>
      <c r="FV222" s="160"/>
      <c r="FW222" s="160"/>
      <c r="FX222" s="160"/>
      <c r="FY222" s="160"/>
      <c r="FZ222" s="160"/>
      <c r="GA222" s="160"/>
      <c r="GB222" s="160"/>
      <c r="GC222" s="160"/>
      <c r="GD222" s="160"/>
      <c r="GE222" s="160"/>
      <c r="GF222" s="160"/>
      <c r="GG222" s="160"/>
      <c r="GH222" s="160"/>
      <c r="GI222" s="160"/>
      <c r="GJ222" s="160"/>
      <c r="GK222" s="160"/>
      <c r="GL222" s="160"/>
      <c r="GM222" s="160"/>
      <c r="GN222" s="160"/>
      <c r="GO222" s="160"/>
      <c r="GP222" s="160"/>
      <c r="GQ222" s="160"/>
      <c r="GR222" s="160"/>
      <c r="GS222" s="160"/>
      <c r="GT222" s="160"/>
      <c r="GU222" s="160"/>
      <c r="GV222" s="160"/>
      <c r="GW222" s="160"/>
      <c r="GX222" s="160"/>
      <c r="GY222" s="160"/>
      <c r="GZ222" s="160"/>
      <c r="HA222" s="160"/>
      <c r="HB222" s="160"/>
      <c r="HC222" s="160"/>
      <c r="HD222" s="160"/>
      <c r="HE222" s="160"/>
      <c r="HF222" s="160"/>
      <c r="HG222" s="160"/>
      <c r="HH222" s="160"/>
      <c r="HI222" s="160"/>
      <c r="HJ222" s="160"/>
      <c r="HK222" s="160"/>
      <c r="HL222" s="160"/>
      <c r="HM222" s="160"/>
      <c r="HN222" s="160"/>
      <c r="HO222" s="160"/>
      <c r="HP222" s="160"/>
      <c r="HQ222" s="160"/>
      <c r="HR222" s="160"/>
      <c r="HS222" s="160"/>
      <c r="HT222" s="160"/>
      <c r="HU222" s="160"/>
      <c r="HV222" s="160"/>
      <c r="HW222" s="160"/>
      <c r="HX222" s="160"/>
      <c r="HY222" s="160"/>
      <c r="HZ222" s="160"/>
      <c r="IA222" s="160"/>
      <c r="IB222" s="160"/>
      <c r="IC222" s="160"/>
      <c r="ID222" s="160"/>
      <c r="IE222" s="160"/>
      <c r="IF222" s="160"/>
      <c r="IG222" s="160"/>
      <c r="IH222" s="160"/>
      <c r="II222" s="160"/>
      <c r="IJ222" s="160"/>
      <c r="IK222" s="160"/>
      <c r="IL222" s="160"/>
      <c r="IM222" s="160"/>
      <c r="IN222" s="160"/>
      <c r="IO222" s="160"/>
      <c r="IP222" s="160"/>
      <c r="IQ222" s="160"/>
      <c r="IR222" s="160"/>
    </row>
    <row r="223" spans="1:252" s="8" customFormat="1" ht="13.5" customHeight="1" x14ac:dyDescent="0.25">
      <c r="A223" s="213" t="s">
        <v>299</v>
      </c>
      <c r="B223" s="7" t="s">
        <v>810</v>
      </c>
      <c r="C223" s="190"/>
      <c r="D223" s="60"/>
      <c r="E223" s="60"/>
      <c r="F223" s="60"/>
      <c r="G223" s="200" t="str">
        <f t="shared" si="12"/>
        <v/>
      </c>
      <c r="H223" s="192"/>
      <c r="I223" s="60"/>
      <c r="J223" s="60"/>
      <c r="K223" s="60"/>
      <c r="L223" s="200" t="str">
        <f t="shared" si="13"/>
        <v/>
      </c>
      <c r="M223" s="192"/>
      <c r="N223" s="60"/>
      <c r="O223" s="60"/>
      <c r="P223" s="60"/>
      <c r="Q223" s="200" t="str">
        <f t="shared" si="14"/>
        <v/>
      </c>
      <c r="R223" s="192"/>
      <c r="S223" s="60"/>
      <c r="T223" s="205"/>
      <c r="U223" s="160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  <c r="BF223" s="160"/>
      <c r="BG223" s="160"/>
      <c r="BH223" s="160"/>
      <c r="BI223" s="160"/>
      <c r="BJ223" s="160"/>
      <c r="BK223" s="160"/>
      <c r="BL223" s="160"/>
      <c r="BM223" s="160"/>
      <c r="BN223" s="160"/>
      <c r="BO223" s="160"/>
      <c r="BP223" s="160"/>
      <c r="BQ223" s="160"/>
      <c r="BR223" s="160"/>
      <c r="BS223" s="160"/>
      <c r="BT223" s="160"/>
      <c r="BU223" s="160"/>
      <c r="BV223" s="160"/>
      <c r="BW223" s="160"/>
      <c r="BX223" s="160"/>
      <c r="BY223" s="160"/>
      <c r="BZ223" s="160"/>
      <c r="CA223" s="160"/>
      <c r="CB223" s="160"/>
      <c r="CC223" s="160"/>
      <c r="CD223" s="160"/>
      <c r="CE223" s="160"/>
      <c r="CF223" s="160"/>
      <c r="CG223" s="160"/>
      <c r="CH223" s="160"/>
      <c r="CI223" s="160"/>
      <c r="CJ223" s="160"/>
      <c r="CK223" s="160"/>
      <c r="CL223" s="160"/>
      <c r="CM223" s="160"/>
      <c r="CN223" s="160"/>
      <c r="CO223" s="160"/>
      <c r="CP223" s="160"/>
      <c r="CQ223" s="160"/>
      <c r="CR223" s="160"/>
      <c r="CS223" s="160"/>
      <c r="CT223" s="160"/>
      <c r="CU223" s="160"/>
      <c r="CV223" s="160"/>
      <c r="CW223" s="160"/>
      <c r="CX223" s="160"/>
      <c r="CY223" s="160"/>
      <c r="CZ223" s="160"/>
      <c r="DA223" s="160"/>
      <c r="DB223" s="160"/>
      <c r="DC223" s="160"/>
      <c r="DD223" s="160"/>
      <c r="DE223" s="160"/>
      <c r="DF223" s="160"/>
      <c r="DG223" s="160"/>
      <c r="DH223" s="160"/>
      <c r="DI223" s="160"/>
      <c r="DJ223" s="160"/>
      <c r="DK223" s="160"/>
      <c r="DL223" s="160"/>
      <c r="DM223" s="160"/>
      <c r="DN223" s="160"/>
      <c r="DO223" s="160"/>
      <c r="DP223" s="160"/>
      <c r="DQ223" s="160"/>
      <c r="DR223" s="160"/>
      <c r="DS223" s="160"/>
      <c r="DT223" s="160"/>
      <c r="DU223" s="160"/>
      <c r="DV223" s="160"/>
      <c r="DW223" s="160"/>
      <c r="DX223" s="160"/>
      <c r="DY223" s="160"/>
      <c r="DZ223" s="160"/>
      <c r="EA223" s="160"/>
      <c r="EB223" s="160"/>
      <c r="EC223" s="160"/>
      <c r="ED223" s="160"/>
      <c r="EE223" s="160"/>
      <c r="EF223" s="160"/>
      <c r="EG223" s="160"/>
      <c r="EH223" s="160"/>
      <c r="EI223" s="160"/>
      <c r="EJ223" s="160"/>
      <c r="EK223" s="160"/>
      <c r="EL223" s="160"/>
      <c r="EM223" s="160"/>
      <c r="EN223" s="160"/>
      <c r="EO223" s="160"/>
      <c r="EP223" s="160"/>
      <c r="EQ223" s="160"/>
      <c r="ER223" s="160"/>
      <c r="ES223" s="160"/>
      <c r="ET223" s="160"/>
      <c r="EU223" s="160"/>
      <c r="EV223" s="160"/>
      <c r="EW223" s="160"/>
      <c r="EX223" s="160"/>
      <c r="EY223" s="160"/>
      <c r="EZ223" s="160"/>
      <c r="FA223" s="160"/>
      <c r="FB223" s="160"/>
      <c r="FC223" s="160"/>
      <c r="FD223" s="160"/>
      <c r="FE223" s="160"/>
      <c r="FF223" s="160"/>
      <c r="FG223" s="160"/>
      <c r="FH223" s="160"/>
      <c r="FI223" s="160"/>
      <c r="FJ223" s="160"/>
      <c r="FK223" s="160"/>
      <c r="FL223" s="160"/>
      <c r="FM223" s="160"/>
      <c r="FN223" s="160"/>
      <c r="FO223" s="160"/>
      <c r="FP223" s="160"/>
      <c r="FQ223" s="160"/>
      <c r="FR223" s="160"/>
      <c r="FS223" s="160"/>
      <c r="FT223" s="160"/>
      <c r="FU223" s="160"/>
      <c r="FV223" s="160"/>
      <c r="FW223" s="160"/>
      <c r="FX223" s="160"/>
      <c r="FY223" s="160"/>
      <c r="FZ223" s="160"/>
      <c r="GA223" s="160"/>
      <c r="GB223" s="160"/>
      <c r="GC223" s="160"/>
      <c r="GD223" s="160"/>
      <c r="GE223" s="160"/>
      <c r="GF223" s="160"/>
      <c r="GG223" s="160"/>
      <c r="GH223" s="160"/>
      <c r="GI223" s="160"/>
      <c r="GJ223" s="160"/>
      <c r="GK223" s="160"/>
      <c r="GL223" s="160"/>
      <c r="GM223" s="160"/>
      <c r="GN223" s="160"/>
      <c r="GO223" s="160"/>
      <c r="GP223" s="160"/>
      <c r="GQ223" s="160"/>
      <c r="GR223" s="160"/>
      <c r="GS223" s="160"/>
      <c r="GT223" s="160"/>
      <c r="GU223" s="160"/>
      <c r="GV223" s="160"/>
      <c r="GW223" s="160"/>
      <c r="GX223" s="160"/>
      <c r="GY223" s="160"/>
      <c r="GZ223" s="160"/>
      <c r="HA223" s="160"/>
      <c r="HB223" s="160"/>
      <c r="HC223" s="160"/>
      <c r="HD223" s="160"/>
      <c r="HE223" s="160"/>
      <c r="HF223" s="160"/>
      <c r="HG223" s="160"/>
      <c r="HH223" s="160"/>
      <c r="HI223" s="160"/>
      <c r="HJ223" s="160"/>
      <c r="HK223" s="160"/>
      <c r="HL223" s="160"/>
      <c r="HM223" s="160"/>
      <c r="HN223" s="160"/>
      <c r="HO223" s="160"/>
      <c r="HP223" s="160"/>
      <c r="HQ223" s="160"/>
      <c r="HR223" s="160"/>
      <c r="HS223" s="160"/>
      <c r="HT223" s="160"/>
      <c r="HU223" s="160"/>
      <c r="HV223" s="160"/>
      <c r="HW223" s="160"/>
      <c r="HX223" s="160"/>
      <c r="HY223" s="160"/>
      <c r="HZ223" s="160"/>
      <c r="IA223" s="160"/>
      <c r="IB223" s="160"/>
      <c r="IC223" s="160"/>
      <c r="ID223" s="160"/>
      <c r="IE223" s="160"/>
      <c r="IF223" s="160"/>
      <c r="IG223" s="160"/>
      <c r="IH223" s="160"/>
      <c r="II223" s="160"/>
      <c r="IJ223" s="160"/>
      <c r="IK223" s="160"/>
      <c r="IL223" s="160"/>
      <c r="IM223" s="160"/>
      <c r="IN223" s="160"/>
      <c r="IO223" s="160"/>
      <c r="IP223" s="160"/>
      <c r="IQ223" s="160"/>
      <c r="IR223" s="160"/>
    </row>
    <row r="224" spans="1:252" s="8" customFormat="1" ht="13.5" customHeight="1" x14ac:dyDescent="0.25">
      <c r="A224" s="213" t="s">
        <v>299</v>
      </c>
      <c r="B224" s="7" t="s">
        <v>812</v>
      </c>
      <c r="C224" s="190"/>
      <c r="D224" s="60"/>
      <c r="E224" s="60"/>
      <c r="F224" s="60"/>
      <c r="G224" s="200" t="str">
        <f t="shared" si="12"/>
        <v/>
      </c>
      <c r="H224" s="192"/>
      <c r="I224" s="60"/>
      <c r="J224" s="60"/>
      <c r="K224" s="60"/>
      <c r="L224" s="200" t="str">
        <f t="shared" si="13"/>
        <v/>
      </c>
      <c r="M224" s="192"/>
      <c r="N224" s="60"/>
      <c r="O224" s="60"/>
      <c r="P224" s="60"/>
      <c r="Q224" s="200" t="str">
        <f t="shared" si="14"/>
        <v/>
      </c>
      <c r="R224" s="192"/>
      <c r="S224" s="60"/>
      <c r="T224" s="205"/>
      <c r="U224" s="160"/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  <c r="BF224" s="160"/>
      <c r="BG224" s="160"/>
      <c r="BH224" s="160"/>
      <c r="BI224" s="160"/>
      <c r="BJ224" s="160"/>
      <c r="BK224" s="160"/>
      <c r="BL224" s="160"/>
      <c r="BM224" s="160"/>
      <c r="BN224" s="160"/>
      <c r="BO224" s="160"/>
      <c r="BP224" s="160"/>
      <c r="BQ224" s="160"/>
      <c r="BR224" s="160"/>
      <c r="BS224" s="160"/>
      <c r="BT224" s="160"/>
      <c r="BU224" s="160"/>
      <c r="BV224" s="160"/>
      <c r="BW224" s="160"/>
      <c r="BX224" s="160"/>
      <c r="BY224" s="160"/>
      <c r="BZ224" s="160"/>
      <c r="CA224" s="160"/>
      <c r="CB224" s="160"/>
      <c r="CC224" s="160"/>
      <c r="CD224" s="160"/>
      <c r="CE224" s="160"/>
      <c r="CF224" s="160"/>
      <c r="CG224" s="160"/>
      <c r="CH224" s="160"/>
      <c r="CI224" s="160"/>
      <c r="CJ224" s="160"/>
      <c r="CK224" s="160"/>
      <c r="CL224" s="160"/>
      <c r="CM224" s="160"/>
      <c r="CN224" s="160"/>
      <c r="CO224" s="160"/>
      <c r="CP224" s="160"/>
      <c r="CQ224" s="160"/>
      <c r="CR224" s="160"/>
      <c r="CS224" s="160"/>
      <c r="CT224" s="160"/>
      <c r="CU224" s="160"/>
      <c r="CV224" s="160"/>
      <c r="CW224" s="160"/>
      <c r="CX224" s="160"/>
      <c r="CY224" s="160"/>
      <c r="CZ224" s="160"/>
      <c r="DA224" s="160"/>
      <c r="DB224" s="160"/>
      <c r="DC224" s="160"/>
      <c r="DD224" s="160"/>
      <c r="DE224" s="160"/>
      <c r="DF224" s="160"/>
      <c r="DG224" s="160"/>
      <c r="DH224" s="160"/>
      <c r="DI224" s="160"/>
      <c r="DJ224" s="160"/>
      <c r="DK224" s="160"/>
      <c r="DL224" s="160"/>
      <c r="DM224" s="160"/>
      <c r="DN224" s="160"/>
      <c r="DO224" s="160"/>
      <c r="DP224" s="160"/>
      <c r="DQ224" s="160"/>
      <c r="DR224" s="160"/>
      <c r="DS224" s="160"/>
      <c r="DT224" s="160"/>
      <c r="DU224" s="160"/>
      <c r="DV224" s="160"/>
      <c r="DW224" s="160"/>
      <c r="DX224" s="160"/>
      <c r="DY224" s="160"/>
      <c r="DZ224" s="160"/>
      <c r="EA224" s="160"/>
      <c r="EB224" s="160"/>
      <c r="EC224" s="160"/>
      <c r="ED224" s="160"/>
      <c r="EE224" s="160"/>
      <c r="EF224" s="160"/>
      <c r="EG224" s="160"/>
      <c r="EH224" s="160"/>
      <c r="EI224" s="160"/>
      <c r="EJ224" s="160"/>
      <c r="EK224" s="160"/>
      <c r="EL224" s="160"/>
      <c r="EM224" s="160"/>
      <c r="EN224" s="160"/>
      <c r="EO224" s="160"/>
      <c r="EP224" s="160"/>
      <c r="EQ224" s="160"/>
      <c r="ER224" s="160"/>
      <c r="ES224" s="160"/>
      <c r="ET224" s="160"/>
      <c r="EU224" s="160"/>
      <c r="EV224" s="160"/>
      <c r="EW224" s="160"/>
      <c r="EX224" s="160"/>
      <c r="EY224" s="160"/>
      <c r="EZ224" s="160"/>
      <c r="FA224" s="160"/>
      <c r="FB224" s="160"/>
      <c r="FC224" s="160"/>
      <c r="FD224" s="160"/>
      <c r="FE224" s="160"/>
      <c r="FF224" s="160"/>
      <c r="FG224" s="160"/>
      <c r="FH224" s="160"/>
      <c r="FI224" s="160"/>
      <c r="FJ224" s="160"/>
      <c r="FK224" s="160"/>
      <c r="FL224" s="160"/>
      <c r="FM224" s="160"/>
      <c r="FN224" s="160"/>
      <c r="FO224" s="160"/>
      <c r="FP224" s="160"/>
      <c r="FQ224" s="160"/>
      <c r="FR224" s="160"/>
      <c r="FS224" s="160"/>
      <c r="FT224" s="160"/>
      <c r="FU224" s="160"/>
      <c r="FV224" s="160"/>
      <c r="FW224" s="160"/>
      <c r="FX224" s="160"/>
      <c r="FY224" s="160"/>
      <c r="FZ224" s="160"/>
      <c r="GA224" s="160"/>
      <c r="GB224" s="160"/>
      <c r="GC224" s="160"/>
      <c r="GD224" s="160"/>
      <c r="GE224" s="160"/>
      <c r="GF224" s="160"/>
      <c r="GG224" s="160"/>
      <c r="GH224" s="160"/>
      <c r="GI224" s="160"/>
      <c r="GJ224" s="160"/>
      <c r="GK224" s="160"/>
      <c r="GL224" s="160"/>
      <c r="GM224" s="160"/>
      <c r="GN224" s="160"/>
      <c r="GO224" s="160"/>
      <c r="GP224" s="160"/>
      <c r="GQ224" s="160"/>
      <c r="GR224" s="160"/>
      <c r="GS224" s="160"/>
      <c r="GT224" s="160"/>
      <c r="GU224" s="160"/>
      <c r="GV224" s="160"/>
      <c r="GW224" s="160"/>
      <c r="GX224" s="160"/>
      <c r="GY224" s="160"/>
      <c r="GZ224" s="160"/>
      <c r="HA224" s="160"/>
      <c r="HB224" s="160"/>
      <c r="HC224" s="160"/>
      <c r="HD224" s="160"/>
      <c r="HE224" s="160"/>
      <c r="HF224" s="160"/>
      <c r="HG224" s="160"/>
      <c r="HH224" s="160"/>
      <c r="HI224" s="160"/>
      <c r="HJ224" s="160"/>
      <c r="HK224" s="160"/>
      <c r="HL224" s="160"/>
      <c r="HM224" s="160"/>
      <c r="HN224" s="160"/>
      <c r="HO224" s="160"/>
      <c r="HP224" s="160"/>
      <c r="HQ224" s="160"/>
      <c r="HR224" s="160"/>
      <c r="HS224" s="160"/>
      <c r="HT224" s="160"/>
      <c r="HU224" s="160"/>
      <c r="HV224" s="160"/>
      <c r="HW224" s="160"/>
      <c r="HX224" s="160"/>
      <c r="HY224" s="160"/>
      <c r="HZ224" s="160"/>
      <c r="IA224" s="160"/>
      <c r="IB224" s="160"/>
      <c r="IC224" s="160"/>
      <c r="ID224" s="160"/>
      <c r="IE224" s="160"/>
      <c r="IF224" s="160"/>
      <c r="IG224" s="160"/>
      <c r="IH224" s="160"/>
      <c r="II224" s="160"/>
      <c r="IJ224" s="160"/>
      <c r="IK224" s="160"/>
      <c r="IL224" s="160"/>
      <c r="IM224" s="160"/>
      <c r="IN224" s="160"/>
      <c r="IO224" s="160"/>
      <c r="IP224" s="160"/>
      <c r="IQ224" s="160"/>
      <c r="IR224" s="160"/>
    </row>
    <row r="225" spans="1:252" s="8" customFormat="1" ht="13.5" customHeight="1" x14ac:dyDescent="0.25">
      <c r="A225" s="213" t="s">
        <v>299</v>
      </c>
      <c r="B225" s="7" t="s">
        <v>814</v>
      </c>
      <c r="C225" s="190"/>
      <c r="D225" s="60"/>
      <c r="E225" s="60"/>
      <c r="F225" s="60"/>
      <c r="G225" s="200" t="str">
        <f t="shared" si="12"/>
        <v/>
      </c>
      <c r="H225" s="192"/>
      <c r="I225" s="60"/>
      <c r="J225" s="60"/>
      <c r="K225" s="60"/>
      <c r="L225" s="200" t="str">
        <f t="shared" si="13"/>
        <v/>
      </c>
      <c r="M225" s="192"/>
      <c r="N225" s="60"/>
      <c r="O225" s="60"/>
      <c r="P225" s="60"/>
      <c r="Q225" s="200" t="str">
        <f t="shared" si="14"/>
        <v/>
      </c>
      <c r="R225" s="192"/>
      <c r="S225" s="60"/>
      <c r="T225" s="205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  <c r="BF225" s="160"/>
      <c r="BG225" s="160"/>
      <c r="BH225" s="160"/>
      <c r="BI225" s="160"/>
      <c r="BJ225" s="160"/>
      <c r="BK225" s="160"/>
      <c r="BL225" s="160"/>
      <c r="BM225" s="160"/>
      <c r="BN225" s="160"/>
      <c r="BO225" s="160"/>
      <c r="BP225" s="160"/>
      <c r="BQ225" s="160"/>
      <c r="BR225" s="160"/>
      <c r="BS225" s="160"/>
      <c r="BT225" s="160"/>
      <c r="BU225" s="160"/>
      <c r="BV225" s="160"/>
      <c r="BW225" s="160"/>
      <c r="BX225" s="160"/>
      <c r="BY225" s="160"/>
      <c r="BZ225" s="160"/>
      <c r="CA225" s="160"/>
      <c r="CB225" s="160"/>
      <c r="CC225" s="160"/>
      <c r="CD225" s="160"/>
      <c r="CE225" s="160"/>
      <c r="CF225" s="160"/>
      <c r="CG225" s="160"/>
      <c r="CH225" s="160"/>
      <c r="CI225" s="160"/>
      <c r="CJ225" s="160"/>
      <c r="CK225" s="160"/>
      <c r="CL225" s="160"/>
      <c r="CM225" s="160"/>
      <c r="CN225" s="160"/>
      <c r="CO225" s="160"/>
      <c r="CP225" s="160"/>
      <c r="CQ225" s="160"/>
      <c r="CR225" s="160"/>
      <c r="CS225" s="160"/>
      <c r="CT225" s="160"/>
      <c r="CU225" s="160"/>
      <c r="CV225" s="160"/>
      <c r="CW225" s="160"/>
      <c r="CX225" s="160"/>
      <c r="CY225" s="160"/>
      <c r="CZ225" s="160"/>
      <c r="DA225" s="160"/>
      <c r="DB225" s="160"/>
      <c r="DC225" s="160"/>
      <c r="DD225" s="160"/>
      <c r="DE225" s="160"/>
      <c r="DF225" s="160"/>
      <c r="DG225" s="160"/>
      <c r="DH225" s="160"/>
      <c r="DI225" s="160"/>
      <c r="DJ225" s="160"/>
      <c r="DK225" s="160"/>
      <c r="DL225" s="160"/>
      <c r="DM225" s="160"/>
      <c r="DN225" s="160"/>
      <c r="DO225" s="160"/>
      <c r="DP225" s="160"/>
      <c r="DQ225" s="160"/>
      <c r="DR225" s="160"/>
      <c r="DS225" s="160"/>
      <c r="DT225" s="160"/>
      <c r="DU225" s="160"/>
      <c r="DV225" s="160"/>
      <c r="DW225" s="160"/>
      <c r="DX225" s="160"/>
      <c r="DY225" s="160"/>
      <c r="DZ225" s="160"/>
      <c r="EA225" s="160"/>
      <c r="EB225" s="160"/>
      <c r="EC225" s="160"/>
      <c r="ED225" s="160"/>
      <c r="EE225" s="160"/>
      <c r="EF225" s="160"/>
      <c r="EG225" s="160"/>
      <c r="EH225" s="160"/>
      <c r="EI225" s="160"/>
      <c r="EJ225" s="160"/>
      <c r="EK225" s="160"/>
      <c r="EL225" s="160"/>
      <c r="EM225" s="160"/>
      <c r="EN225" s="160"/>
      <c r="EO225" s="160"/>
      <c r="EP225" s="160"/>
      <c r="EQ225" s="160"/>
      <c r="ER225" s="160"/>
      <c r="ES225" s="160"/>
      <c r="ET225" s="160"/>
      <c r="EU225" s="160"/>
      <c r="EV225" s="160"/>
      <c r="EW225" s="160"/>
      <c r="EX225" s="160"/>
      <c r="EY225" s="160"/>
      <c r="EZ225" s="160"/>
      <c r="FA225" s="160"/>
      <c r="FB225" s="160"/>
      <c r="FC225" s="160"/>
      <c r="FD225" s="160"/>
      <c r="FE225" s="160"/>
      <c r="FF225" s="160"/>
      <c r="FG225" s="160"/>
      <c r="FH225" s="160"/>
      <c r="FI225" s="160"/>
      <c r="FJ225" s="160"/>
      <c r="FK225" s="160"/>
      <c r="FL225" s="160"/>
      <c r="FM225" s="160"/>
      <c r="FN225" s="160"/>
      <c r="FO225" s="160"/>
      <c r="FP225" s="160"/>
      <c r="FQ225" s="160"/>
      <c r="FR225" s="160"/>
      <c r="FS225" s="160"/>
      <c r="FT225" s="160"/>
      <c r="FU225" s="160"/>
      <c r="FV225" s="160"/>
      <c r="FW225" s="160"/>
      <c r="FX225" s="160"/>
      <c r="FY225" s="160"/>
      <c r="FZ225" s="160"/>
      <c r="GA225" s="160"/>
      <c r="GB225" s="160"/>
      <c r="GC225" s="160"/>
      <c r="GD225" s="160"/>
      <c r="GE225" s="160"/>
      <c r="GF225" s="160"/>
      <c r="GG225" s="160"/>
      <c r="GH225" s="160"/>
      <c r="GI225" s="160"/>
      <c r="GJ225" s="160"/>
      <c r="GK225" s="160"/>
      <c r="GL225" s="160"/>
      <c r="GM225" s="160"/>
      <c r="GN225" s="160"/>
      <c r="GO225" s="160"/>
      <c r="GP225" s="160"/>
      <c r="GQ225" s="160"/>
      <c r="GR225" s="160"/>
      <c r="GS225" s="160"/>
      <c r="GT225" s="160"/>
      <c r="GU225" s="160"/>
      <c r="GV225" s="160"/>
      <c r="GW225" s="160"/>
      <c r="GX225" s="160"/>
      <c r="GY225" s="160"/>
      <c r="GZ225" s="160"/>
      <c r="HA225" s="160"/>
      <c r="HB225" s="160"/>
      <c r="HC225" s="160"/>
      <c r="HD225" s="160"/>
      <c r="HE225" s="160"/>
      <c r="HF225" s="160"/>
      <c r="HG225" s="160"/>
      <c r="HH225" s="160"/>
      <c r="HI225" s="160"/>
      <c r="HJ225" s="160"/>
      <c r="HK225" s="160"/>
      <c r="HL225" s="160"/>
      <c r="HM225" s="160"/>
      <c r="HN225" s="160"/>
      <c r="HO225" s="160"/>
      <c r="HP225" s="160"/>
      <c r="HQ225" s="160"/>
      <c r="HR225" s="160"/>
      <c r="HS225" s="160"/>
      <c r="HT225" s="160"/>
      <c r="HU225" s="160"/>
      <c r="HV225" s="160"/>
      <c r="HW225" s="160"/>
      <c r="HX225" s="160"/>
      <c r="HY225" s="160"/>
      <c r="HZ225" s="160"/>
      <c r="IA225" s="160"/>
      <c r="IB225" s="160"/>
      <c r="IC225" s="160"/>
      <c r="ID225" s="160"/>
      <c r="IE225" s="160"/>
      <c r="IF225" s="160"/>
      <c r="IG225" s="160"/>
      <c r="IH225" s="160"/>
      <c r="II225" s="160"/>
      <c r="IJ225" s="160"/>
      <c r="IK225" s="160"/>
      <c r="IL225" s="160"/>
      <c r="IM225" s="160"/>
      <c r="IN225" s="160"/>
      <c r="IO225" s="160"/>
      <c r="IP225" s="160"/>
      <c r="IQ225" s="160"/>
      <c r="IR225" s="160"/>
    </row>
    <row r="226" spans="1:252" s="8" customFormat="1" ht="13.5" customHeight="1" x14ac:dyDescent="0.25">
      <c r="A226" s="213" t="s">
        <v>299</v>
      </c>
      <c r="B226" s="7" t="s">
        <v>816</v>
      </c>
      <c r="C226" s="190"/>
      <c r="D226" s="60"/>
      <c r="E226" s="60"/>
      <c r="F226" s="60"/>
      <c r="G226" s="200" t="str">
        <f t="shared" si="12"/>
        <v/>
      </c>
      <c r="H226" s="192"/>
      <c r="I226" s="60"/>
      <c r="J226" s="60"/>
      <c r="K226" s="60"/>
      <c r="L226" s="200" t="str">
        <f t="shared" si="13"/>
        <v/>
      </c>
      <c r="M226" s="192"/>
      <c r="N226" s="60"/>
      <c r="O226" s="60"/>
      <c r="P226" s="60"/>
      <c r="Q226" s="200" t="str">
        <f t="shared" si="14"/>
        <v/>
      </c>
      <c r="R226" s="192"/>
      <c r="S226" s="60"/>
      <c r="T226" s="205"/>
      <c r="U226" s="160"/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  <c r="BI226" s="160"/>
      <c r="BJ226" s="160"/>
      <c r="BK226" s="160"/>
      <c r="BL226" s="160"/>
      <c r="BM226" s="160"/>
      <c r="BN226" s="160"/>
      <c r="BO226" s="160"/>
      <c r="BP226" s="160"/>
      <c r="BQ226" s="160"/>
      <c r="BR226" s="160"/>
      <c r="BS226" s="160"/>
      <c r="BT226" s="160"/>
      <c r="BU226" s="160"/>
      <c r="BV226" s="160"/>
      <c r="BW226" s="160"/>
      <c r="BX226" s="160"/>
      <c r="BY226" s="160"/>
      <c r="BZ226" s="160"/>
      <c r="CA226" s="160"/>
      <c r="CB226" s="160"/>
      <c r="CC226" s="160"/>
      <c r="CD226" s="160"/>
      <c r="CE226" s="160"/>
      <c r="CF226" s="160"/>
      <c r="CG226" s="160"/>
      <c r="CH226" s="160"/>
      <c r="CI226" s="160"/>
      <c r="CJ226" s="160"/>
      <c r="CK226" s="160"/>
      <c r="CL226" s="160"/>
      <c r="CM226" s="160"/>
      <c r="CN226" s="160"/>
      <c r="CO226" s="160"/>
      <c r="CP226" s="160"/>
      <c r="CQ226" s="160"/>
      <c r="CR226" s="160"/>
      <c r="CS226" s="160"/>
      <c r="CT226" s="160"/>
      <c r="CU226" s="160"/>
      <c r="CV226" s="160"/>
      <c r="CW226" s="160"/>
      <c r="CX226" s="160"/>
      <c r="CY226" s="160"/>
      <c r="CZ226" s="160"/>
      <c r="DA226" s="160"/>
      <c r="DB226" s="160"/>
      <c r="DC226" s="160"/>
      <c r="DD226" s="160"/>
      <c r="DE226" s="160"/>
      <c r="DF226" s="160"/>
      <c r="DG226" s="160"/>
      <c r="DH226" s="160"/>
      <c r="DI226" s="160"/>
      <c r="DJ226" s="160"/>
      <c r="DK226" s="160"/>
      <c r="DL226" s="160"/>
      <c r="DM226" s="160"/>
      <c r="DN226" s="160"/>
      <c r="DO226" s="160"/>
      <c r="DP226" s="160"/>
      <c r="DQ226" s="160"/>
      <c r="DR226" s="160"/>
      <c r="DS226" s="160"/>
      <c r="DT226" s="160"/>
      <c r="DU226" s="160"/>
      <c r="DV226" s="160"/>
      <c r="DW226" s="160"/>
      <c r="DX226" s="160"/>
      <c r="DY226" s="160"/>
      <c r="DZ226" s="160"/>
      <c r="EA226" s="160"/>
      <c r="EB226" s="160"/>
      <c r="EC226" s="160"/>
      <c r="ED226" s="160"/>
      <c r="EE226" s="160"/>
      <c r="EF226" s="160"/>
      <c r="EG226" s="160"/>
      <c r="EH226" s="160"/>
      <c r="EI226" s="160"/>
      <c r="EJ226" s="160"/>
      <c r="EK226" s="160"/>
      <c r="EL226" s="160"/>
      <c r="EM226" s="160"/>
      <c r="EN226" s="160"/>
      <c r="EO226" s="160"/>
      <c r="EP226" s="160"/>
      <c r="EQ226" s="160"/>
      <c r="ER226" s="160"/>
      <c r="ES226" s="160"/>
      <c r="ET226" s="160"/>
      <c r="EU226" s="160"/>
      <c r="EV226" s="160"/>
      <c r="EW226" s="160"/>
      <c r="EX226" s="160"/>
      <c r="EY226" s="160"/>
      <c r="EZ226" s="160"/>
      <c r="FA226" s="160"/>
      <c r="FB226" s="160"/>
      <c r="FC226" s="160"/>
      <c r="FD226" s="160"/>
      <c r="FE226" s="160"/>
      <c r="FF226" s="160"/>
      <c r="FG226" s="160"/>
      <c r="FH226" s="160"/>
      <c r="FI226" s="160"/>
      <c r="FJ226" s="160"/>
      <c r="FK226" s="160"/>
      <c r="FL226" s="160"/>
      <c r="FM226" s="160"/>
      <c r="FN226" s="160"/>
      <c r="FO226" s="160"/>
      <c r="FP226" s="160"/>
      <c r="FQ226" s="160"/>
      <c r="FR226" s="160"/>
      <c r="FS226" s="160"/>
      <c r="FT226" s="160"/>
      <c r="FU226" s="160"/>
      <c r="FV226" s="160"/>
      <c r="FW226" s="160"/>
      <c r="FX226" s="160"/>
      <c r="FY226" s="160"/>
      <c r="FZ226" s="160"/>
      <c r="GA226" s="160"/>
      <c r="GB226" s="160"/>
      <c r="GC226" s="160"/>
      <c r="GD226" s="160"/>
      <c r="GE226" s="160"/>
      <c r="GF226" s="160"/>
      <c r="GG226" s="160"/>
      <c r="GH226" s="160"/>
      <c r="GI226" s="160"/>
      <c r="GJ226" s="160"/>
      <c r="GK226" s="160"/>
      <c r="GL226" s="160"/>
      <c r="GM226" s="160"/>
      <c r="GN226" s="160"/>
      <c r="GO226" s="160"/>
      <c r="GP226" s="160"/>
      <c r="GQ226" s="160"/>
      <c r="GR226" s="160"/>
      <c r="GS226" s="160"/>
      <c r="GT226" s="160"/>
      <c r="GU226" s="160"/>
      <c r="GV226" s="160"/>
      <c r="GW226" s="160"/>
      <c r="GX226" s="160"/>
      <c r="GY226" s="160"/>
      <c r="GZ226" s="160"/>
      <c r="HA226" s="160"/>
      <c r="HB226" s="160"/>
      <c r="HC226" s="160"/>
      <c r="HD226" s="160"/>
      <c r="HE226" s="160"/>
      <c r="HF226" s="160"/>
      <c r="HG226" s="160"/>
      <c r="HH226" s="160"/>
      <c r="HI226" s="160"/>
      <c r="HJ226" s="160"/>
      <c r="HK226" s="160"/>
      <c r="HL226" s="160"/>
      <c r="HM226" s="160"/>
      <c r="HN226" s="160"/>
      <c r="HO226" s="160"/>
      <c r="HP226" s="160"/>
      <c r="HQ226" s="160"/>
      <c r="HR226" s="160"/>
      <c r="HS226" s="160"/>
      <c r="HT226" s="160"/>
      <c r="HU226" s="160"/>
      <c r="HV226" s="160"/>
      <c r="HW226" s="160"/>
      <c r="HX226" s="160"/>
      <c r="HY226" s="160"/>
      <c r="HZ226" s="160"/>
      <c r="IA226" s="160"/>
      <c r="IB226" s="160"/>
      <c r="IC226" s="160"/>
      <c r="ID226" s="160"/>
      <c r="IE226" s="160"/>
      <c r="IF226" s="160"/>
      <c r="IG226" s="160"/>
      <c r="IH226" s="160"/>
      <c r="II226" s="160"/>
      <c r="IJ226" s="160"/>
      <c r="IK226" s="160"/>
      <c r="IL226" s="160"/>
      <c r="IM226" s="160"/>
      <c r="IN226" s="160"/>
      <c r="IO226" s="160"/>
      <c r="IP226" s="160"/>
      <c r="IQ226" s="160"/>
      <c r="IR226" s="160"/>
    </row>
    <row r="227" spans="1:252" s="8" customFormat="1" ht="13.5" customHeight="1" x14ac:dyDescent="0.25">
      <c r="A227" s="213" t="s">
        <v>299</v>
      </c>
      <c r="B227" s="7" t="s">
        <v>818</v>
      </c>
      <c r="C227" s="190"/>
      <c r="D227" s="60"/>
      <c r="E227" s="60"/>
      <c r="F227" s="60"/>
      <c r="G227" s="200" t="str">
        <f t="shared" si="12"/>
        <v/>
      </c>
      <c r="H227" s="192"/>
      <c r="I227" s="60"/>
      <c r="J227" s="60"/>
      <c r="K227" s="60"/>
      <c r="L227" s="200" t="str">
        <f t="shared" si="13"/>
        <v/>
      </c>
      <c r="M227" s="192"/>
      <c r="N227" s="60"/>
      <c r="O227" s="60"/>
      <c r="P227" s="60"/>
      <c r="Q227" s="200" t="str">
        <f t="shared" si="14"/>
        <v/>
      </c>
      <c r="R227" s="192"/>
      <c r="S227" s="60"/>
      <c r="T227" s="205"/>
      <c r="U227" s="160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  <c r="BI227" s="160"/>
      <c r="BJ227" s="160"/>
      <c r="BK227" s="160"/>
      <c r="BL227" s="160"/>
      <c r="BM227" s="160"/>
      <c r="BN227" s="160"/>
      <c r="BO227" s="160"/>
      <c r="BP227" s="160"/>
      <c r="BQ227" s="160"/>
      <c r="BR227" s="160"/>
      <c r="BS227" s="160"/>
      <c r="BT227" s="160"/>
      <c r="BU227" s="160"/>
      <c r="BV227" s="160"/>
      <c r="BW227" s="160"/>
      <c r="BX227" s="160"/>
      <c r="BY227" s="160"/>
      <c r="BZ227" s="160"/>
      <c r="CA227" s="160"/>
      <c r="CB227" s="160"/>
      <c r="CC227" s="160"/>
      <c r="CD227" s="160"/>
      <c r="CE227" s="160"/>
      <c r="CF227" s="160"/>
      <c r="CG227" s="160"/>
      <c r="CH227" s="160"/>
      <c r="CI227" s="160"/>
      <c r="CJ227" s="160"/>
      <c r="CK227" s="160"/>
      <c r="CL227" s="160"/>
      <c r="CM227" s="160"/>
      <c r="CN227" s="160"/>
      <c r="CO227" s="160"/>
      <c r="CP227" s="160"/>
      <c r="CQ227" s="160"/>
      <c r="CR227" s="160"/>
      <c r="CS227" s="160"/>
      <c r="CT227" s="160"/>
      <c r="CU227" s="160"/>
      <c r="CV227" s="160"/>
      <c r="CW227" s="160"/>
      <c r="CX227" s="160"/>
      <c r="CY227" s="160"/>
      <c r="CZ227" s="160"/>
      <c r="DA227" s="160"/>
      <c r="DB227" s="160"/>
      <c r="DC227" s="160"/>
      <c r="DD227" s="160"/>
      <c r="DE227" s="160"/>
      <c r="DF227" s="160"/>
      <c r="DG227" s="160"/>
      <c r="DH227" s="160"/>
      <c r="DI227" s="160"/>
      <c r="DJ227" s="160"/>
      <c r="DK227" s="160"/>
      <c r="DL227" s="160"/>
      <c r="DM227" s="160"/>
      <c r="DN227" s="160"/>
      <c r="DO227" s="160"/>
      <c r="DP227" s="160"/>
      <c r="DQ227" s="160"/>
      <c r="DR227" s="160"/>
      <c r="DS227" s="160"/>
      <c r="DT227" s="160"/>
      <c r="DU227" s="160"/>
      <c r="DV227" s="160"/>
      <c r="DW227" s="160"/>
      <c r="DX227" s="160"/>
      <c r="DY227" s="160"/>
      <c r="DZ227" s="160"/>
      <c r="EA227" s="160"/>
      <c r="EB227" s="160"/>
      <c r="EC227" s="160"/>
      <c r="ED227" s="160"/>
      <c r="EE227" s="160"/>
      <c r="EF227" s="160"/>
      <c r="EG227" s="160"/>
      <c r="EH227" s="160"/>
      <c r="EI227" s="160"/>
      <c r="EJ227" s="160"/>
      <c r="EK227" s="160"/>
      <c r="EL227" s="160"/>
      <c r="EM227" s="160"/>
      <c r="EN227" s="160"/>
      <c r="EO227" s="160"/>
      <c r="EP227" s="160"/>
      <c r="EQ227" s="160"/>
      <c r="ER227" s="160"/>
      <c r="ES227" s="160"/>
      <c r="ET227" s="160"/>
      <c r="EU227" s="160"/>
      <c r="EV227" s="160"/>
      <c r="EW227" s="160"/>
      <c r="EX227" s="160"/>
      <c r="EY227" s="160"/>
      <c r="EZ227" s="160"/>
      <c r="FA227" s="160"/>
      <c r="FB227" s="160"/>
      <c r="FC227" s="160"/>
      <c r="FD227" s="160"/>
      <c r="FE227" s="160"/>
      <c r="FF227" s="160"/>
      <c r="FG227" s="160"/>
      <c r="FH227" s="160"/>
      <c r="FI227" s="160"/>
      <c r="FJ227" s="160"/>
      <c r="FK227" s="160"/>
      <c r="FL227" s="160"/>
      <c r="FM227" s="160"/>
      <c r="FN227" s="160"/>
      <c r="FO227" s="160"/>
      <c r="FP227" s="160"/>
      <c r="FQ227" s="160"/>
      <c r="FR227" s="160"/>
      <c r="FS227" s="160"/>
      <c r="FT227" s="160"/>
      <c r="FU227" s="160"/>
      <c r="FV227" s="160"/>
      <c r="FW227" s="160"/>
      <c r="FX227" s="160"/>
      <c r="FY227" s="160"/>
      <c r="FZ227" s="160"/>
      <c r="GA227" s="160"/>
      <c r="GB227" s="160"/>
      <c r="GC227" s="160"/>
      <c r="GD227" s="160"/>
      <c r="GE227" s="160"/>
      <c r="GF227" s="160"/>
      <c r="GG227" s="160"/>
      <c r="GH227" s="160"/>
      <c r="GI227" s="160"/>
      <c r="GJ227" s="160"/>
      <c r="GK227" s="160"/>
      <c r="GL227" s="160"/>
      <c r="GM227" s="160"/>
      <c r="GN227" s="160"/>
      <c r="GO227" s="160"/>
      <c r="GP227" s="160"/>
      <c r="GQ227" s="160"/>
      <c r="GR227" s="160"/>
      <c r="GS227" s="160"/>
      <c r="GT227" s="160"/>
      <c r="GU227" s="160"/>
      <c r="GV227" s="160"/>
      <c r="GW227" s="160"/>
      <c r="GX227" s="160"/>
      <c r="GY227" s="160"/>
      <c r="GZ227" s="160"/>
      <c r="HA227" s="160"/>
      <c r="HB227" s="160"/>
      <c r="HC227" s="160"/>
      <c r="HD227" s="160"/>
      <c r="HE227" s="160"/>
      <c r="HF227" s="160"/>
      <c r="HG227" s="160"/>
      <c r="HH227" s="160"/>
      <c r="HI227" s="160"/>
      <c r="HJ227" s="160"/>
      <c r="HK227" s="160"/>
      <c r="HL227" s="160"/>
      <c r="HM227" s="160"/>
      <c r="HN227" s="160"/>
      <c r="HO227" s="160"/>
      <c r="HP227" s="160"/>
      <c r="HQ227" s="160"/>
      <c r="HR227" s="160"/>
      <c r="HS227" s="160"/>
      <c r="HT227" s="160"/>
      <c r="HU227" s="160"/>
      <c r="HV227" s="160"/>
      <c r="HW227" s="160"/>
      <c r="HX227" s="160"/>
      <c r="HY227" s="160"/>
      <c r="HZ227" s="160"/>
      <c r="IA227" s="160"/>
      <c r="IB227" s="160"/>
      <c r="IC227" s="160"/>
      <c r="ID227" s="160"/>
      <c r="IE227" s="160"/>
      <c r="IF227" s="160"/>
      <c r="IG227" s="160"/>
      <c r="IH227" s="160"/>
      <c r="II227" s="160"/>
      <c r="IJ227" s="160"/>
      <c r="IK227" s="160"/>
      <c r="IL227" s="160"/>
      <c r="IM227" s="160"/>
      <c r="IN227" s="160"/>
      <c r="IO227" s="160"/>
      <c r="IP227" s="160"/>
      <c r="IQ227" s="160"/>
      <c r="IR227" s="160"/>
    </row>
    <row r="228" spans="1:252" s="8" customFormat="1" ht="13.5" customHeight="1" x14ac:dyDescent="0.25">
      <c r="A228" s="213" t="s">
        <v>299</v>
      </c>
      <c r="B228" s="7" t="s">
        <v>820</v>
      </c>
      <c r="C228" s="190"/>
      <c r="D228" s="60"/>
      <c r="E228" s="60"/>
      <c r="F228" s="60"/>
      <c r="G228" s="200" t="str">
        <f t="shared" si="12"/>
        <v/>
      </c>
      <c r="H228" s="192"/>
      <c r="I228" s="60"/>
      <c r="J228" s="60"/>
      <c r="K228" s="60"/>
      <c r="L228" s="200" t="str">
        <f t="shared" si="13"/>
        <v/>
      </c>
      <c r="M228" s="192"/>
      <c r="N228" s="60"/>
      <c r="O228" s="60"/>
      <c r="P228" s="60"/>
      <c r="Q228" s="200" t="str">
        <f t="shared" si="14"/>
        <v/>
      </c>
      <c r="R228" s="192"/>
      <c r="S228" s="60"/>
      <c r="T228" s="205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  <c r="BI228" s="160"/>
      <c r="BJ228" s="160"/>
      <c r="BK228" s="160"/>
      <c r="BL228" s="160"/>
      <c r="BM228" s="160"/>
      <c r="BN228" s="160"/>
      <c r="BO228" s="160"/>
      <c r="BP228" s="160"/>
      <c r="BQ228" s="160"/>
      <c r="BR228" s="160"/>
      <c r="BS228" s="160"/>
      <c r="BT228" s="160"/>
      <c r="BU228" s="160"/>
      <c r="BV228" s="160"/>
      <c r="BW228" s="160"/>
      <c r="BX228" s="160"/>
      <c r="BY228" s="160"/>
      <c r="BZ228" s="160"/>
      <c r="CA228" s="160"/>
      <c r="CB228" s="160"/>
      <c r="CC228" s="160"/>
      <c r="CD228" s="160"/>
      <c r="CE228" s="160"/>
      <c r="CF228" s="160"/>
      <c r="CG228" s="160"/>
      <c r="CH228" s="160"/>
      <c r="CI228" s="160"/>
      <c r="CJ228" s="160"/>
      <c r="CK228" s="160"/>
      <c r="CL228" s="160"/>
      <c r="CM228" s="160"/>
      <c r="CN228" s="160"/>
      <c r="CO228" s="160"/>
      <c r="CP228" s="160"/>
      <c r="CQ228" s="160"/>
      <c r="CR228" s="160"/>
      <c r="CS228" s="160"/>
      <c r="CT228" s="160"/>
      <c r="CU228" s="160"/>
      <c r="CV228" s="160"/>
      <c r="CW228" s="160"/>
      <c r="CX228" s="160"/>
      <c r="CY228" s="160"/>
      <c r="CZ228" s="160"/>
      <c r="DA228" s="160"/>
      <c r="DB228" s="160"/>
      <c r="DC228" s="160"/>
      <c r="DD228" s="160"/>
      <c r="DE228" s="160"/>
      <c r="DF228" s="160"/>
      <c r="DG228" s="160"/>
      <c r="DH228" s="160"/>
      <c r="DI228" s="160"/>
      <c r="DJ228" s="160"/>
      <c r="DK228" s="160"/>
      <c r="DL228" s="160"/>
      <c r="DM228" s="160"/>
      <c r="DN228" s="160"/>
      <c r="DO228" s="160"/>
      <c r="DP228" s="160"/>
      <c r="DQ228" s="160"/>
      <c r="DR228" s="160"/>
      <c r="DS228" s="160"/>
      <c r="DT228" s="160"/>
      <c r="DU228" s="160"/>
      <c r="DV228" s="160"/>
      <c r="DW228" s="160"/>
      <c r="DX228" s="160"/>
      <c r="DY228" s="160"/>
      <c r="DZ228" s="160"/>
      <c r="EA228" s="160"/>
      <c r="EB228" s="160"/>
      <c r="EC228" s="160"/>
      <c r="ED228" s="160"/>
      <c r="EE228" s="160"/>
      <c r="EF228" s="160"/>
      <c r="EG228" s="160"/>
      <c r="EH228" s="160"/>
      <c r="EI228" s="160"/>
      <c r="EJ228" s="160"/>
      <c r="EK228" s="160"/>
      <c r="EL228" s="160"/>
      <c r="EM228" s="160"/>
      <c r="EN228" s="160"/>
      <c r="EO228" s="160"/>
      <c r="EP228" s="160"/>
      <c r="EQ228" s="160"/>
      <c r="ER228" s="160"/>
      <c r="ES228" s="160"/>
      <c r="ET228" s="160"/>
      <c r="EU228" s="160"/>
      <c r="EV228" s="160"/>
      <c r="EW228" s="160"/>
      <c r="EX228" s="160"/>
      <c r="EY228" s="160"/>
      <c r="EZ228" s="160"/>
      <c r="FA228" s="160"/>
      <c r="FB228" s="160"/>
      <c r="FC228" s="160"/>
      <c r="FD228" s="160"/>
      <c r="FE228" s="160"/>
      <c r="FF228" s="160"/>
      <c r="FG228" s="160"/>
      <c r="FH228" s="160"/>
      <c r="FI228" s="160"/>
      <c r="FJ228" s="160"/>
      <c r="FK228" s="160"/>
      <c r="FL228" s="160"/>
      <c r="FM228" s="160"/>
      <c r="FN228" s="160"/>
      <c r="FO228" s="160"/>
      <c r="FP228" s="160"/>
      <c r="FQ228" s="160"/>
      <c r="FR228" s="160"/>
      <c r="FS228" s="160"/>
      <c r="FT228" s="160"/>
      <c r="FU228" s="160"/>
      <c r="FV228" s="160"/>
      <c r="FW228" s="160"/>
      <c r="FX228" s="160"/>
      <c r="FY228" s="160"/>
      <c r="FZ228" s="160"/>
      <c r="GA228" s="160"/>
      <c r="GB228" s="160"/>
      <c r="GC228" s="160"/>
      <c r="GD228" s="160"/>
      <c r="GE228" s="160"/>
      <c r="GF228" s="160"/>
      <c r="GG228" s="160"/>
      <c r="GH228" s="160"/>
      <c r="GI228" s="160"/>
      <c r="GJ228" s="160"/>
      <c r="GK228" s="160"/>
      <c r="GL228" s="160"/>
      <c r="GM228" s="160"/>
      <c r="GN228" s="160"/>
      <c r="GO228" s="160"/>
      <c r="GP228" s="160"/>
      <c r="GQ228" s="160"/>
      <c r="GR228" s="160"/>
      <c r="GS228" s="160"/>
      <c r="GT228" s="160"/>
      <c r="GU228" s="160"/>
      <c r="GV228" s="160"/>
      <c r="GW228" s="160"/>
      <c r="GX228" s="160"/>
      <c r="GY228" s="160"/>
      <c r="GZ228" s="160"/>
      <c r="HA228" s="160"/>
      <c r="HB228" s="160"/>
      <c r="HC228" s="160"/>
      <c r="HD228" s="160"/>
      <c r="HE228" s="160"/>
      <c r="HF228" s="160"/>
      <c r="HG228" s="160"/>
      <c r="HH228" s="160"/>
      <c r="HI228" s="160"/>
      <c r="HJ228" s="160"/>
      <c r="HK228" s="160"/>
      <c r="HL228" s="160"/>
      <c r="HM228" s="160"/>
      <c r="HN228" s="160"/>
      <c r="HO228" s="160"/>
      <c r="HP228" s="160"/>
      <c r="HQ228" s="160"/>
      <c r="HR228" s="160"/>
      <c r="HS228" s="160"/>
      <c r="HT228" s="160"/>
      <c r="HU228" s="160"/>
      <c r="HV228" s="160"/>
      <c r="HW228" s="160"/>
      <c r="HX228" s="160"/>
      <c r="HY228" s="160"/>
      <c r="HZ228" s="160"/>
      <c r="IA228" s="160"/>
      <c r="IB228" s="160"/>
      <c r="IC228" s="160"/>
      <c r="ID228" s="160"/>
      <c r="IE228" s="160"/>
      <c r="IF228" s="160"/>
      <c r="IG228" s="160"/>
      <c r="IH228" s="160"/>
      <c r="II228" s="160"/>
      <c r="IJ228" s="160"/>
      <c r="IK228" s="160"/>
      <c r="IL228" s="160"/>
      <c r="IM228" s="160"/>
      <c r="IN228" s="160"/>
      <c r="IO228" s="160"/>
      <c r="IP228" s="160"/>
      <c r="IQ228" s="160"/>
      <c r="IR228" s="160"/>
    </row>
    <row r="229" spans="1:252" s="8" customFormat="1" ht="13.5" customHeight="1" x14ac:dyDescent="0.25">
      <c r="A229" s="213" t="s">
        <v>299</v>
      </c>
      <c r="B229" s="7" t="s">
        <v>822</v>
      </c>
      <c r="C229" s="190"/>
      <c r="D229" s="60"/>
      <c r="E229" s="60"/>
      <c r="F229" s="60"/>
      <c r="G229" s="200" t="str">
        <f t="shared" si="12"/>
        <v/>
      </c>
      <c r="H229" s="192"/>
      <c r="I229" s="60"/>
      <c r="J229" s="60"/>
      <c r="K229" s="60"/>
      <c r="L229" s="200" t="str">
        <f t="shared" si="13"/>
        <v/>
      </c>
      <c r="M229" s="192"/>
      <c r="N229" s="60"/>
      <c r="O229" s="60"/>
      <c r="P229" s="60"/>
      <c r="Q229" s="200" t="str">
        <f t="shared" si="14"/>
        <v/>
      </c>
      <c r="R229" s="192"/>
      <c r="S229" s="60"/>
      <c r="T229" s="205"/>
      <c r="U229" s="160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  <c r="BG229" s="160"/>
      <c r="BH229" s="160"/>
      <c r="BI229" s="160"/>
      <c r="BJ229" s="160"/>
      <c r="BK229" s="160"/>
      <c r="BL229" s="160"/>
      <c r="BM229" s="160"/>
      <c r="BN229" s="160"/>
      <c r="BO229" s="160"/>
      <c r="BP229" s="160"/>
      <c r="BQ229" s="160"/>
      <c r="BR229" s="160"/>
      <c r="BS229" s="160"/>
      <c r="BT229" s="160"/>
      <c r="BU229" s="160"/>
      <c r="BV229" s="160"/>
      <c r="BW229" s="160"/>
      <c r="BX229" s="160"/>
      <c r="BY229" s="160"/>
      <c r="BZ229" s="160"/>
      <c r="CA229" s="160"/>
      <c r="CB229" s="160"/>
      <c r="CC229" s="160"/>
      <c r="CD229" s="160"/>
      <c r="CE229" s="160"/>
      <c r="CF229" s="160"/>
      <c r="CG229" s="160"/>
      <c r="CH229" s="160"/>
      <c r="CI229" s="160"/>
      <c r="CJ229" s="160"/>
      <c r="CK229" s="160"/>
      <c r="CL229" s="160"/>
      <c r="CM229" s="160"/>
      <c r="CN229" s="160"/>
      <c r="CO229" s="160"/>
      <c r="CP229" s="160"/>
      <c r="CQ229" s="160"/>
      <c r="CR229" s="160"/>
      <c r="CS229" s="160"/>
      <c r="CT229" s="160"/>
      <c r="CU229" s="160"/>
      <c r="CV229" s="160"/>
      <c r="CW229" s="160"/>
      <c r="CX229" s="160"/>
      <c r="CY229" s="160"/>
      <c r="CZ229" s="160"/>
      <c r="DA229" s="160"/>
      <c r="DB229" s="160"/>
      <c r="DC229" s="160"/>
      <c r="DD229" s="160"/>
      <c r="DE229" s="160"/>
      <c r="DF229" s="160"/>
      <c r="DG229" s="160"/>
      <c r="DH229" s="160"/>
      <c r="DI229" s="160"/>
      <c r="DJ229" s="160"/>
      <c r="DK229" s="160"/>
      <c r="DL229" s="160"/>
      <c r="DM229" s="160"/>
      <c r="DN229" s="160"/>
      <c r="DO229" s="160"/>
      <c r="DP229" s="160"/>
      <c r="DQ229" s="160"/>
      <c r="DR229" s="160"/>
      <c r="DS229" s="160"/>
      <c r="DT229" s="160"/>
      <c r="DU229" s="160"/>
      <c r="DV229" s="160"/>
      <c r="DW229" s="160"/>
      <c r="DX229" s="160"/>
      <c r="DY229" s="160"/>
      <c r="DZ229" s="160"/>
      <c r="EA229" s="160"/>
      <c r="EB229" s="160"/>
      <c r="EC229" s="160"/>
      <c r="ED229" s="160"/>
      <c r="EE229" s="160"/>
      <c r="EF229" s="160"/>
      <c r="EG229" s="160"/>
      <c r="EH229" s="160"/>
      <c r="EI229" s="160"/>
      <c r="EJ229" s="160"/>
      <c r="EK229" s="160"/>
      <c r="EL229" s="160"/>
      <c r="EM229" s="160"/>
      <c r="EN229" s="160"/>
      <c r="EO229" s="160"/>
      <c r="EP229" s="160"/>
      <c r="EQ229" s="160"/>
      <c r="ER229" s="160"/>
      <c r="ES229" s="160"/>
      <c r="ET229" s="160"/>
      <c r="EU229" s="160"/>
      <c r="EV229" s="160"/>
      <c r="EW229" s="160"/>
      <c r="EX229" s="160"/>
      <c r="EY229" s="160"/>
      <c r="EZ229" s="160"/>
      <c r="FA229" s="160"/>
      <c r="FB229" s="160"/>
      <c r="FC229" s="160"/>
      <c r="FD229" s="160"/>
      <c r="FE229" s="160"/>
      <c r="FF229" s="160"/>
      <c r="FG229" s="160"/>
      <c r="FH229" s="160"/>
      <c r="FI229" s="160"/>
      <c r="FJ229" s="160"/>
      <c r="FK229" s="160"/>
      <c r="FL229" s="160"/>
      <c r="FM229" s="160"/>
      <c r="FN229" s="160"/>
      <c r="FO229" s="160"/>
      <c r="FP229" s="160"/>
      <c r="FQ229" s="160"/>
      <c r="FR229" s="160"/>
      <c r="FS229" s="160"/>
      <c r="FT229" s="160"/>
      <c r="FU229" s="160"/>
      <c r="FV229" s="160"/>
      <c r="FW229" s="160"/>
      <c r="FX229" s="160"/>
      <c r="FY229" s="160"/>
      <c r="FZ229" s="160"/>
      <c r="GA229" s="160"/>
      <c r="GB229" s="160"/>
      <c r="GC229" s="160"/>
      <c r="GD229" s="160"/>
      <c r="GE229" s="160"/>
      <c r="GF229" s="160"/>
      <c r="GG229" s="160"/>
      <c r="GH229" s="160"/>
      <c r="GI229" s="160"/>
      <c r="GJ229" s="160"/>
      <c r="GK229" s="160"/>
      <c r="GL229" s="160"/>
      <c r="GM229" s="160"/>
      <c r="GN229" s="160"/>
      <c r="GO229" s="160"/>
      <c r="GP229" s="160"/>
      <c r="GQ229" s="160"/>
      <c r="GR229" s="160"/>
      <c r="GS229" s="160"/>
      <c r="GT229" s="160"/>
      <c r="GU229" s="160"/>
      <c r="GV229" s="160"/>
      <c r="GW229" s="160"/>
      <c r="GX229" s="160"/>
      <c r="GY229" s="160"/>
      <c r="GZ229" s="160"/>
      <c r="HA229" s="160"/>
      <c r="HB229" s="160"/>
      <c r="HC229" s="160"/>
      <c r="HD229" s="160"/>
      <c r="HE229" s="160"/>
      <c r="HF229" s="160"/>
      <c r="HG229" s="160"/>
      <c r="HH229" s="160"/>
      <c r="HI229" s="160"/>
      <c r="HJ229" s="160"/>
      <c r="HK229" s="160"/>
      <c r="HL229" s="160"/>
      <c r="HM229" s="160"/>
      <c r="HN229" s="160"/>
      <c r="HO229" s="160"/>
      <c r="HP229" s="160"/>
      <c r="HQ229" s="160"/>
      <c r="HR229" s="160"/>
      <c r="HS229" s="160"/>
      <c r="HT229" s="160"/>
      <c r="HU229" s="160"/>
      <c r="HV229" s="160"/>
      <c r="HW229" s="160"/>
      <c r="HX229" s="160"/>
      <c r="HY229" s="160"/>
      <c r="HZ229" s="160"/>
      <c r="IA229" s="160"/>
      <c r="IB229" s="160"/>
      <c r="IC229" s="160"/>
      <c r="ID229" s="160"/>
      <c r="IE229" s="160"/>
      <c r="IF229" s="160"/>
      <c r="IG229" s="160"/>
      <c r="IH229" s="160"/>
      <c r="II229" s="160"/>
      <c r="IJ229" s="160"/>
      <c r="IK229" s="160"/>
      <c r="IL229" s="160"/>
      <c r="IM229" s="160"/>
      <c r="IN229" s="160"/>
      <c r="IO229" s="160"/>
      <c r="IP229" s="160"/>
      <c r="IQ229" s="160"/>
      <c r="IR229" s="160"/>
    </row>
    <row r="230" spans="1:252" s="8" customFormat="1" ht="13.5" customHeight="1" x14ac:dyDescent="0.25">
      <c r="A230" s="214" t="s">
        <v>299</v>
      </c>
      <c r="B230" s="7" t="s">
        <v>824</v>
      </c>
      <c r="C230" s="190"/>
      <c r="D230" s="60"/>
      <c r="E230" s="60"/>
      <c r="F230" s="60"/>
      <c r="G230" s="200" t="str">
        <f t="shared" si="12"/>
        <v/>
      </c>
      <c r="H230" s="192"/>
      <c r="I230" s="60"/>
      <c r="J230" s="60"/>
      <c r="K230" s="60"/>
      <c r="L230" s="200" t="str">
        <f t="shared" si="13"/>
        <v/>
      </c>
      <c r="M230" s="192"/>
      <c r="N230" s="60"/>
      <c r="O230" s="60"/>
      <c r="P230" s="60"/>
      <c r="Q230" s="200" t="str">
        <f t="shared" si="14"/>
        <v/>
      </c>
      <c r="R230" s="192"/>
      <c r="S230" s="60"/>
      <c r="T230" s="205"/>
    </row>
    <row r="231" spans="1:252" s="8" customFormat="1" ht="13.5" customHeight="1" x14ac:dyDescent="0.25">
      <c r="A231" s="214" t="s">
        <v>299</v>
      </c>
      <c r="B231" s="7" t="s">
        <v>826</v>
      </c>
      <c r="C231" s="190"/>
      <c r="D231" s="60"/>
      <c r="E231" s="60"/>
      <c r="F231" s="60"/>
      <c r="G231" s="200" t="str">
        <f t="shared" si="12"/>
        <v/>
      </c>
      <c r="H231" s="192"/>
      <c r="I231" s="60"/>
      <c r="J231" s="60"/>
      <c r="K231" s="60"/>
      <c r="L231" s="200" t="str">
        <f t="shared" si="13"/>
        <v/>
      </c>
      <c r="M231" s="192"/>
      <c r="N231" s="60"/>
      <c r="O231" s="60"/>
      <c r="P231" s="60"/>
      <c r="Q231" s="200" t="str">
        <f t="shared" si="14"/>
        <v/>
      </c>
      <c r="R231" s="192"/>
      <c r="S231" s="60"/>
      <c r="T231" s="205"/>
    </row>
    <row r="232" spans="1:252" s="8" customFormat="1" ht="13.5" customHeight="1" x14ac:dyDescent="0.25">
      <c r="A232" s="214" t="s">
        <v>299</v>
      </c>
      <c r="B232" s="7" t="s">
        <v>828</v>
      </c>
      <c r="C232" s="190"/>
      <c r="D232" s="60"/>
      <c r="E232" s="60"/>
      <c r="F232" s="60"/>
      <c r="G232" s="200" t="str">
        <f t="shared" si="12"/>
        <v/>
      </c>
      <c r="H232" s="192"/>
      <c r="I232" s="60"/>
      <c r="J232" s="60"/>
      <c r="K232" s="60"/>
      <c r="L232" s="200" t="str">
        <f t="shared" si="13"/>
        <v/>
      </c>
      <c r="M232" s="192"/>
      <c r="N232" s="60"/>
      <c r="O232" s="60"/>
      <c r="P232" s="60"/>
      <c r="Q232" s="200" t="str">
        <f t="shared" si="14"/>
        <v/>
      </c>
      <c r="R232" s="192"/>
      <c r="S232" s="60"/>
      <c r="T232" s="205"/>
    </row>
    <row r="233" spans="1:252" s="8" customFormat="1" ht="13.5" customHeight="1" x14ac:dyDescent="0.25">
      <c r="A233" s="214" t="s">
        <v>299</v>
      </c>
      <c r="B233" s="7" t="s">
        <v>830</v>
      </c>
      <c r="C233" s="190"/>
      <c r="D233" s="60"/>
      <c r="E233" s="60"/>
      <c r="F233" s="60"/>
      <c r="G233" s="200" t="str">
        <f t="shared" si="12"/>
        <v/>
      </c>
      <c r="H233" s="192"/>
      <c r="I233" s="60"/>
      <c r="J233" s="60"/>
      <c r="K233" s="60"/>
      <c r="L233" s="200" t="str">
        <f t="shared" si="13"/>
        <v/>
      </c>
      <c r="M233" s="192"/>
      <c r="N233" s="60"/>
      <c r="O233" s="60"/>
      <c r="P233" s="60"/>
      <c r="Q233" s="200" t="str">
        <f t="shared" si="14"/>
        <v/>
      </c>
      <c r="R233" s="192"/>
      <c r="S233" s="60"/>
      <c r="T233" s="205"/>
    </row>
    <row r="234" spans="1:252" s="8" customFormat="1" ht="13.5" customHeight="1" x14ac:dyDescent="0.25">
      <c r="A234" s="214" t="s">
        <v>299</v>
      </c>
      <c r="B234" s="7" t="s">
        <v>832</v>
      </c>
      <c r="C234" s="190"/>
      <c r="D234" s="60"/>
      <c r="E234" s="60"/>
      <c r="F234" s="60"/>
      <c r="G234" s="200" t="str">
        <f t="shared" si="12"/>
        <v/>
      </c>
      <c r="H234" s="192"/>
      <c r="I234" s="60"/>
      <c r="J234" s="60"/>
      <c r="K234" s="60"/>
      <c r="L234" s="200" t="str">
        <f t="shared" si="13"/>
        <v/>
      </c>
      <c r="M234" s="192"/>
      <c r="N234" s="60"/>
      <c r="O234" s="60"/>
      <c r="P234" s="60"/>
      <c r="Q234" s="200" t="str">
        <f t="shared" si="14"/>
        <v/>
      </c>
      <c r="R234" s="192"/>
      <c r="S234" s="60"/>
      <c r="T234" s="205"/>
    </row>
    <row r="235" spans="1:252" s="8" customFormat="1" ht="13.5" customHeight="1" x14ac:dyDescent="0.25">
      <c r="A235" s="214" t="s">
        <v>299</v>
      </c>
      <c r="B235" s="7" t="s">
        <v>834</v>
      </c>
      <c r="C235" s="190"/>
      <c r="D235" s="60"/>
      <c r="E235" s="60"/>
      <c r="F235" s="60"/>
      <c r="G235" s="200" t="str">
        <f t="shared" si="12"/>
        <v/>
      </c>
      <c r="H235" s="192"/>
      <c r="I235" s="60"/>
      <c r="J235" s="60"/>
      <c r="K235" s="60"/>
      <c r="L235" s="200" t="str">
        <f t="shared" si="13"/>
        <v/>
      </c>
      <c r="M235" s="192"/>
      <c r="N235" s="60"/>
      <c r="O235" s="60"/>
      <c r="P235" s="60"/>
      <c r="Q235" s="200" t="str">
        <f t="shared" si="14"/>
        <v/>
      </c>
      <c r="R235" s="192"/>
      <c r="S235" s="60"/>
      <c r="T235" s="205"/>
    </row>
    <row r="236" spans="1:252" s="8" customFormat="1" ht="13.5" customHeight="1" x14ac:dyDescent="0.25">
      <c r="A236" s="214" t="s">
        <v>299</v>
      </c>
      <c r="B236" s="7" t="s">
        <v>102</v>
      </c>
      <c r="C236" s="190" t="s">
        <v>310</v>
      </c>
      <c r="D236" s="191">
        <v>2</v>
      </c>
      <c r="E236" s="191"/>
      <c r="F236" s="191"/>
      <c r="G236" s="200" t="str">
        <f t="shared" si="12"/>
        <v/>
      </c>
      <c r="H236" s="190"/>
      <c r="I236" s="191"/>
      <c r="J236" s="191"/>
      <c r="K236" s="191"/>
      <c r="L236" s="200" t="str">
        <f t="shared" si="13"/>
        <v/>
      </c>
      <c r="M236" s="190" t="s">
        <v>310</v>
      </c>
      <c r="N236" s="191">
        <v>1</v>
      </c>
      <c r="O236" s="191"/>
      <c r="P236" s="191"/>
      <c r="Q236" s="200" t="str">
        <f t="shared" si="14"/>
        <v/>
      </c>
      <c r="R236" s="190"/>
      <c r="S236" s="191"/>
      <c r="T236" s="200"/>
    </row>
    <row r="237" spans="1:252" s="8" customFormat="1" ht="13.5" customHeight="1" x14ac:dyDescent="0.25">
      <c r="A237" s="214" t="s">
        <v>299</v>
      </c>
      <c r="B237" s="7" t="s">
        <v>836</v>
      </c>
      <c r="C237" s="190"/>
      <c r="D237" s="60"/>
      <c r="E237" s="60"/>
      <c r="F237" s="60"/>
      <c r="G237" s="200" t="str">
        <f t="shared" si="12"/>
        <v/>
      </c>
      <c r="H237" s="192"/>
      <c r="I237" s="60"/>
      <c r="J237" s="60"/>
      <c r="K237" s="60"/>
      <c r="L237" s="200" t="str">
        <f t="shared" si="13"/>
        <v/>
      </c>
      <c r="M237" s="192"/>
      <c r="N237" s="60"/>
      <c r="O237" s="60"/>
      <c r="P237" s="60"/>
      <c r="Q237" s="200" t="str">
        <f t="shared" si="14"/>
        <v/>
      </c>
      <c r="R237" s="192"/>
      <c r="S237" s="60"/>
      <c r="T237" s="205"/>
    </row>
    <row r="238" spans="1:252" s="8" customFormat="1" ht="13.5" customHeight="1" x14ac:dyDescent="0.25">
      <c r="A238" s="214" t="s">
        <v>299</v>
      </c>
      <c r="B238" s="7" t="s">
        <v>839</v>
      </c>
      <c r="C238" s="190"/>
      <c r="D238" s="60"/>
      <c r="E238" s="60"/>
      <c r="F238" s="60"/>
      <c r="G238" s="200" t="str">
        <f t="shared" si="12"/>
        <v/>
      </c>
      <c r="H238" s="192"/>
      <c r="I238" s="60"/>
      <c r="J238" s="60"/>
      <c r="K238" s="60"/>
      <c r="L238" s="200" t="str">
        <f t="shared" si="13"/>
        <v/>
      </c>
      <c r="M238" s="192"/>
      <c r="N238" s="60"/>
      <c r="O238" s="60"/>
      <c r="P238" s="60"/>
      <c r="Q238" s="200" t="str">
        <f t="shared" si="14"/>
        <v/>
      </c>
      <c r="R238" s="192"/>
      <c r="S238" s="60"/>
      <c r="T238" s="205"/>
    </row>
    <row r="239" spans="1:252" s="8" customFormat="1" ht="13.5" customHeight="1" x14ac:dyDescent="0.25">
      <c r="A239" s="214" t="s">
        <v>299</v>
      </c>
      <c r="B239" s="7" t="s">
        <v>842</v>
      </c>
      <c r="C239" s="190"/>
      <c r="D239" s="60"/>
      <c r="E239" s="60"/>
      <c r="F239" s="60"/>
      <c r="G239" s="200" t="str">
        <f t="shared" si="12"/>
        <v/>
      </c>
      <c r="H239" s="192"/>
      <c r="I239" s="60"/>
      <c r="J239" s="60"/>
      <c r="K239" s="60"/>
      <c r="L239" s="200" t="str">
        <f t="shared" si="13"/>
        <v/>
      </c>
      <c r="M239" s="192"/>
      <c r="N239" s="60"/>
      <c r="O239" s="60"/>
      <c r="P239" s="60"/>
      <c r="Q239" s="200" t="str">
        <f t="shared" si="14"/>
        <v/>
      </c>
      <c r="R239" s="192"/>
      <c r="S239" s="60"/>
      <c r="T239" s="205"/>
    </row>
    <row r="240" spans="1:252" s="8" customFormat="1" ht="13.5" customHeight="1" x14ac:dyDescent="0.25">
      <c r="A240" s="214" t="s">
        <v>299</v>
      </c>
      <c r="B240" s="7" t="s">
        <v>845</v>
      </c>
      <c r="C240" s="190"/>
      <c r="D240" s="60"/>
      <c r="E240" s="60"/>
      <c r="F240" s="60"/>
      <c r="G240" s="200" t="str">
        <f t="shared" si="12"/>
        <v/>
      </c>
      <c r="H240" s="192"/>
      <c r="I240" s="60"/>
      <c r="J240" s="60"/>
      <c r="K240" s="60"/>
      <c r="L240" s="200" t="str">
        <f t="shared" si="13"/>
        <v/>
      </c>
      <c r="M240" s="192"/>
      <c r="N240" s="60"/>
      <c r="O240" s="60"/>
      <c r="P240" s="60"/>
      <c r="Q240" s="200" t="str">
        <f t="shared" si="14"/>
        <v/>
      </c>
      <c r="R240" s="192"/>
      <c r="S240" s="60"/>
      <c r="T240" s="205"/>
    </row>
    <row r="241" spans="1:20" s="8" customFormat="1" ht="13.5" customHeight="1" x14ac:dyDescent="0.25">
      <c r="A241" s="214" t="s">
        <v>299</v>
      </c>
      <c r="B241" s="7" t="s">
        <v>847</v>
      </c>
      <c r="C241" s="190"/>
      <c r="D241" s="60"/>
      <c r="E241" s="60"/>
      <c r="F241" s="60"/>
      <c r="G241" s="200" t="str">
        <f t="shared" si="12"/>
        <v/>
      </c>
      <c r="H241" s="192"/>
      <c r="I241" s="60"/>
      <c r="J241" s="60"/>
      <c r="K241" s="60"/>
      <c r="L241" s="200" t="str">
        <f t="shared" si="13"/>
        <v/>
      </c>
      <c r="M241" s="192"/>
      <c r="N241" s="60"/>
      <c r="O241" s="60"/>
      <c r="P241" s="60"/>
      <c r="Q241" s="200" t="str">
        <f t="shared" si="14"/>
        <v/>
      </c>
      <c r="R241" s="192"/>
      <c r="S241" s="60"/>
      <c r="T241" s="205"/>
    </row>
    <row r="242" spans="1:20" s="8" customFormat="1" ht="13.5" customHeight="1" x14ac:dyDescent="0.25">
      <c r="A242" s="214" t="s">
        <v>299</v>
      </c>
      <c r="B242" s="7" t="s">
        <v>849</v>
      </c>
      <c r="C242" s="190"/>
      <c r="D242" s="60"/>
      <c r="E242" s="60"/>
      <c r="F242" s="60"/>
      <c r="G242" s="200" t="str">
        <f t="shared" si="12"/>
        <v/>
      </c>
      <c r="H242" s="192"/>
      <c r="I242" s="60"/>
      <c r="J242" s="60"/>
      <c r="K242" s="60"/>
      <c r="L242" s="200" t="str">
        <f t="shared" si="13"/>
        <v/>
      </c>
      <c r="M242" s="192"/>
      <c r="N242" s="60"/>
      <c r="O242" s="60"/>
      <c r="P242" s="60"/>
      <c r="Q242" s="200" t="str">
        <f t="shared" si="14"/>
        <v/>
      </c>
      <c r="R242" s="192"/>
      <c r="S242" s="60"/>
      <c r="T242" s="205"/>
    </row>
    <row r="243" spans="1:20" s="8" customFormat="1" ht="13.5" customHeight="1" x14ac:dyDescent="0.25">
      <c r="A243" s="214" t="s">
        <v>299</v>
      </c>
      <c r="B243" s="7" t="s">
        <v>852</v>
      </c>
      <c r="C243" s="190"/>
      <c r="D243" s="60"/>
      <c r="E243" s="60"/>
      <c r="F243" s="60"/>
      <c r="G243" s="200" t="str">
        <f t="shared" si="12"/>
        <v/>
      </c>
      <c r="H243" s="192"/>
      <c r="I243" s="60"/>
      <c r="J243" s="60"/>
      <c r="K243" s="60"/>
      <c r="L243" s="200" t="str">
        <f t="shared" si="13"/>
        <v/>
      </c>
      <c r="M243" s="192"/>
      <c r="N243" s="60"/>
      <c r="O243" s="60"/>
      <c r="P243" s="60"/>
      <c r="Q243" s="200" t="str">
        <f t="shared" si="14"/>
        <v/>
      </c>
      <c r="R243" s="192"/>
      <c r="S243" s="60"/>
      <c r="T243" s="205"/>
    </row>
    <row r="244" spans="1:20" s="8" customFormat="1" ht="13.5" customHeight="1" x14ac:dyDescent="0.25">
      <c r="A244" s="214" t="s">
        <v>299</v>
      </c>
      <c r="B244" s="7" t="s">
        <v>855</v>
      </c>
      <c r="C244" s="190"/>
      <c r="D244" s="60"/>
      <c r="E244" s="60"/>
      <c r="F244" s="60"/>
      <c r="G244" s="200" t="str">
        <f t="shared" si="12"/>
        <v/>
      </c>
      <c r="H244" s="192"/>
      <c r="I244" s="60"/>
      <c r="J244" s="60"/>
      <c r="K244" s="60"/>
      <c r="L244" s="200" t="str">
        <f t="shared" si="13"/>
        <v/>
      </c>
      <c r="M244" s="192"/>
      <c r="N244" s="60"/>
      <c r="O244" s="60"/>
      <c r="P244" s="60"/>
      <c r="Q244" s="200" t="str">
        <f t="shared" si="14"/>
        <v/>
      </c>
      <c r="R244" s="192"/>
      <c r="S244" s="60"/>
      <c r="T244" s="205"/>
    </row>
    <row r="245" spans="1:20" s="8" customFormat="1" ht="13.5" customHeight="1" x14ac:dyDescent="0.25">
      <c r="A245" s="214" t="s">
        <v>299</v>
      </c>
      <c r="B245" s="7" t="s">
        <v>858</v>
      </c>
      <c r="C245" s="192"/>
      <c r="D245" s="60"/>
      <c r="E245" s="60"/>
      <c r="F245" s="60"/>
      <c r="G245" s="200" t="str">
        <f t="shared" si="12"/>
        <v/>
      </c>
      <c r="H245" s="192"/>
      <c r="I245" s="60"/>
      <c r="J245" s="60"/>
      <c r="K245" s="60"/>
      <c r="L245" s="200" t="str">
        <f t="shared" si="13"/>
        <v/>
      </c>
      <c r="M245" s="192"/>
      <c r="N245" s="60"/>
      <c r="O245" s="60"/>
      <c r="P245" s="60"/>
      <c r="Q245" s="200" t="str">
        <f t="shared" si="14"/>
        <v/>
      </c>
      <c r="R245" s="192"/>
      <c r="S245" s="60"/>
      <c r="T245" s="205"/>
    </row>
    <row r="246" spans="1:20" s="8" customFormat="1" ht="13.5" customHeight="1" x14ac:dyDescent="0.25">
      <c r="A246" s="214" t="s">
        <v>299</v>
      </c>
      <c r="B246" s="7" t="s">
        <v>861</v>
      </c>
      <c r="C246" s="190"/>
      <c r="D246" s="60"/>
      <c r="E246" s="60"/>
      <c r="F246" s="60"/>
      <c r="G246" s="200" t="str">
        <f t="shared" si="12"/>
        <v/>
      </c>
      <c r="H246" s="192"/>
      <c r="I246" s="60"/>
      <c r="J246" s="60"/>
      <c r="K246" s="60"/>
      <c r="L246" s="200" t="str">
        <f t="shared" si="13"/>
        <v/>
      </c>
      <c r="M246" s="192"/>
      <c r="N246" s="60"/>
      <c r="O246" s="60"/>
      <c r="P246" s="60"/>
      <c r="Q246" s="200" t="str">
        <f t="shared" si="14"/>
        <v/>
      </c>
      <c r="R246" s="192"/>
      <c r="S246" s="60"/>
      <c r="T246" s="205"/>
    </row>
    <row r="247" spans="1:20" s="8" customFormat="1" ht="13.5" customHeight="1" x14ac:dyDescent="0.25">
      <c r="A247" s="214" t="s">
        <v>299</v>
      </c>
      <c r="B247" s="7" t="s">
        <v>863</v>
      </c>
      <c r="C247" s="190"/>
      <c r="D247" s="60"/>
      <c r="E247" s="60"/>
      <c r="F247" s="60"/>
      <c r="G247" s="200" t="str">
        <f t="shared" si="12"/>
        <v/>
      </c>
      <c r="H247" s="192"/>
      <c r="I247" s="60"/>
      <c r="J247" s="60"/>
      <c r="K247" s="60"/>
      <c r="L247" s="200" t="str">
        <f t="shared" si="13"/>
        <v/>
      </c>
      <c r="M247" s="192"/>
      <c r="N247" s="60"/>
      <c r="O247" s="60"/>
      <c r="P247" s="60"/>
      <c r="Q247" s="200" t="str">
        <f t="shared" si="14"/>
        <v/>
      </c>
      <c r="R247" s="192"/>
      <c r="S247" s="60"/>
      <c r="T247" s="205"/>
    </row>
    <row r="248" spans="1:20" s="8" customFormat="1" ht="13.5" customHeight="1" x14ac:dyDescent="0.25">
      <c r="A248" s="214" t="s">
        <v>299</v>
      </c>
      <c r="B248" s="7" t="s">
        <v>865</v>
      </c>
      <c r="C248" s="190"/>
      <c r="D248" s="60"/>
      <c r="E248" s="60"/>
      <c r="F248" s="60"/>
      <c r="G248" s="200" t="str">
        <f t="shared" si="12"/>
        <v/>
      </c>
      <c r="H248" s="192"/>
      <c r="I248" s="60"/>
      <c r="J248" s="60"/>
      <c r="K248" s="60"/>
      <c r="L248" s="200" t="str">
        <f t="shared" si="13"/>
        <v/>
      </c>
      <c r="M248" s="192"/>
      <c r="N248" s="60"/>
      <c r="O248" s="60"/>
      <c r="P248" s="60"/>
      <c r="Q248" s="200" t="str">
        <f t="shared" si="14"/>
        <v/>
      </c>
      <c r="R248" s="192"/>
      <c r="S248" s="60"/>
      <c r="T248" s="205"/>
    </row>
    <row r="249" spans="1:20" s="8" customFormat="1" ht="13.5" customHeight="1" x14ac:dyDescent="0.25">
      <c r="A249" s="214" t="s">
        <v>299</v>
      </c>
      <c r="B249" s="7" t="s">
        <v>867</v>
      </c>
      <c r="C249" s="190"/>
      <c r="D249" s="60"/>
      <c r="E249" s="60"/>
      <c r="F249" s="60"/>
      <c r="G249" s="200" t="str">
        <f t="shared" si="12"/>
        <v/>
      </c>
      <c r="H249" s="192"/>
      <c r="I249" s="60"/>
      <c r="J249" s="60"/>
      <c r="K249" s="60"/>
      <c r="L249" s="200" t="str">
        <f t="shared" si="13"/>
        <v/>
      </c>
      <c r="M249" s="192"/>
      <c r="N249" s="60"/>
      <c r="O249" s="60"/>
      <c r="P249" s="60"/>
      <c r="Q249" s="200" t="str">
        <f t="shared" si="14"/>
        <v/>
      </c>
      <c r="R249" s="192"/>
      <c r="S249" s="60"/>
      <c r="T249" s="205"/>
    </row>
    <row r="250" spans="1:20" s="8" customFormat="1" ht="13.5" customHeight="1" x14ac:dyDescent="0.25">
      <c r="A250" s="214" t="s">
        <v>299</v>
      </c>
      <c r="B250" s="7" t="s">
        <v>870</v>
      </c>
      <c r="C250" s="190"/>
      <c r="D250" s="60"/>
      <c r="E250" s="60"/>
      <c r="F250" s="60"/>
      <c r="G250" s="200" t="str">
        <f t="shared" si="12"/>
        <v/>
      </c>
      <c r="H250" s="192"/>
      <c r="I250" s="60"/>
      <c r="J250" s="60"/>
      <c r="K250" s="60"/>
      <c r="L250" s="200" t="str">
        <f t="shared" si="13"/>
        <v/>
      </c>
      <c r="M250" s="192"/>
      <c r="N250" s="60"/>
      <c r="O250" s="60"/>
      <c r="P250" s="60"/>
      <c r="Q250" s="200" t="str">
        <f t="shared" si="14"/>
        <v/>
      </c>
      <c r="R250" s="192"/>
      <c r="S250" s="60"/>
      <c r="T250" s="205"/>
    </row>
    <row r="251" spans="1:20" s="8" customFormat="1" ht="13.5" customHeight="1" x14ac:dyDescent="0.25">
      <c r="A251" s="214" t="s">
        <v>299</v>
      </c>
      <c r="B251" s="7" t="s">
        <v>872</v>
      </c>
      <c r="C251" s="190"/>
      <c r="D251" s="60"/>
      <c r="E251" s="60"/>
      <c r="F251" s="60"/>
      <c r="G251" s="200" t="str">
        <f t="shared" si="12"/>
        <v/>
      </c>
      <c r="H251" s="192"/>
      <c r="I251" s="60"/>
      <c r="J251" s="60"/>
      <c r="K251" s="60"/>
      <c r="L251" s="200" t="str">
        <f t="shared" si="13"/>
        <v/>
      </c>
      <c r="M251" s="192"/>
      <c r="N251" s="60"/>
      <c r="O251" s="60"/>
      <c r="P251" s="60"/>
      <c r="Q251" s="200" t="str">
        <f t="shared" si="14"/>
        <v/>
      </c>
      <c r="R251" s="192"/>
      <c r="S251" s="60"/>
      <c r="T251" s="205"/>
    </row>
    <row r="252" spans="1:20" s="8" customFormat="1" ht="13.5" customHeight="1" x14ac:dyDescent="0.25">
      <c r="A252" s="214" t="s">
        <v>299</v>
      </c>
      <c r="B252" s="7" t="s">
        <v>875</v>
      </c>
      <c r="C252" s="190"/>
      <c r="D252" s="60"/>
      <c r="E252" s="60"/>
      <c r="F252" s="60"/>
      <c r="G252" s="200" t="str">
        <f t="shared" si="12"/>
        <v/>
      </c>
      <c r="H252" s="192"/>
      <c r="I252" s="60"/>
      <c r="J252" s="60"/>
      <c r="K252" s="60"/>
      <c r="L252" s="200" t="str">
        <f t="shared" si="13"/>
        <v/>
      </c>
      <c r="M252" s="192"/>
      <c r="N252" s="60"/>
      <c r="O252" s="60"/>
      <c r="P252" s="60"/>
      <c r="Q252" s="200" t="str">
        <f t="shared" si="14"/>
        <v/>
      </c>
      <c r="R252" s="192"/>
      <c r="S252" s="60"/>
      <c r="T252" s="205"/>
    </row>
    <row r="253" spans="1:20" s="8" customFormat="1" ht="13.5" customHeight="1" x14ac:dyDescent="0.25">
      <c r="A253" s="214" t="s">
        <v>299</v>
      </c>
      <c r="B253" s="7" t="s">
        <v>878</v>
      </c>
      <c r="C253" s="190"/>
      <c r="D253" s="60"/>
      <c r="E253" s="60"/>
      <c r="F253" s="60"/>
      <c r="G253" s="200" t="str">
        <f t="shared" si="12"/>
        <v/>
      </c>
      <c r="H253" s="192"/>
      <c r="I253" s="60"/>
      <c r="J253" s="60"/>
      <c r="K253" s="60"/>
      <c r="L253" s="200" t="str">
        <f t="shared" si="13"/>
        <v/>
      </c>
      <c r="M253" s="192"/>
      <c r="N253" s="60"/>
      <c r="O253" s="60"/>
      <c r="P253" s="60"/>
      <c r="Q253" s="200" t="str">
        <f t="shared" si="14"/>
        <v/>
      </c>
      <c r="R253" s="192"/>
      <c r="S253" s="60"/>
      <c r="T253" s="205"/>
    </row>
    <row r="254" spans="1:20" s="8" customFormat="1" ht="13.5" customHeight="1" x14ac:dyDescent="0.25">
      <c r="A254" s="214" t="s">
        <v>299</v>
      </c>
      <c r="B254" s="7" t="s">
        <v>881</v>
      </c>
      <c r="C254" s="190"/>
      <c r="D254" s="60"/>
      <c r="E254" s="60"/>
      <c r="F254" s="60"/>
      <c r="G254" s="200" t="str">
        <f t="shared" si="12"/>
        <v/>
      </c>
      <c r="H254" s="192"/>
      <c r="I254" s="60"/>
      <c r="J254" s="60"/>
      <c r="K254" s="60"/>
      <c r="L254" s="200" t="str">
        <f t="shared" si="13"/>
        <v/>
      </c>
      <c r="M254" s="192"/>
      <c r="N254" s="60"/>
      <c r="O254" s="60"/>
      <c r="P254" s="60"/>
      <c r="Q254" s="200" t="str">
        <f t="shared" si="14"/>
        <v/>
      </c>
      <c r="R254" s="192"/>
      <c r="S254" s="60"/>
      <c r="T254" s="205"/>
    </row>
    <row r="255" spans="1:20" s="8" customFormat="1" ht="13.5" customHeight="1" x14ac:dyDescent="0.25">
      <c r="A255" s="214" t="s">
        <v>299</v>
      </c>
      <c r="B255" s="7" t="s">
        <v>884</v>
      </c>
      <c r="C255" s="190"/>
      <c r="D255" s="60"/>
      <c r="E255" s="60"/>
      <c r="F255" s="60"/>
      <c r="G255" s="200" t="str">
        <f t="shared" si="12"/>
        <v/>
      </c>
      <c r="H255" s="192"/>
      <c r="I255" s="60"/>
      <c r="J255" s="60"/>
      <c r="K255" s="60"/>
      <c r="L255" s="200" t="str">
        <f t="shared" si="13"/>
        <v/>
      </c>
      <c r="M255" s="192"/>
      <c r="N255" s="60"/>
      <c r="O255" s="60"/>
      <c r="P255" s="60"/>
      <c r="Q255" s="200" t="str">
        <f t="shared" si="14"/>
        <v/>
      </c>
      <c r="R255" s="192"/>
      <c r="S255" s="60"/>
      <c r="T255" s="205"/>
    </row>
    <row r="256" spans="1:20" s="8" customFormat="1" ht="13.5" customHeight="1" x14ac:dyDescent="0.25">
      <c r="A256" s="214" t="s">
        <v>299</v>
      </c>
      <c r="B256" s="7" t="s">
        <v>185</v>
      </c>
      <c r="C256" s="190">
        <v>1</v>
      </c>
      <c r="D256" s="191">
        <v>1</v>
      </c>
      <c r="E256" s="191"/>
      <c r="F256" s="191"/>
      <c r="G256" s="200" t="str">
        <f t="shared" si="12"/>
        <v/>
      </c>
      <c r="H256" s="190" t="s">
        <v>310</v>
      </c>
      <c r="I256" s="191">
        <v>1</v>
      </c>
      <c r="J256" s="191">
        <v>1</v>
      </c>
      <c r="K256" s="191"/>
      <c r="L256" s="200" t="str">
        <f t="shared" si="13"/>
        <v/>
      </c>
      <c r="M256" s="190"/>
      <c r="N256" s="191"/>
      <c r="O256" s="191"/>
      <c r="P256" s="191"/>
      <c r="Q256" s="200" t="str">
        <f t="shared" si="14"/>
        <v/>
      </c>
      <c r="R256" s="190"/>
      <c r="S256" s="191">
        <v>70</v>
      </c>
      <c r="T256" s="200"/>
    </row>
    <row r="257" spans="1:20" s="8" customFormat="1" ht="13.5" customHeight="1" x14ac:dyDescent="0.25">
      <c r="A257" s="214" t="s">
        <v>299</v>
      </c>
      <c r="B257" s="7" t="s">
        <v>886</v>
      </c>
      <c r="C257" s="190"/>
      <c r="D257" s="60"/>
      <c r="E257" s="60"/>
      <c r="F257" s="60"/>
      <c r="G257" s="200" t="str">
        <f t="shared" si="12"/>
        <v/>
      </c>
      <c r="H257" s="192"/>
      <c r="I257" s="60"/>
      <c r="J257" s="60"/>
      <c r="K257" s="60"/>
      <c r="L257" s="200" t="str">
        <f t="shared" si="13"/>
        <v/>
      </c>
      <c r="M257" s="192"/>
      <c r="N257" s="60"/>
      <c r="O257" s="60"/>
      <c r="P257" s="60"/>
      <c r="Q257" s="200" t="str">
        <f t="shared" si="14"/>
        <v/>
      </c>
      <c r="R257" s="192"/>
      <c r="S257" s="60"/>
      <c r="T257" s="205"/>
    </row>
    <row r="258" spans="1:20" s="8" customFormat="1" ht="13.5" customHeight="1" x14ac:dyDescent="0.25">
      <c r="A258" s="214" t="s">
        <v>299</v>
      </c>
      <c r="B258" s="7" t="s">
        <v>888</v>
      </c>
      <c r="C258" s="190"/>
      <c r="D258" s="60"/>
      <c r="E258" s="60"/>
      <c r="F258" s="60"/>
      <c r="G258" s="200" t="str">
        <f t="shared" ref="G258:G321" si="15">IF(F258=1,"New","")</f>
        <v/>
      </c>
      <c r="H258" s="192"/>
      <c r="I258" s="60"/>
      <c r="J258" s="60"/>
      <c r="K258" s="60"/>
      <c r="L258" s="200" t="str">
        <f t="shared" si="13"/>
        <v/>
      </c>
      <c r="M258" s="192"/>
      <c r="N258" s="60"/>
      <c r="O258" s="60"/>
      <c r="P258" s="60"/>
      <c r="Q258" s="200" t="str">
        <f t="shared" si="14"/>
        <v/>
      </c>
      <c r="R258" s="192"/>
      <c r="S258" s="60"/>
      <c r="T258" s="205"/>
    </row>
    <row r="259" spans="1:20" s="8" customFormat="1" ht="13.5" customHeight="1" x14ac:dyDescent="0.25">
      <c r="A259" s="214" t="s">
        <v>299</v>
      </c>
      <c r="B259" s="7" t="s">
        <v>890</v>
      </c>
      <c r="C259" s="190"/>
      <c r="D259" s="60"/>
      <c r="E259" s="60"/>
      <c r="F259" s="60"/>
      <c r="G259" s="200" t="str">
        <f t="shared" si="15"/>
        <v/>
      </c>
      <c r="H259" s="192"/>
      <c r="I259" s="60"/>
      <c r="J259" s="60"/>
      <c r="K259" s="60"/>
      <c r="L259" s="200" t="str">
        <f t="shared" ref="L259:L322" si="16">IF(K259=1,"New","")</f>
        <v/>
      </c>
      <c r="M259" s="192"/>
      <c r="N259" s="60"/>
      <c r="O259" s="60"/>
      <c r="P259" s="60"/>
      <c r="Q259" s="200" t="str">
        <f t="shared" ref="Q259:Q322" si="17">IF(P259=1,"New","")</f>
        <v/>
      </c>
      <c r="R259" s="192"/>
      <c r="S259" s="60"/>
      <c r="T259" s="205"/>
    </row>
    <row r="260" spans="1:20" s="8" customFormat="1" ht="13.5" customHeight="1" x14ac:dyDescent="0.25">
      <c r="A260" s="214" t="s">
        <v>299</v>
      </c>
      <c r="B260" s="7" t="s">
        <v>892</v>
      </c>
      <c r="C260" s="190"/>
      <c r="D260" s="60"/>
      <c r="E260" s="60"/>
      <c r="F260" s="60"/>
      <c r="G260" s="200" t="str">
        <f t="shared" si="15"/>
        <v/>
      </c>
      <c r="H260" s="192"/>
      <c r="I260" s="60"/>
      <c r="J260" s="60"/>
      <c r="K260" s="60"/>
      <c r="L260" s="200" t="str">
        <f t="shared" si="16"/>
        <v/>
      </c>
      <c r="M260" s="192"/>
      <c r="N260" s="60"/>
      <c r="O260" s="60"/>
      <c r="P260" s="60"/>
      <c r="Q260" s="200" t="str">
        <f t="shared" si="17"/>
        <v/>
      </c>
      <c r="R260" s="192"/>
      <c r="S260" s="60"/>
      <c r="T260" s="205"/>
    </row>
    <row r="261" spans="1:20" s="8" customFormat="1" ht="13.5" customHeight="1" x14ac:dyDescent="0.25">
      <c r="A261" s="214" t="s">
        <v>299</v>
      </c>
      <c r="B261" s="7" t="s">
        <v>894</v>
      </c>
      <c r="C261" s="190"/>
      <c r="D261" s="60"/>
      <c r="E261" s="60"/>
      <c r="F261" s="60"/>
      <c r="G261" s="200" t="str">
        <f t="shared" si="15"/>
        <v/>
      </c>
      <c r="H261" s="192"/>
      <c r="I261" s="60"/>
      <c r="J261" s="60"/>
      <c r="K261" s="60"/>
      <c r="L261" s="200" t="str">
        <f t="shared" si="16"/>
        <v/>
      </c>
      <c r="M261" s="192"/>
      <c r="N261" s="60"/>
      <c r="O261" s="60"/>
      <c r="P261" s="60"/>
      <c r="Q261" s="200" t="str">
        <f t="shared" si="17"/>
        <v/>
      </c>
      <c r="R261" s="192"/>
      <c r="S261" s="60"/>
      <c r="T261" s="205"/>
    </row>
    <row r="262" spans="1:20" s="8" customFormat="1" ht="13.5" customHeight="1" x14ac:dyDescent="0.25">
      <c r="A262" s="214" t="s">
        <v>299</v>
      </c>
      <c r="B262" s="7" t="s">
        <v>1771</v>
      </c>
      <c r="C262" s="190"/>
      <c r="D262" s="191"/>
      <c r="E262" s="191"/>
      <c r="F262" s="191"/>
      <c r="G262" s="200" t="str">
        <f t="shared" si="15"/>
        <v/>
      </c>
      <c r="H262" s="190" t="s">
        <v>310</v>
      </c>
      <c r="I262" s="191">
        <v>1</v>
      </c>
      <c r="J262" s="191">
        <v>1</v>
      </c>
      <c r="K262" s="191"/>
      <c r="L262" s="200" t="str">
        <f t="shared" si="16"/>
        <v/>
      </c>
      <c r="M262" s="190"/>
      <c r="N262" s="191"/>
      <c r="O262" s="191"/>
      <c r="P262" s="191"/>
      <c r="Q262" s="200" t="str">
        <f t="shared" si="17"/>
        <v/>
      </c>
      <c r="R262" s="190"/>
      <c r="S262" s="191"/>
      <c r="T262" s="200"/>
    </row>
    <row r="263" spans="1:20" s="8" customFormat="1" ht="13.5" customHeight="1" x14ac:dyDescent="0.25">
      <c r="A263" s="214" t="s">
        <v>299</v>
      </c>
      <c r="B263" s="22" t="s">
        <v>1772</v>
      </c>
      <c r="C263" s="190"/>
      <c r="D263" s="191"/>
      <c r="E263" s="191"/>
      <c r="F263" s="191"/>
      <c r="G263" s="200" t="str">
        <f t="shared" si="15"/>
        <v/>
      </c>
      <c r="H263" s="190"/>
      <c r="I263" s="191"/>
      <c r="J263" s="191"/>
      <c r="K263" s="191"/>
      <c r="L263" s="200" t="str">
        <f t="shared" si="16"/>
        <v/>
      </c>
      <c r="M263" s="190"/>
      <c r="N263" s="191"/>
      <c r="O263" s="191"/>
      <c r="P263" s="191"/>
      <c r="Q263" s="200" t="str">
        <f t="shared" si="17"/>
        <v/>
      </c>
      <c r="R263" s="190"/>
      <c r="S263" s="191"/>
      <c r="T263" s="200"/>
    </row>
    <row r="264" spans="1:20" s="8" customFormat="1" ht="13.5" customHeight="1" x14ac:dyDescent="0.25">
      <c r="A264" s="214" t="s">
        <v>299</v>
      </c>
      <c r="B264" s="7" t="s">
        <v>1773</v>
      </c>
      <c r="C264" s="190"/>
      <c r="D264" s="191"/>
      <c r="E264" s="191"/>
      <c r="F264" s="191"/>
      <c r="G264" s="200" t="str">
        <f t="shared" si="15"/>
        <v/>
      </c>
      <c r="H264" s="190"/>
      <c r="I264" s="191"/>
      <c r="J264" s="191"/>
      <c r="K264" s="191"/>
      <c r="L264" s="200" t="str">
        <f t="shared" si="16"/>
        <v/>
      </c>
      <c r="M264" s="190"/>
      <c r="N264" s="191"/>
      <c r="O264" s="191"/>
      <c r="P264" s="191"/>
      <c r="Q264" s="200" t="str">
        <f t="shared" si="17"/>
        <v/>
      </c>
      <c r="R264" s="190"/>
      <c r="S264" s="191"/>
      <c r="T264" s="200"/>
    </row>
    <row r="265" spans="1:20" s="8" customFormat="1" ht="13.5" customHeight="1" x14ac:dyDescent="0.25">
      <c r="A265" s="214" t="s">
        <v>299</v>
      </c>
      <c r="B265" s="22" t="s">
        <v>1774</v>
      </c>
      <c r="C265" s="190"/>
      <c r="D265" s="191"/>
      <c r="E265" s="191"/>
      <c r="F265" s="191"/>
      <c r="G265" s="200" t="str">
        <f t="shared" si="15"/>
        <v/>
      </c>
      <c r="H265" s="190"/>
      <c r="I265" s="191"/>
      <c r="J265" s="191"/>
      <c r="K265" s="191"/>
      <c r="L265" s="200" t="str">
        <f t="shared" si="16"/>
        <v/>
      </c>
      <c r="M265" s="190"/>
      <c r="N265" s="191"/>
      <c r="O265" s="191"/>
      <c r="P265" s="191"/>
      <c r="Q265" s="200" t="str">
        <f t="shared" si="17"/>
        <v/>
      </c>
      <c r="R265" s="190"/>
      <c r="S265" s="191"/>
      <c r="T265" s="200"/>
    </row>
    <row r="266" spans="1:20" s="8" customFormat="1" ht="13.5" customHeight="1" x14ac:dyDescent="0.25">
      <c r="A266" s="214" t="s">
        <v>299</v>
      </c>
      <c r="B266" s="22" t="s">
        <v>1775</v>
      </c>
      <c r="C266" s="190"/>
      <c r="D266" s="191"/>
      <c r="E266" s="191"/>
      <c r="F266" s="191"/>
      <c r="G266" s="200" t="str">
        <f t="shared" si="15"/>
        <v/>
      </c>
      <c r="H266" s="190" t="s">
        <v>310</v>
      </c>
      <c r="I266" s="191">
        <v>1</v>
      </c>
      <c r="J266" s="191">
        <v>1</v>
      </c>
      <c r="K266" s="191"/>
      <c r="L266" s="200" t="str">
        <f t="shared" si="16"/>
        <v/>
      </c>
      <c r="M266" s="190"/>
      <c r="N266" s="191"/>
      <c r="O266" s="191"/>
      <c r="P266" s="191"/>
      <c r="Q266" s="200" t="str">
        <f t="shared" si="17"/>
        <v/>
      </c>
      <c r="R266" s="190"/>
      <c r="S266" s="191"/>
      <c r="T266" s="200"/>
    </row>
    <row r="267" spans="1:20" s="8" customFormat="1" ht="13.5" customHeight="1" x14ac:dyDescent="0.25">
      <c r="A267" s="214" t="s">
        <v>299</v>
      </c>
      <c r="B267" s="212" t="s">
        <v>1776</v>
      </c>
      <c r="C267" s="190"/>
      <c r="D267" s="191"/>
      <c r="E267" s="191"/>
      <c r="F267" s="191"/>
      <c r="G267" s="200" t="str">
        <f t="shared" si="15"/>
        <v/>
      </c>
      <c r="H267" s="190" t="s">
        <v>310</v>
      </c>
      <c r="I267" s="191">
        <v>1</v>
      </c>
      <c r="J267" s="191">
        <v>1</v>
      </c>
      <c r="K267" s="191"/>
      <c r="L267" s="200" t="str">
        <f t="shared" si="16"/>
        <v/>
      </c>
      <c r="M267" s="190"/>
      <c r="N267" s="191"/>
      <c r="O267" s="191"/>
      <c r="P267" s="191"/>
      <c r="Q267" s="200" t="str">
        <f t="shared" si="17"/>
        <v/>
      </c>
      <c r="R267" s="190"/>
      <c r="S267" s="191"/>
      <c r="T267" s="200"/>
    </row>
    <row r="268" spans="1:20" s="8" customFormat="1" ht="13.5" customHeight="1" x14ac:dyDescent="0.25">
      <c r="A268" s="214" t="s">
        <v>299</v>
      </c>
      <c r="B268" s="7" t="s">
        <v>896</v>
      </c>
      <c r="C268" s="190"/>
      <c r="D268" s="60"/>
      <c r="E268" s="60"/>
      <c r="F268" s="60"/>
      <c r="G268" s="200" t="str">
        <f t="shared" si="15"/>
        <v/>
      </c>
      <c r="H268" s="192"/>
      <c r="I268" s="60"/>
      <c r="J268" s="60"/>
      <c r="K268" s="60"/>
      <c r="L268" s="200" t="str">
        <f t="shared" si="16"/>
        <v/>
      </c>
      <c r="M268" s="192"/>
      <c r="N268" s="60"/>
      <c r="O268" s="60"/>
      <c r="P268" s="60"/>
      <c r="Q268" s="200" t="str">
        <f t="shared" si="17"/>
        <v/>
      </c>
      <c r="R268" s="192"/>
      <c r="S268" s="60"/>
      <c r="T268" s="205"/>
    </row>
    <row r="269" spans="1:20" s="8" customFormat="1" ht="13.5" customHeight="1" x14ac:dyDescent="0.25">
      <c r="A269" s="214" t="s">
        <v>299</v>
      </c>
      <c r="B269" s="7" t="s">
        <v>897</v>
      </c>
      <c r="C269" s="190"/>
      <c r="D269" s="60"/>
      <c r="E269" s="60"/>
      <c r="F269" s="60"/>
      <c r="G269" s="200" t="str">
        <f t="shared" si="15"/>
        <v/>
      </c>
      <c r="H269" s="192"/>
      <c r="I269" s="60"/>
      <c r="J269" s="60"/>
      <c r="K269" s="60"/>
      <c r="L269" s="200" t="str">
        <f t="shared" si="16"/>
        <v/>
      </c>
      <c r="M269" s="192"/>
      <c r="N269" s="60"/>
      <c r="O269" s="60"/>
      <c r="P269" s="60"/>
      <c r="Q269" s="200" t="str">
        <f t="shared" si="17"/>
        <v/>
      </c>
      <c r="R269" s="192"/>
      <c r="S269" s="60"/>
      <c r="T269" s="205"/>
    </row>
    <row r="270" spans="1:20" s="8" customFormat="1" ht="13.5" customHeight="1" x14ac:dyDescent="0.25">
      <c r="A270" s="214" t="s">
        <v>299</v>
      </c>
      <c r="B270" s="7" t="s">
        <v>899</v>
      </c>
      <c r="C270" s="190"/>
      <c r="D270" s="60"/>
      <c r="E270" s="60"/>
      <c r="F270" s="60"/>
      <c r="G270" s="200" t="str">
        <f t="shared" si="15"/>
        <v/>
      </c>
      <c r="H270" s="192"/>
      <c r="I270" s="60"/>
      <c r="J270" s="60"/>
      <c r="K270" s="60"/>
      <c r="L270" s="200" t="str">
        <f t="shared" si="16"/>
        <v/>
      </c>
      <c r="M270" s="192"/>
      <c r="N270" s="60"/>
      <c r="O270" s="60"/>
      <c r="P270" s="60"/>
      <c r="Q270" s="200" t="str">
        <f t="shared" si="17"/>
        <v/>
      </c>
      <c r="R270" s="192"/>
      <c r="S270" s="60"/>
      <c r="T270" s="205"/>
    </row>
    <row r="271" spans="1:20" s="8" customFormat="1" ht="13.5" customHeight="1" x14ac:dyDescent="0.25">
      <c r="A271" s="214" t="s">
        <v>299</v>
      </c>
      <c r="B271" s="7" t="s">
        <v>901</v>
      </c>
      <c r="C271" s="190"/>
      <c r="D271" s="60"/>
      <c r="E271" s="60"/>
      <c r="F271" s="60"/>
      <c r="G271" s="200" t="str">
        <f t="shared" si="15"/>
        <v/>
      </c>
      <c r="H271" s="192"/>
      <c r="I271" s="60"/>
      <c r="J271" s="60"/>
      <c r="K271" s="60"/>
      <c r="L271" s="200" t="str">
        <f t="shared" si="16"/>
        <v/>
      </c>
      <c r="M271" s="192"/>
      <c r="N271" s="60"/>
      <c r="O271" s="60"/>
      <c r="P271" s="60"/>
      <c r="Q271" s="200" t="str">
        <f t="shared" si="17"/>
        <v/>
      </c>
      <c r="R271" s="192"/>
      <c r="S271" s="60"/>
      <c r="T271" s="205"/>
    </row>
    <row r="272" spans="1:20" s="8" customFormat="1" ht="13.5" customHeight="1" x14ac:dyDescent="0.25">
      <c r="A272" s="214" t="s">
        <v>299</v>
      </c>
      <c r="B272" s="7" t="s">
        <v>903</v>
      </c>
      <c r="C272" s="190"/>
      <c r="D272" s="60"/>
      <c r="E272" s="60"/>
      <c r="F272" s="60"/>
      <c r="G272" s="200" t="str">
        <f t="shared" si="15"/>
        <v/>
      </c>
      <c r="H272" s="192"/>
      <c r="I272" s="60"/>
      <c r="J272" s="60"/>
      <c r="K272" s="60"/>
      <c r="L272" s="200" t="str">
        <f t="shared" si="16"/>
        <v/>
      </c>
      <c r="M272" s="192"/>
      <c r="N272" s="60"/>
      <c r="O272" s="60"/>
      <c r="P272" s="60"/>
      <c r="Q272" s="200" t="str">
        <f t="shared" si="17"/>
        <v/>
      </c>
      <c r="R272" s="192"/>
      <c r="S272" s="60"/>
      <c r="T272" s="205"/>
    </row>
    <row r="273" spans="1:20" s="8" customFormat="1" ht="13.5" customHeight="1" x14ac:dyDescent="0.25">
      <c r="A273" s="214" t="s">
        <v>299</v>
      </c>
      <c r="B273" s="7" t="s">
        <v>905</v>
      </c>
      <c r="C273" s="190"/>
      <c r="D273" s="60"/>
      <c r="E273" s="60"/>
      <c r="F273" s="60"/>
      <c r="G273" s="200" t="str">
        <f t="shared" si="15"/>
        <v/>
      </c>
      <c r="H273" s="192"/>
      <c r="I273" s="60"/>
      <c r="J273" s="60"/>
      <c r="K273" s="60"/>
      <c r="L273" s="200" t="str">
        <f t="shared" si="16"/>
        <v/>
      </c>
      <c r="M273" s="192"/>
      <c r="N273" s="60"/>
      <c r="O273" s="60"/>
      <c r="P273" s="60"/>
      <c r="Q273" s="200" t="str">
        <f t="shared" si="17"/>
        <v/>
      </c>
      <c r="R273" s="192"/>
      <c r="S273" s="60"/>
      <c r="T273" s="205"/>
    </row>
    <row r="274" spans="1:20" s="8" customFormat="1" ht="13.5" customHeight="1" x14ac:dyDescent="0.25">
      <c r="A274" s="214" t="s">
        <v>299</v>
      </c>
      <c r="B274" s="7" t="s">
        <v>907</v>
      </c>
      <c r="C274" s="190"/>
      <c r="D274" s="60"/>
      <c r="E274" s="60"/>
      <c r="F274" s="60"/>
      <c r="G274" s="200" t="str">
        <f t="shared" si="15"/>
        <v/>
      </c>
      <c r="H274" s="192"/>
      <c r="I274" s="60"/>
      <c r="J274" s="60"/>
      <c r="K274" s="60"/>
      <c r="L274" s="200" t="str">
        <f t="shared" si="16"/>
        <v/>
      </c>
      <c r="M274" s="192"/>
      <c r="N274" s="60"/>
      <c r="O274" s="60"/>
      <c r="P274" s="60"/>
      <c r="Q274" s="200" t="str">
        <f t="shared" si="17"/>
        <v/>
      </c>
      <c r="R274" s="192"/>
      <c r="S274" s="60"/>
      <c r="T274" s="205"/>
    </row>
    <row r="275" spans="1:20" s="8" customFormat="1" ht="13.5" customHeight="1" x14ac:dyDescent="0.25">
      <c r="A275" s="214" t="s">
        <v>299</v>
      </c>
      <c r="B275" s="7" t="s">
        <v>909</v>
      </c>
      <c r="C275" s="190"/>
      <c r="D275" s="60"/>
      <c r="E275" s="60"/>
      <c r="F275" s="60"/>
      <c r="G275" s="200" t="str">
        <f t="shared" si="15"/>
        <v/>
      </c>
      <c r="H275" s="192"/>
      <c r="I275" s="60"/>
      <c r="J275" s="60"/>
      <c r="K275" s="60"/>
      <c r="L275" s="200" t="str">
        <f t="shared" si="16"/>
        <v/>
      </c>
      <c r="M275" s="192"/>
      <c r="N275" s="60"/>
      <c r="O275" s="60"/>
      <c r="P275" s="60"/>
      <c r="Q275" s="200" t="str">
        <f t="shared" si="17"/>
        <v/>
      </c>
      <c r="R275" s="192"/>
      <c r="S275" s="60"/>
      <c r="T275" s="205"/>
    </row>
    <row r="276" spans="1:20" s="8" customFormat="1" ht="13.5" customHeight="1" x14ac:dyDescent="0.25">
      <c r="A276" s="214" t="s">
        <v>299</v>
      </c>
      <c r="B276" s="7" t="s">
        <v>911</v>
      </c>
      <c r="C276" s="190"/>
      <c r="D276" s="60"/>
      <c r="E276" s="60"/>
      <c r="F276" s="60"/>
      <c r="G276" s="200" t="str">
        <f t="shared" si="15"/>
        <v/>
      </c>
      <c r="H276" s="192"/>
      <c r="I276" s="60"/>
      <c r="J276" s="60"/>
      <c r="K276" s="60"/>
      <c r="L276" s="200" t="str">
        <f t="shared" si="16"/>
        <v/>
      </c>
      <c r="M276" s="192"/>
      <c r="N276" s="60"/>
      <c r="O276" s="60"/>
      <c r="P276" s="60"/>
      <c r="Q276" s="200" t="str">
        <f t="shared" si="17"/>
        <v/>
      </c>
      <c r="R276" s="192"/>
      <c r="S276" s="60"/>
      <c r="T276" s="205"/>
    </row>
    <row r="277" spans="1:20" s="8" customFormat="1" ht="13.5" customHeight="1" x14ac:dyDescent="0.25">
      <c r="A277" s="214" t="s">
        <v>299</v>
      </c>
      <c r="B277" s="7" t="s">
        <v>913</v>
      </c>
      <c r="C277" s="190"/>
      <c r="D277" s="60"/>
      <c r="E277" s="60"/>
      <c r="F277" s="60"/>
      <c r="G277" s="200" t="str">
        <f t="shared" si="15"/>
        <v/>
      </c>
      <c r="H277" s="192"/>
      <c r="I277" s="60"/>
      <c r="J277" s="60"/>
      <c r="K277" s="60"/>
      <c r="L277" s="200" t="str">
        <f t="shared" si="16"/>
        <v/>
      </c>
      <c r="M277" s="192"/>
      <c r="N277" s="60"/>
      <c r="O277" s="60"/>
      <c r="P277" s="60"/>
      <c r="Q277" s="200" t="str">
        <f t="shared" si="17"/>
        <v/>
      </c>
      <c r="R277" s="192"/>
      <c r="S277" s="60"/>
      <c r="T277" s="205"/>
    </row>
    <row r="278" spans="1:20" s="8" customFormat="1" ht="13.5" customHeight="1" x14ac:dyDescent="0.25">
      <c r="A278" s="214" t="s">
        <v>299</v>
      </c>
      <c r="B278" s="7" t="s">
        <v>915</v>
      </c>
      <c r="C278" s="190"/>
      <c r="D278" s="60"/>
      <c r="E278" s="60"/>
      <c r="F278" s="60"/>
      <c r="G278" s="200" t="str">
        <f t="shared" si="15"/>
        <v/>
      </c>
      <c r="H278" s="192"/>
      <c r="I278" s="60"/>
      <c r="J278" s="60"/>
      <c r="K278" s="60"/>
      <c r="L278" s="200" t="str">
        <f t="shared" si="16"/>
        <v/>
      </c>
      <c r="M278" s="192"/>
      <c r="N278" s="60"/>
      <c r="O278" s="60"/>
      <c r="P278" s="60"/>
      <c r="Q278" s="200" t="str">
        <f t="shared" si="17"/>
        <v/>
      </c>
      <c r="R278" s="192"/>
      <c r="S278" s="60"/>
      <c r="T278" s="205"/>
    </row>
    <row r="279" spans="1:20" s="8" customFormat="1" ht="13.5" customHeight="1" x14ac:dyDescent="0.25">
      <c r="A279" s="214" t="s">
        <v>299</v>
      </c>
      <c r="B279" s="7" t="s">
        <v>917</v>
      </c>
      <c r="C279" s="190"/>
      <c r="D279" s="60"/>
      <c r="E279" s="60"/>
      <c r="F279" s="60"/>
      <c r="G279" s="200" t="str">
        <f t="shared" si="15"/>
        <v/>
      </c>
      <c r="H279" s="192"/>
      <c r="I279" s="60"/>
      <c r="J279" s="60"/>
      <c r="K279" s="60"/>
      <c r="L279" s="200" t="str">
        <f t="shared" si="16"/>
        <v/>
      </c>
      <c r="M279" s="192"/>
      <c r="N279" s="60"/>
      <c r="O279" s="60"/>
      <c r="P279" s="60"/>
      <c r="Q279" s="200" t="str">
        <f t="shared" si="17"/>
        <v/>
      </c>
      <c r="R279" s="192"/>
      <c r="S279" s="60"/>
      <c r="T279" s="205"/>
    </row>
    <row r="280" spans="1:20" s="8" customFormat="1" ht="13.5" customHeight="1" x14ac:dyDescent="0.25">
      <c r="A280" s="214" t="s">
        <v>299</v>
      </c>
      <c r="B280" s="7" t="s">
        <v>919</v>
      </c>
      <c r="C280" s="190"/>
      <c r="D280" s="60"/>
      <c r="E280" s="60"/>
      <c r="F280" s="60"/>
      <c r="G280" s="200" t="str">
        <f t="shared" si="15"/>
        <v/>
      </c>
      <c r="H280" s="192"/>
      <c r="I280" s="60"/>
      <c r="J280" s="60"/>
      <c r="K280" s="60"/>
      <c r="L280" s="200" t="str">
        <f t="shared" si="16"/>
        <v/>
      </c>
      <c r="M280" s="192"/>
      <c r="N280" s="60"/>
      <c r="O280" s="60"/>
      <c r="P280" s="60"/>
      <c r="Q280" s="200" t="str">
        <f t="shared" si="17"/>
        <v/>
      </c>
      <c r="R280" s="192"/>
      <c r="S280" s="60"/>
      <c r="T280" s="205"/>
    </row>
    <row r="281" spans="1:20" s="8" customFormat="1" ht="13.5" customHeight="1" x14ac:dyDescent="0.25">
      <c r="A281" s="214" t="s">
        <v>299</v>
      </c>
      <c r="B281" s="7" t="s">
        <v>921</v>
      </c>
      <c r="C281" s="190"/>
      <c r="D281" s="60"/>
      <c r="E281" s="60"/>
      <c r="F281" s="60"/>
      <c r="G281" s="200" t="str">
        <f t="shared" si="15"/>
        <v/>
      </c>
      <c r="H281" s="192"/>
      <c r="I281" s="60"/>
      <c r="J281" s="60"/>
      <c r="K281" s="60"/>
      <c r="L281" s="200" t="str">
        <f t="shared" si="16"/>
        <v/>
      </c>
      <c r="M281" s="192"/>
      <c r="N281" s="60"/>
      <c r="O281" s="60"/>
      <c r="P281" s="60"/>
      <c r="Q281" s="200" t="str">
        <f t="shared" si="17"/>
        <v/>
      </c>
      <c r="R281" s="192"/>
      <c r="S281" s="60"/>
      <c r="T281" s="205"/>
    </row>
    <row r="282" spans="1:20" s="8" customFormat="1" ht="13.5" customHeight="1" x14ac:dyDescent="0.25">
      <c r="A282" s="214" t="s">
        <v>299</v>
      </c>
      <c r="B282" s="7" t="s">
        <v>230</v>
      </c>
      <c r="C282" s="190"/>
      <c r="D282" s="191"/>
      <c r="E282" s="191"/>
      <c r="F282" s="191"/>
      <c r="G282" s="200" t="str">
        <f t="shared" si="15"/>
        <v/>
      </c>
      <c r="H282" s="190"/>
      <c r="I282" s="191"/>
      <c r="J282" s="191"/>
      <c r="K282" s="191"/>
      <c r="L282" s="200" t="str">
        <f t="shared" si="16"/>
        <v/>
      </c>
      <c r="M282" s="190"/>
      <c r="N282" s="191"/>
      <c r="O282" s="191"/>
      <c r="P282" s="191"/>
      <c r="Q282" s="200" t="str">
        <f t="shared" si="17"/>
        <v/>
      </c>
      <c r="R282" s="190"/>
      <c r="S282" s="191"/>
      <c r="T282" s="200"/>
    </row>
    <row r="283" spans="1:20" s="8" customFormat="1" ht="13.5" customHeight="1" x14ac:dyDescent="0.25">
      <c r="A283" s="214" t="s">
        <v>299</v>
      </c>
      <c r="B283" s="7" t="s">
        <v>923</v>
      </c>
      <c r="C283" s="190"/>
      <c r="D283" s="60"/>
      <c r="E283" s="60"/>
      <c r="F283" s="60"/>
      <c r="G283" s="200" t="str">
        <f t="shared" si="15"/>
        <v/>
      </c>
      <c r="H283" s="192"/>
      <c r="I283" s="60"/>
      <c r="J283" s="60"/>
      <c r="K283" s="60"/>
      <c r="L283" s="200" t="str">
        <f t="shared" si="16"/>
        <v/>
      </c>
      <c r="M283" s="192"/>
      <c r="N283" s="60"/>
      <c r="O283" s="60"/>
      <c r="P283" s="60"/>
      <c r="Q283" s="200" t="str">
        <f t="shared" si="17"/>
        <v/>
      </c>
      <c r="R283" s="192"/>
      <c r="S283" s="60"/>
      <c r="T283" s="205"/>
    </row>
    <row r="284" spans="1:20" s="8" customFormat="1" ht="13.5" customHeight="1" x14ac:dyDescent="0.25">
      <c r="A284" s="214" t="s">
        <v>299</v>
      </c>
      <c r="B284" s="7" t="s">
        <v>925</v>
      </c>
      <c r="C284" s="190"/>
      <c r="D284" s="60"/>
      <c r="E284" s="60"/>
      <c r="F284" s="60"/>
      <c r="G284" s="200" t="str">
        <f t="shared" si="15"/>
        <v/>
      </c>
      <c r="H284" s="192"/>
      <c r="I284" s="60"/>
      <c r="J284" s="60"/>
      <c r="K284" s="60"/>
      <c r="L284" s="200" t="str">
        <f t="shared" si="16"/>
        <v/>
      </c>
      <c r="M284" s="192"/>
      <c r="N284" s="60"/>
      <c r="O284" s="60"/>
      <c r="P284" s="60"/>
      <c r="Q284" s="200" t="str">
        <f t="shared" si="17"/>
        <v/>
      </c>
      <c r="R284" s="192"/>
      <c r="S284" s="60"/>
      <c r="T284" s="205"/>
    </row>
    <row r="285" spans="1:20" s="8" customFormat="1" ht="13.5" customHeight="1" x14ac:dyDescent="0.25">
      <c r="A285" s="214" t="s">
        <v>299</v>
      </c>
      <c r="B285" s="7" t="s">
        <v>927</v>
      </c>
      <c r="C285" s="190"/>
      <c r="D285" s="60"/>
      <c r="E285" s="60"/>
      <c r="F285" s="60"/>
      <c r="G285" s="200" t="str">
        <f t="shared" si="15"/>
        <v/>
      </c>
      <c r="H285" s="192"/>
      <c r="I285" s="60"/>
      <c r="J285" s="60"/>
      <c r="K285" s="60"/>
      <c r="L285" s="200" t="str">
        <f t="shared" si="16"/>
        <v/>
      </c>
      <c r="M285" s="192"/>
      <c r="N285" s="60"/>
      <c r="O285" s="60"/>
      <c r="P285" s="60"/>
      <c r="Q285" s="200" t="str">
        <f t="shared" si="17"/>
        <v/>
      </c>
      <c r="R285" s="192"/>
      <c r="S285" s="60"/>
      <c r="T285" s="205"/>
    </row>
    <row r="286" spans="1:20" s="8" customFormat="1" ht="13.5" customHeight="1" x14ac:dyDescent="0.25">
      <c r="A286" s="214" t="s">
        <v>299</v>
      </c>
      <c r="B286" s="7" t="s">
        <v>929</v>
      </c>
      <c r="C286" s="190"/>
      <c r="D286" s="60"/>
      <c r="E286" s="60"/>
      <c r="F286" s="60"/>
      <c r="G286" s="200" t="str">
        <f t="shared" si="15"/>
        <v/>
      </c>
      <c r="H286" s="192"/>
      <c r="I286" s="60"/>
      <c r="J286" s="60"/>
      <c r="K286" s="60"/>
      <c r="L286" s="200" t="str">
        <f t="shared" si="16"/>
        <v/>
      </c>
      <c r="M286" s="192"/>
      <c r="N286" s="60"/>
      <c r="O286" s="60"/>
      <c r="P286" s="60"/>
      <c r="Q286" s="200" t="str">
        <f t="shared" si="17"/>
        <v/>
      </c>
      <c r="R286" s="192"/>
      <c r="S286" s="60"/>
      <c r="T286" s="205"/>
    </row>
    <row r="287" spans="1:20" s="8" customFormat="1" ht="13.5" customHeight="1" x14ac:dyDescent="0.25">
      <c r="A287" s="214" t="s">
        <v>299</v>
      </c>
      <c r="B287" s="7" t="s">
        <v>931</v>
      </c>
      <c r="C287" s="190"/>
      <c r="D287" s="60"/>
      <c r="E287" s="60"/>
      <c r="F287" s="60"/>
      <c r="G287" s="200" t="str">
        <f t="shared" si="15"/>
        <v/>
      </c>
      <c r="H287" s="192"/>
      <c r="I287" s="60"/>
      <c r="J287" s="60"/>
      <c r="K287" s="60"/>
      <c r="L287" s="200" t="str">
        <f t="shared" si="16"/>
        <v/>
      </c>
      <c r="M287" s="192"/>
      <c r="N287" s="60"/>
      <c r="O287" s="60"/>
      <c r="P287" s="60"/>
      <c r="Q287" s="200" t="str">
        <f t="shared" si="17"/>
        <v/>
      </c>
      <c r="R287" s="192"/>
      <c r="S287" s="60"/>
      <c r="T287" s="205"/>
    </row>
    <row r="288" spans="1:20" s="8" customFormat="1" ht="13.5" customHeight="1" x14ac:dyDescent="0.25">
      <c r="A288" s="214" t="s">
        <v>299</v>
      </c>
      <c r="B288" s="7" t="s">
        <v>933</v>
      </c>
      <c r="C288" s="190"/>
      <c r="D288" s="60"/>
      <c r="E288" s="60"/>
      <c r="F288" s="60"/>
      <c r="G288" s="200" t="str">
        <f t="shared" si="15"/>
        <v/>
      </c>
      <c r="H288" s="192"/>
      <c r="I288" s="60"/>
      <c r="J288" s="60"/>
      <c r="K288" s="60"/>
      <c r="L288" s="200" t="str">
        <f t="shared" si="16"/>
        <v/>
      </c>
      <c r="M288" s="192"/>
      <c r="N288" s="60"/>
      <c r="O288" s="60"/>
      <c r="P288" s="60"/>
      <c r="Q288" s="200" t="str">
        <f t="shared" si="17"/>
        <v/>
      </c>
      <c r="R288" s="192"/>
      <c r="S288" s="60"/>
      <c r="T288" s="205"/>
    </row>
    <row r="289" spans="1:20" s="8" customFormat="1" ht="13.5" customHeight="1" x14ac:dyDescent="0.25">
      <c r="A289" s="214" t="s">
        <v>299</v>
      </c>
      <c r="B289" s="7" t="s">
        <v>935</v>
      </c>
      <c r="C289" s="190"/>
      <c r="D289" s="60"/>
      <c r="E289" s="60"/>
      <c r="F289" s="60"/>
      <c r="G289" s="200" t="str">
        <f t="shared" si="15"/>
        <v/>
      </c>
      <c r="H289" s="192"/>
      <c r="I289" s="60"/>
      <c r="J289" s="60"/>
      <c r="K289" s="60"/>
      <c r="L289" s="200" t="str">
        <f t="shared" si="16"/>
        <v/>
      </c>
      <c r="M289" s="192"/>
      <c r="N289" s="60"/>
      <c r="O289" s="60"/>
      <c r="P289" s="60"/>
      <c r="Q289" s="200" t="str">
        <f t="shared" si="17"/>
        <v/>
      </c>
      <c r="R289" s="192"/>
      <c r="S289" s="60"/>
      <c r="T289" s="205"/>
    </row>
    <row r="290" spans="1:20" s="8" customFormat="1" ht="13.5" customHeight="1" x14ac:dyDescent="0.25">
      <c r="A290" s="214" t="s">
        <v>299</v>
      </c>
      <c r="B290" s="7" t="s">
        <v>938</v>
      </c>
      <c r="C290" s="190"/>
      <c r="D290" s="60"/>
      <c r="E290" s="60"/>
      <c r="F290" s="60"/>
      <c r="G290" s="200" t="str">
        <f t="shared" si="15"/>
        <v/>
      </c>
      <c r="H290" s="192"/>
      <c r="I290" s="60"/>
      <c r="J290" s="60"/>
      <c r="K290" s="60"/>
      <c r="L290" s="200" t="str">
        <f t="shared" si="16"/>
        <v/>
      </c>
      <c r="M290" s="192"/>
      <c r="N290" s="60"/>
      <c r="O290" s="60"/>
      <c r="P290" s="60"/>
      <c r="Q290" s="200" t="str">
        <f t="shared" si="17"/>
        <v/>
      </c>
      <c r="R290" s="192"/>
      <c r="S290" s="60"/>
      <c r="T290" s="205"/>
    </row>
    <row r="291" spans="1:20" s="8" customFormat="1" ht="13.5" customHeight="1" x14ac:dyDescent="0.25">
      <c r="A291" s="214" t="s">
        <v>299</v>
      </c>
      <c r="B291" s="7" t="s">
        <v>941</v>
      </c>
      <c r="C291" s="190"/>
      <c r="D291" s="60"/>
      <c r="E291" s="60"/>
      <c r="F291" s="60"/>
      <c r="G291" s="200" t="str">
        <f t="shared" si="15"/>
        <v/>
      </c>
      <c r="H291" s="192"/>
      <c r="I291" s="60"/>
      <c r="J291" s="60"/>
      <c r="K291" s="60"/>
      <c r="L291" s="200" t="str">
        <f t="shared" si="16"/>
        <v/>
      </c>
      <c r="M291" s="192"/>
      <c r="N291" s="60"/>
      <c r="O291" s="60"/>
      <c r="P291" s="60"/>
      <c r="Q291" s="200" t="str">
        <f t="shared" si="17"/>
        <v/>
      </c>
      <c r="R291" s="192"/>
      <c r="S291" s="60"/>
      <c r="T291" s="205"/>
    </row>
    <row r="292" spans="1:20" s="8" customFormat="1" ht="13.5" customHeight="1" x14ac:dyDescent="0.25">
      <c r="A292" s="214" t="s">
        <v>299</v>
      </c>
      <c r="B292" s="7" t="s">
        <v>944</v>
      </c>
      <c r="C292" s="190"/>
      <c r="D292" s="60"/>
      <c r="E292" s="60"/>
      <c r="F292" s="60"/>
      <c r="G292" s="200" t="str">
        <f t="shared" si="15"/>
        <v/>
      </c>
      <c r="H292" s="192"/>
      <c r="I292" s="60"/>
      <c r="J292" s="60"/>
      <c r="K292" s="60"/>
      <c r="L292" s="200" t="str">
        <f t="shared" si="16"/>
        <v/>
      </c>
      <c r="M292" s="192"/>
      <c r="N292" s="60"/>
      <c r="O292" s="60"/>
      <c r="P292" s="60"/>
      <c r="Q292" s="200" t="str">
        <f t="shared" si="17"/>
        <v/>
      </c>
      <c r="R292" s="192"/>
      <c r="S292" s="60"/>
      <c r="T292" s="205"/>
    </row>
    <row r="293" spans="1:20" s="8" customFormat="1" ht="13.5" customHeight="1" x14ac:dyDescent="0.25">
      <c r="A293" s="214" t="s">
        <v>299</v>
      </c>
      <c r="B293" s="7" t="s">
        <v>946</v>
      </c>
      <c r="C293" s="190"/>
      <c r="D293" s="60"/>
      <c r="E293" s="60"/>
      <c r="F293" s="60"/>
      <c r="G293" s="200" t="str">
        <f t="shared" si="15"/>
        <v/>
      </c>
      <c r="H293" s="192"/>
      <c r="I293" s="60"/>
      <c r="J293" s="60"/>
      <c r="K293" s="60"/>
      <c r="L293" s="200" t="str">
        <f t="shared" si="16"/>
        <v/>
      </c>
      <c r="M293" s="192"/>
      <c r="N293" s="60"/>
      <c r="O293" s="60"/>
      <c r="P293" s="60"/>
      <c r="Q293" s="200" t="str">
        <f t="shared" si="17"/>
        <v/>
      </c>
      <c r="R293" s="192"/>
      <c r="S293" s="60"/>
      <c r="T293" s="205"/>
    </row>
    <row r="294" spans="1:20" s="8" customFormat="1" ht="13.5" customHeight="1" x14ac:dyDescent="0.25">
      <c r="A294" s="214" t="s">
        <v>299</v>
      </c>
      <c r="B294" s="7" t="s">
        <v>948</v>
      </c>
      <c r="C294" s="190"/>
      <c r="D294" s="60"/>
      <c r="E294" s="60"/>
      <c r="F294" s="60"/>
      <c r="G294" s="200" t="str">
        <f t="shared" si="15"/>
        <v/>
      </c>
      <c r="H294" s="192"/>
      <c r="I294" s="60"/>
      <c r="J294" s="60"/>
      <c r="K294" s="60"/>
      <c r="L294" s="200" t="str">
        <f t="shared" si="16"/>
        <v/>
      </c>
      <c r="M294" s="192"/>
      <c r="N294" s="60"/>
      <c r="O294" s="60"/>
      <c r="P294" s="60"/>
      <c r="Q294" s="200" t="str">
        <f t="shared" si="17"/>
        <v/>
      </c>
      <c r="R294" s="192"/>
      <c r="S294" s="60"/>
      <c r="T294" s="205"/>
    </row>
    <row r="295" spans="1:20" s="8" customFormat="1" ht="13.5" customHeight="1" x14ac:dyDescent="0.25">
      <c r="A295" s="214" t="s">
        <v>299</v>
      </c>
      <c r="B295" s="7" t="s">
        <v>951</v>
      </c>
      <c r="C295" s="190"/>
      <c r="D295" s="60"/>
      <c r="E295" s="60"/>
      <c r="F295" s="60"/>
      <c r="G295" s="200" t="str">
        <f t="shared" si="15"/>
        <v/>
      </c>
      <c r="H295" s="192"/>
      <c r="I295" s="60"/>
      <c r="J295" s="60"/>
      <c r="K295" s="60"/>
      <c r="L295" s="200" t="str">
        <f t="shared" si="16"/>
        <v/>
      </c>
      <c r="M295" s="192"/>
      <c r="N295" s="60"/>
      <c r="O295" s="60"/>
      <c r="P295" s="60"/>
      <c r="Q295" s="200" t="str">
        <f t="shared" si="17"/>
        <v/>
      </c>
      <c r="R295" s="192"/>
      <c r="S295" s="60"/>
      <c r="T295" s="205"/>
    </row>
    <row r="296" spans="1:20" s="8" customFormat="1" ht="13.5" customHeight="1" x14ac:dyDescent="0.25">
      <c r="A296" s="214" t="s">
        <v>299</v>
      </c>
      <c r="B296" s="7" t="s">
        <v>954</v>
      </c>
      <c r="C296" s="190"/>
      <c r="D296" s="60"/>
      <c r="E296" s="60"/>
      <c r="F296" s="60"/>
      <c r="G296" s="200" t="str">
        <f t="shared" si="15"/>
        <v/>
      </c>
      <c r="H296" s="192"/>
      <c r="I296" s="60"/>
      <c r="J296" s="60"/>
      <c r="K296" s="60"/>
      <c r="L296" s="200" t="str">
        <f t="shared" si="16"/>
        <v/>
      </c>
      <c r="M296" s="192"/>
      <c r="N296" s="60"/>
      <c r="O296" s="60"/>
      <c r="P296" s="60"/>
      <c r="Q296" s="200" t="str">
        <f t="shared" si="17"/>
        <v/>
      </c>
      <c r="R296" s="192"/>
      <c r="S296" s="60"/>
      <c r="T296" s="205"/>
    </row>
    <row r="297" spans="1:20" s="8" customFormat="1" ht="13.5" customHeight="1" x14ac:dyDescent="0.25">
      <c r="A297" s="214" t="s">
        <v>299</v>
      </c>
      <c r="B297" s="7" t="s">
        <v>957</v>
      </c>
      <c r="C297" s="190"/>
      <c r="D297" s="60"/>
      <c r="E297" s="60"/>
      <c r="F297" s="60"/>
      <c r="G297" s="200" t="str">
        <f t="shared" si="15"/>
        <v/>
      </c>
      <c r="H297" s="192"/>
      <c r="I297" s="60"/>
      <c r="J297" s="60"/>
      <c r="K297" s="60"/>
      <c r="L297" s="200" t="str">
        <f t="shared" si="16"/>
        <v/>
      </c>
      <c r="M297" s="192"/>
      <c r="N297" s="60"/>
      <c r="O297" s="60"/>
      <c r="P297" s="60"/>
      <c r="Q297" s="200" t="str">
        <f t="shared" si="17"/>
        <v/>
      </c>
      <c r="R297" s="192"/>
      <c r="S297" s="60"/>
      <c r="T297" s="205"/>
    </row>
    <row r="298" spans="1:20" s="8" customFormat="1" ht="13.5" customHeight="1" x14ac:dyDescent="0.25">
      <c r="A298" s="214" t="s">
        <v>299</v>
      </c>
      <c r="B298" s="7" t="s">
        <v>960</v>
      </c>
      <c r="C298" s="190"/>
      <c r="D298" s="60"/>
      <c r="E298" s="60"/>
      <c r="F298" s="60"/>
      <c r="G298" s="200" t="str">
        <f t="shared" si="15"/>
        <v/>
      </c>
      <c r="H298" s="192"/>
      <c r="I298" s="60"/>
      <c r="J298" s="60"/>
      <c r="K298" s="60"/>
      <c r="L298" s="200" t="str">
        <f t="shared" si="16"/>
        <v/>
      </c>
      <c r="M298" s="192"/>
      <c r="N298" s="60"/>
      <c r="O298" s="60"/>
      <c r="P298" s="60"/>
      <c r="Q298" s="200" t="str">
        <f t="shared" si="17"/>
        <v/>
      </c>
      <c r="R298" s="192"/>
      <c r="S298" s="60"/>
      <c r="T298" s="205"/>
    </row>
    <row r="299" spans="1:20" s="8" customFormat="1" ht="13.5" customHeight="1" x14ac:dyDescent="0.25">
      <c r="A299" s="214" t="s">
        <v>299</v>
      </c>
      <c r="B299" s="7" t="s">
        <v>222</v>
      </c>
      <c r="C299" s="190"/>
      <c r="D299" s="191"/>
      <c r="E299" s="191"/>
      <c r="F299" s="191"/>
      <c r="G299" s="200" t="str">
        <f t="shared" si="15"/>
        <v/>
      </c>
      <c r="H299" s="190"/>
      <c r="I299" s="191"/>
      <c r="J299" s="191"/>
      <c r="K299" s="191"/>
      <c r="L299" s="200" t="str">
        <f t="shared" si="16"/>
        <v/>
      </c>
      <c r="M299" s="190"/>
      <c r="N299" s="191"/>
      <c r="O299" s="191"/>
      <c r="P299" s="191"/>
      <c r="Q299" s="200" t="str">
        <f t="shared" si="17"/>
        <v/>
      </c>
      <c r="R299" s="190"/>
      <c r="S299" s="191"/>
      <c r="T299" s="200"/>
    </row>
    <row r="300" spans="1:20" s="8" customFormat="1" ht="13.5" customHeight="1" x14ac:dyDescent="0.25">
      <c r="A300" s="214" t="s">
        <v>299</v>
      </c>
      <c r="B300" s="7" t="s">
        <v>963</v>
      </c>
      <c r="C300" s="190"/>
      <c r="D300" s="60"/>
      <c r="E300" s="60"/>
      <c r="F300" s="60"/>
      <c r="G300" s="200" t="str">
        <f t="shared" si="15"/>
        <v/>
      </c>
      <c r="H300" s="192"/>
      <c r="I300" s="60"/>
      <c r="J300" s="60"/>
      <c r="K300" s="60"/>
      <c r="L300" s="200" t="str">
        <f t="shared" si="16"/>
        <v/>
      </c>
      <c r="M300" s="192"/>
      <c r="N300" s="60"/>
      <c r="O300" s="60"/>
      <c r="P300" s="60"/>
      <c r="Q300" s="200" t="str">
        <f t="shared" si="17"/>
        <v/>
      </c>
      <c r="R300" s="192"/>
      <c r="S300" s="60"/>
      <c r="T300" s="205"/>
    </row>
    <row r="301" spans="1:20" s="8" customFormat="1" ht="13.5" customHeight="1" x14ac:dyDescent="0.25">
      <c r="A301" s="214" t="s">
        <v>299</v>
      </c>
      <c r="B301" s="7" t="s">
        <v>194</v>
      </c>
      <c r="C301" s="190" t="s">
        <v>310</v>
      </c>
      <c r="D301" s="191">
        <v>2</v>
      </c>
      <c r="E301" s="191">
        <v>1</v>
      </c>
      <c r="F301" s="191"/>
      <c r="G301" s="200" t="str">
        <f t="shared" si="15"/>
        <v/>
      </c>
      <c r="H301" s="190"/>
      <c r="I301" s="191"/>
      <c r="J301" s="191"/>
      <c r="K301" s="191"/>
      <c r="L301" s="200" t="str">
        <f t="shared" si="16"/>
        <v/>
      </c>
      <c r="M301" s="190"/>
      <c r="N301" s="191"/>
      <c r="O301" s="191"/>
      <c r="P301" s="191"/>
      <c r="Q301" s="200" t="str">
        <f t="shared" si="17"/>
        <v/>
      </c>
      <c r="R301" s="190"/>
      <c r="S301" s="191"/>
      <c r="T301" s="200"/>
    </row>
    <row r="302" spans="1:20" s="8" customFormat="1" ht="13.5" customHeight="1" x14ac:dyDescent="0.25">
      <c r="A302" s="214" t="s">
        <v>299</v>
      </c>
      <c r="B302" s="7" t="s">
        <v>966</v>
      </c>
      <c r="C302" s="190"/>
      <c r="D302" s="60"/>
      <c r="E302" s="60"/>
      <c r="F302" s="60"/>
      <c r="G302" s="200" t="str">
        <f t="shared" si="15"/>
        <v/>
      </c>
      <c r="H302" s="192"/>
      <c r="I302" s="60"/>
      <c r="J302" s="60"/>
      <c r="K302" s="60"/>
      <c r="L302" s="200" t="str">
        <f t="shared" si="16"/>
        <v/>
      </c>
      <c r="M302" s="192"/>
      <c r="N302" s="60"/>
      <c r="O302" s="60"/>
      <c r="P302" s="60"/>
      <c r="Q302" s="200" t="str">
        <f t="shared" si="17"/>
        <v/>
      </c>
      <c r="R302" s="192"/>
      <c r="S302" s="60"/>
      <c r="T302" s="205"/>
    </row>
    <row r="303" spans="1:20" s="8" customFormat="1" ht="13.5" customHeight="1" x14ac:dyDescent="0.25">
      <c r="A303" s="214" t="s">
        <v>299</v>
      </c>
      <c r="B303" s="7" t="s">
        <v>969</v>
      </c>
      <c r="C303" s="190"/>
      <c r="D303" s="60"/>
      <c r="E303" s="60"/>
      <c r="F303" s="60"/>
      <c r="G303" s="200" t="str">
        <f t="shared" si="15"/>
        <v/>
      </c>
      <c r="H303" s="192"/>
      <c r="I303" s="60"/>
      <c r="J303" s="60"/>
      <c r="K303" s="60"/>
      <c r="L303" s="200" t="str">
        <f t="shared" si="16"/>
        <v/>
      </c>
      <c r="M303" s="192"/>
      <c r="N303" s="60"/>
      <c r="O303" s="60"/>
      <c r="P303" s="60"/>
      <c r="Q303" s="200" t="str">
        <f t="shared" si="17"/>
        <v/>
      </c>
      <c r="R303" s="192"/>
      <c r="S303" s="60"/>
      <c r="T303" s="205"/>
    </row>
    <row r="304" spans="1:20" s="8" customFormat="1" ht="13.5" customHeight="1" x14ac:dyDescent="0.25">
      <c r="A304" s="214" t="s">
        <v>299</v>
      </c>
      <c r="B304" s="7" t="s">
        <v>971</v>
      </c>
      <c r="C304" s="190"/>
      <c r="D304" s="60"/>
      <c r="E304" s="60"/>
      <c r="F304" s="60"/>
      <c r="G304" s="200" t="str">
        <f t="shared" si="15"/>
        <v/>
      </c>
      <c r="H304" s="192"/>
      <c r="I304" s="60"/>
      <c r="J304" s="60"/>
      <c r="K304" s="60"/>
      <c r="L304" s="200" t="str">
        <f t="shared" si="16"/>
        <v/>
      </c>
      <c r="M304" s="192"/>
      <c r="N304" s="60"/>
      <c r="O304" s="60"/>
      <c r="P304" s="60"/>
      <c r="Q304" s="200" t="str">
        <f t="shared" si="17"/>
        <v/>
      </c>
      <c r="R304" s="192"/>
      <c r="S304" s="60"/>
      <c r="T304" s="205"/>
    </row>
    <row r="305" spans="1:20" s="8" customFormat="1" ht="13.5" customHeight="1" x14ac:dyDescent="0.25">
      <c r="A305" s="214" t="s">
        <v>299</v>
      </c>
      <c r="B305" s="7" t="s">
        <v>974</v>
      </c>
      <c r="C305" s="190"/>
      <c r="D305" s="60"/>
      <c r="E305" s="60"/>
      <c r="F305" s="60"/>
      <c r="G305" s="200" t="str">
        <f t="shared" si="15"/>
        <v/>
      </c>
      <c r="H305" s="192"/>
      <c r="I305" s="60"/>
      <c r="J305" s="60"/>
      <c r="K305" s="60"/>
      <c r="L305" s="200" t="str">
        <f t="shared" si="16"/>
        <v/>
      </c>
      <c r="M305" s="192"/>
      <c r="N305" s="60"/>
      <c r="O305" s="60"/>
      <c r="P305" s="60"/>
      <c r="Q305" s="200" t="str">
        <f t="shared" si="17"/>
        <v/>
      </c>
      <c r="R305" s="192"/>
      <c r="S305" s="60"/>
      <c r="T305" s="205"/>
    </row>
    <row r="306" spans="1:20" s="8" customFormat="1" ht="13.5" customHeight="1" x14ac:dyDescent="0.25">
      <c r="A306" s="214" t="s">
        <v>299</v>
      </c>
      <c r="B306" s="7" t="s">
        <v>977</v>
      </c>
      <c r="C306" s="190"/>
      <c r="D306" s="60"/>
      <c r="E306" s="60"/>
      <c r="F306" s="60"/>
      <c r="G306" s="200" t="str">
        <f t="shared" si="15"/>
        <v/>
      </c>
      <c r="H306" s="192"/>
      <c r="I306" s="60"/>
      <c r="J306" s="60"/>
      <c r="K306" s="60"/>
      <c r="L306" s="200" t="str">
        <f t="shared" si="16"/>
        <v/>
      </c>
      <c r="M306" s="192"/>
      <c r="N306" s="60"/>
      <c r="O306" s="60"/>
      <c r="P306" s="60"/>
      <c r="Q306" s="200" t="str">
        <f t="shared" si="17"/>
        <v/>
      </c>
      <c r="R306" s="192"/>
      <c r="S306" s="60"/>
      <c r="T306" s="205"/>
    </row>
    <row r="307" spans="1:20" s="8" customFormat="1" ht="13.5" customHeight="1" x14ac:dyDescent="0.25">
      <c r="A307" s="214" t="s">
        <v>299</v>
      </c>
      <c r="B307" s="7" t="s">
        <v>980</v>
      </c>
      <c r="C307" s="190"/>
      <c r="D307" s="60"/>
      <c r="E307" s="60"/>
      <c r="F307" s="60"/>
      <c r="G307" s="200" t="str">
        <f t="shared" si="15"/>
        <v/>
      </c>
      <c r="H307" s="192"/>
      <c r="I307" s="60"/>
      <c r="J307" s="60"/>
      <c r="K307" s="60"/>
      <c r="L307" s="200" t="str">
        <f t="shared" si="16"/>
        <v/>
      </c>
      <c r="M307" s="192"/>
      <c r="N307" s="60"/>
      <c r="O307" s="60"/>
      <c r="P307" s="60"/>
      <c r="Q307" s="200" t="str">
        <f t="shared" si="17"/>
        <v/>
      </c>
      <c r="R307" s="192"/>
      <c r="S307" s="60"/>
      <c r="T307" s="205"/>
    </row>
    <row r="308" spans="1:20" s="8" customFormat="1" ht="13.5" customHeight="1" x14ac:dyDescent="0.25">
      <c r="A308" s="214" t="s">
        <v>299</v>
      </c>
      <c r="B308" s="7" t="s">
        <v>98</v>
      </c>
      <c r="C308" s="190"/>
      <c r="D308" s="191"/>
      <c r="E308" s="191"/>
      <c r="F308" s="191"/>
      <c r="G308" s="200" t="str">
        <f t="shared" si="15"/>
        <v/>
      </c>
      <c r="H308" s="190" t="s">
        <v>310</v>
      </c>
      <c r="I308" s="191">
        <v>2</v>
      </c>
      <c r="J308" s="191"/>
      <c r="K308" s="191"/>
      <c r="L308" s="200" t="str">
        <f t="shared" si="16"/>
        <v/>
      </c>
      <c r="M308" s="190"/>
      <c r="N308" s="191"/>
      <c r="O308" s="191"/>
      <c r="P308" s="191"/>
      <c r="Q308" s="200" t="str">
        <f t="shared" si="17"/>
        <v/>
      </c>
      <c r="R308" s="190"/>
      <c r="S308" s="191"/>
      <c r="T308" s="200"/>
    </row>
    <row r="309" spans="1:20" s="8" customFormat="1" ht="13.5" customHeight="1" x14ac:dyDescent="0.25">
      <c r="A309" s="214" t="s">
        <v>299</v>
      </c>
      <c r="B309" s="7" t="s">
        <v>983</v>
      </c>
      <c r="C309" s="190"/>
      <c r="D309" s="60"/>
      <c r="E309" s="60"/>
      <c r="F309" s="60"/>
      <c r="G309" s="200" t="str">
        <f t="shared" si="15"/>
        <v/>
      </c>
      <c r="H309" s="192"/>
      <c r="I309" s="60"/>
      <c r="J309" s="60"/>
      <c r="K309" s="60"/>
      <c r="L309" s="200" t="str">
        <f t="shared" si="16"/>
        <v/>
      </c>
      <c r="M309" s="192"/>
      <c r="N309" s="60"/>
      <c r="O309" s="60"/>
      <c r="P309" s="60"/>
      <c r="Q309" s="200" t="str">
        <f t="shared" si="17"/>
        <v/>
      </c>
      <c r="R309" s="192"/>
      <c r="S309" s="60"/>
      <c r="T309" s="205"/>
    </row>
    <row r="310" spans="1:20" s="8" customFormat="1" ht="13.5" customHeight="1" x14ac:dyDescent="0.25">
      <c r="A310" s="214" t="s">
        <v>299</v>
      </c>
      <c r="B310" s="7" t="s">
        <v>219</v>
      </c>
      <c r="C310" s="190"/>
      <c r="D310" s="191"/>
      <c r="E310" s="191"/>
      <c r="F310" s="191"/>
      <c r="G310" s="200" t="str">
        <f t="shared" si="15"/>
        <v/>
      </c>
      <c r="H310" s="190" t="s">
        <v>310</v>
      </c>
      <c r="I310" s="191">
        <v>2</v>
      </c>
      <c r="J310" s="191"/>
      <c r="K310" s="191"/>
      <c r="L310" s="200" t="str">
        <f t="shared" si="16"/>
        <v/>
      </c>
      <c r="M310" s="190"/>
      <c r="N310" s="191"/>
      <c r="O310" s="191"/>
      <c r="P310" s="191"/>
      <c r="Q310" s="200" t="str">
        <f t="shared" si="17"/>
        <v/>
      </c>
      <c r="R310" s="190"/>
      <c r="S310" s="191"/>
      <c r="T310" s="200"/>
    </row>
    <row r="311" spans="1:20" s="8" customFormat="1" ht="13.5" customHeight="1" x14ac:dyDescent="0.25">
      <c r="A311" s="214" t="s">
        <v>299</v>
      </c>
      <c r="B311" s="7" t="s">
        <v>986</v>
      </c>
      <c r="C311" s="190"/>
      <c r="D311" s="60"/>
      <c r="E311" s="60"/>
      <c r="F311" s="60"/>
      <c r="G311" s="200" t="str">
        <f t="shared" si="15"/>
        <v/>
      </c>
      <c r="H311" s="192"/>
      <c r="I311" s="60"/>
      <c r="J311" s="60"/>
      <c r="K311" s="60"/>
      <c r="L311" s="200" t="str">
        <f t="shared" si="16"/>
        <v/>
      </c>
      <c r="M311" s="192"/>
      <c r="N311" s="60"/>
      <c r="O311" s="60"/>
      <c r="P311" s="60"/>
      <c r="Q311" s="200" t="str">
        <f t="shared" si="17"/>
        <v/>
      </c>
      <c r="R311" s="192"/>
      <c r="S311" s="60"/>
      <c r="T311" s="205"/>
    </row>
    <row r="312" spans="1:20" s="8" customFormat="1" ht="13.5" customHeight="1" x14ac:dyDescent="0.25">
      <c r="A312" s="214" t="s">
        <v>299</v>
      </c>
      <c r="B312" s="7" t="s">
        <v>989</v>
      </c>
      <c r="C312" s="190"/>
      <c r="D312" s="60"/>
      <c r="E312" s="60"/>
      <c r="F312" s="60"/>
      <c r="G312" s="200" t="str">
        <f t="shared" si="15"/>
        <v/>
      </c>
      <c r="H312" s="192"/>
      <c r="I312" s="60"/>
      <c r="J312" s="60"/>
      <c r="K312" s="60"/>
      <c r="L312" s="200" t="str">
        <f t="shared" si="16"/>
        <v/>
      </c>
      <c r="M312" s="192"/>
      <c r="N312" s="60"/>
      <c r="O312" s="60"/>
      <c r="P312" s="60"/>
      <c r="Q312" s="200" t="str">
        <f t="shared" si="17"/>
        <v/>
      </c>
      <c r="R312" s="192"/>
      <c r="S312" s="60"/>
      <c r="T312" s="205"/>
    </row>
    <row r="313" spans="1:20" s="8" customFormat="1" ht="13.5" customHeight="1" x14ac:dyDescent="0.25">
      <c r="A313" s="214" t="s">
        <v>299</v>
      </c>
      <c r="B313" s="7" t="s">
        <v>45</v>
      </c>
      <c r="C313" s="190" t="s">
        <v>310</v>
      </c>
      <c r="D313" s="191">
        <v>2</v>
      </c>
      <c r="E313" s="191">
        <v>1</v>
      </c>
      <c r="F313" s="191"/>
      <c r="G313" s="200" t="str">
        <f t="shared" si="15"/>
        <v/>
      </c>
      <c r="H313" s="190" t="s">
        <v>310</v>
      </c>
      <c r="I313" s="191">
        <v>1</v>
      </c>
      <c r="J313" s="191"/>
      <c r="K313" s="191"/>
      <c r="L313" s="200" t="str">
        <f t="shared" si="16"/>
        <v/>
      </c>
      <c r="M313" s="190" t="s">
        <v>310</v>
      </c>
      <c r="N313" s="191">
        <v>2</v>
      </c>
      <c r="O313" s="191"/>
      <c r="P313" s="191"/>
      <c r="Q313" s="200" t="str">
        <f t="shared" si="17"/>
        <v/>
      </c>
      <c r="R313" s="190"/>
      <c r="S313" s="191"/>
      <c r="T313" s="200"/>
    </row>
    <row r="314" spans="1:20" s="8" customFormat="1" ht="13.5" customHeight="1" x14ac:dyDescent="0.25">
      <c r="A314" s="214" t="s">
        <v>299</v>
      </c>
      <c r="B314" s="7" t="s">
        <v>992</v>
      </c>
      <c r="C314" s="190"/>
      <c r="D314" s="60"/>
      <c r="E314" s="60"/>
      <c r="F314" s="60"/>
      <c r="G314" s="200" t="str">
        <f t="shared" si="15"/>
        <v/>
      </c>
      <c r="H314" s="192"/>
      <c r="I314" s="60"/>
      <c r="J314" s="60"/>
      <c r="K314" s="60"/>
      <c r="L314" s="200" t="str">
        <f t="shared" si="16"/>
        <v/>
      </c>
      <c r="M314" s="192"/>
      <c r="N314" s="60"/>
      <c r="O314" s="60"/>
      <c r="P314" s="60"/>
      <c r="Q314" s="200" t="str">
        <f t="shared" si="17"/>
        <v/>
      </c>
      <c r="R314" s="192"/>
      <c r="S314" s="60"/>
      <c r="T314" s="205"/>
    </row>
    <row r="315" spans="1:20" s="8" customFormat="1" ht="13.5" customHeight="1" x14ac:dyDescent="0.25">
      <c r="A315" s="214" t="s">
        <v>299</v>
      </c>
      <c r="B315" s="177" t="s">
        <v>995</v>
      </c>
      <c r="C315" s="190"/>
      <c r="D315" s="60"/>
      <c r="E315" s="60"/>
      <c r="F315" s="60"/>
      <c r="G315" s="200" t="str">
        <f t="shared" si="15"/>
        <v/>
      </c>
      <c r="H315" s="192"/>
      <c r="I315" s="60"/>
      <c r="J315" s="60"/>
      <c r="K315" s="60"/>
      <c r="L315" s="200" t="str">
        <f t="shared" si="16"/>
        <v/>
      </c>
      <c r="M315" s="192"/>
      <c r="N315" s="60"/>
      <c r="O315" s="60"/>
      <c r="P315" s="60"/>
      <c r="Q315" s="200" t="str">
        <f t="shared" si="17"/>
        <v/>
      </c>
      <c r="R315" s="192"/>
      <c r="S315" s="60"/>
      <c r="T315" s="205"/>
    </row>
    <row r="316" spans="1:20" s="8" customFormat="1" ht="13.5" customHeight="1" x14ac:dyDescent="0.25">
      <c r="A316" s="214" t="s">
        <v>299</v>
      </c>
      <c r="B316" s="172" t="s">
        <v>998</v>
      </c>
      <c r="C316" s="190"/>
      <c r="D316" s="60"/>
      <c r="E316" s="60"/>
      <c r="F316" s="60"/>
      <c r="G316" s="200" t="str">
        <f t="shared" si="15"/>
        <v/>
      </c>
      <c r="H316" s="192"/>
      <c r="I316" s="60"/>
      <c r="J316" s="60"/>
      <c r="K316" s="60"/>
      <c r="L316" s="200" t="str">
        <f t="shared" si="16"/>
        <v/>
      </c>
      <c r="M316" s="192"/>
      <c r="N316" s="60"/>
      <c r="O316" s="60"/>
      <c r="P316" s="60"/>
      <c r="Q316" s="200" t="str">
        <f t="shared" si="17"/>
        <v/>
      </c>
      <c r="R316" s="192"/>
      <c r="S316" s="60"/>
      <c r="T316" s="205"/>
    </row>
    <row r="317" spans="1:20" s="8" customFormat="1" ht="13.5" customHeight="1" x14ac:dyDescent="0.25">
      <c r="A317" s="214" t="s">
        <v>299</v>
      </c>
      <c r="B317" s="7" t="s">
        <v>1000</v>
      </c>
      <c r="C317" s="190"/>
      <c r="D317" s="60"/>
      <c r="E317" s="60"/>
      <c r="F317" s="60"/>
      <c r="G317" s="200" t="str">
        <f t="shared" si="15"/>
        <v/>
      </c>
      <c r="H317" s="192"/>
      <c r="I317" s="60"/>
      <c r="J317" s="60"/>
      <c r="K317" s="60"/>
      <c r="L317" s="200" t="str">
        <f t="shared" si="16"/>
        <v/>
      </c>
      <c r="M317" s="192"/>
      <c r="N317" s="60"/>
      <c r="O317" s="60"/>
      <c r="P317" s="60"/>
      <c r="Q317" s="200" t="str">
        <f t="shared" si="17"/>
        <v/>
      </c>
      <c r="R317" s="192"/>
      <c r="S317" s="60"/>
      <c r="T317" s="205"/>
    </row>
    <row r="318" spans="1:20" s="8" customFormat="1" ht="13.5" customHeight="1" x14ac:dyDescent="0.25">
      <c r="A318" s="214" t="s">
        <v>299</v>
      </c>
      <c r="B318" s="7" t="s">
        <v>1003</v>
      </c>
      <c r="C318" s="190"/>
      <c r="D318" s="60"/>
      <c r="E318" s="60"/>
      <c r="F318" s="60"/>
      <c r="G318" s="200" t="str">
        <f t="shared" si="15"/>
        <v/>
      </c>
      <c r="H318" s="192"/>
      <c r="I318" s="60"/>
      <c r="J318" s="60"/>
      <c r="K318" s="60"/>
      <c r="L318" s="200" t="str">
        <f t="shared" si="16"/>
        <v/>
      </c>
      <c r="M318" s="192"/>
      <c r="N318" s="60"/>
      <c r="O318" s="60"/>
      <c r="P318" s="60"/>
      <c r="Q318" s="200" t="str">
        <f t="shared" si="17"/>
        <v/>
      </c>
      <c r="R318" s="192"/>
      <c r="S318" s="60"/>
      <c r="T318" s="205"/>
    </row>
    <row r="319" spans="1:20" s="8" customFormat="1" ht="13.5" customHeight="1" x14ac:dyDescent="0.25">
      <c r="A319" s="214" t="s">
        <v>299</v>
      </c>
      <c r="B319" s="7" t="s">
        <v>1005</v>
      </c>
      <c r="C319" s="190"/>
      <c r="D319" s="60"/>
      <c r="E319" s="60"/>
      <c r="F319" s="60"/>
      <c r="G319" s="200" t="str">
        <f t="shared" si="15"/>
        <v/>
      </c>
      <c r="H319" s="192"/>
      <c r="I319" s="60"/>
      <c r="J319" s="60"/>
      <c r="K319" s="60"/>
      <c r="L319" s="200" t="str">
        <f t="shared" si="16"/>
        <v/>
      </c>
      <c r="M319" s="192"/>
      <c r="N319" s="60"/>
      <c r="O319" s="60"/>
      <c r="P319" s="60"/>
      <c r="Q319" s="200" t="str">
        <f t="shared" si="17"/>
        <v/>
      </c>
      <c r="R319" s="192"/>
      <c r="S319" s="60"/>
      <c r="T319" s="205"/>
    </row>
    <row r="320" spans="1:20" s="8" customFormat="1" ht="13.5" customHeight="1" x14ac:dyDescent="0.25">
      <c r="A320" s="214" t="s">
        <v>299</v>
      </c>
      <c r="B320" s="7" t="s">
        <v>1008</v>
      </c>
      <c r="C320" s="190"/>
      <c r="D320" s="60"/>
      <c r="E320" s="60"/>
      <c r="F320" s="60"/>
      <c r="G320" s="200" t="str">
        <f t="shared" si="15"/>
        <v/>
      </c>
      <c r="H320" s="192"/>
      <c r="I320" s="60"/>
      <c r="J320" s="60"/>
      <c r="K320" s="60"/>
      <c r="L320" s="200" t="str">
        <f t="shared" si="16"/>
        <v/>
      </c>
      <c r="M320" s="192"/>
      <c r="N320" s="60"/>
      <c r="O320" s="60"/>
      <c r="P320" s="60"/>
      <c r="Q320" s="200" t="str">
        <f t="shared" si="17"/>
        <v/>
      </c>
      <c r="R320" s="192"/>
      <c r="S320" s="60"/>
      <c r="T320" s="205"/>
    </row>
    <row r="321" spans="1:20" s="8" customFormat="1" ht="13.5" customHeight="1" x14ac:dyDescent="0.25">
      <c r="A321" s="214" t="s">
        <v>299</v>
      </c>
      <c r="B321" s="7" t="s">
        <v>1010</v>
      </c>
      <c r="C321" s="190"/>
      <c r="D321" s="60"/>
      <c r="E321" s="60"/>
      <c r="F321" s="60"/>
      <c r="G321" s="200" t="str">
        <f t="shared" si="15"/>
        <v/>
      </c>
      <c r="H321" s="192"/>
      <c r="I321" s="60"/>
      <c r="J321" s="60"/>
      <c r="K321" s="60"/>
      <c r="L321" s="200" t="str">
        <f t="shared" si="16"/>
        <v/>
      </c>
      <c r="M321" s="192"/>
      <c r="N321" s="60"/>
      <c r="O321" s="60"/>
      <c r="P321" s="60"/>
      <c r="Q321" s="200" t="str">
        <f t="shared" si="17"/>
        <v/>
      </c>
      <c r="R321" s="192"/>
      <c r="S321" s="60"/>
      <c r="T321" s="205"/>
    </row>
    <row r="322" spans="1:20" s="8" customFormat="1" ht="13.5" customHeight="1" x14ac:dyDescent="0.25">
      <c r="A322" s="214" t="s">
        <v>299</v>
      </c>
      <c r="B322" s="7" t="s">
        <v>1012</v>
      </c>
      <c r="C322" s="190"/>
      <c r="D322" s="60"/>
      <c r="E322" s="60"/>
      <c r="F322" s="60"/>
      <c r="G322" s="200" t="str">
        <f t="shared" ref="G322:G386" si="18">IF(F322=1,"New","")</f>
        <v/>
      </c>
      <c r="H322" s="192"/>
      <c r="I322" s="60"/>
      <c r="J322" s="60"/>
      <c r="K322" s="60"/>
      <c r="L322" s="200" t="str">
        <f t="shared" si="16"/>
        <v/>
      </c>
      <c r="M322" s="192"/>
      <c r="N322" s="60"/>
      <c r="O322" s="60"/>
      <c r="P322" s="60"/>
      <c r="Q322" s="200" t="str">
        <f t="shared" si="17"/>
        <v/>
      </c>
      <c r="R322" s="192"/>
      <c r="S322" s="60"/>
      <c r="T322" s="205"/>
    </row>
    <row r="323" spans="1:20" s="8" customFormat="1" ht="13.5" customHeight="1" x14ac:dyDescent="0.25">
      <c r="A323" s="214" t="s">
        <v>299</v>
      </c>
      <c r="B323" s="7" t="s">
        <v>1015</v>
      </c>
      <c r="C323" s="190"/>
      <c r="D323" s="60"/>
      <c r="E323" s="60"/>
      <c r="F323" s="60"/>
      <c r="G323" s="200" t="str">
        <f t="shared" si="18"/>
        <v/>
      </c>
      <c r="H323" s="192"/>
      <c r="I323" s="60"/>
      <c r="J323" s="60"/>
      <c r="K323" s="60"/>
      <c r="L323" s="200" t="str">
        <f t="shared" ref="L323:L387" si="19">IF(K323=1,"New","")</f>
        <v/>
      </c>
      <c r="M323" s="192"/>
      <c r="N323" s="60"/>
      <c r="O323" s="60"/>
      <c r="P323" s="60"/>
      <c r="Q323" s="200" t="str">
        <f t="shared" ref="Q323:Q387" si="20">IF(P323=1,"New","")</f>
        <v/>
      </c>
      <c r="R323" s="192"/>
      <c r="S323" s="60"/>
      <c r="T323" s="205"/>
    </row>
    <row r="324" spans="1:20" s="8" customFormat="1" ht="13.5" customHeight="1" x14ac:dyDescent="0.25">
      <c r="A324" s="214" t="s">
        <v>299</v>
      </c>
      <c r="B324" s="7" t="s">
        <v>1018</v>
      </c>
      <c r="C324" s="190"/>
      <c r="D324" s="60"/>
      <c r="E324" s="60"/>
      <c r="F324" s="60"/>
      <c r="G324" s="200" t="str">
        <f t="shared" si="18"/>
        <v/>
      </c>
      <c r="H324" s="192"/>
      <c r="I324" s="60"/>
      <c r="J324" s="60"/>
      <c r="K324" s="60"/>
      <c r="L324" s="200" t="str">
        <f t="shared" si="19"/>
        <v/>
      </c>
      <c r="M324" s="192"/>
      <c r="N324" s="60"/>
      <c r="O324" s="60"/>
      <c r="P324" s="60"/>
      <c r="Q324" s="200" t="str">
        <f t="shared" si="20"/>
        <v/>
      </c>
      <c r="R324" s="192"/>
      <c r="S324" s="60"/>
      <c r="T324" s="205"/>
    </row>
    <row r="325" spans="1:20" s="8" customFormat="1" ht="13.5" customHeight="1" x14ac:dyDescent="0.25">
      <c r="A325" s="214" t="s">
        <v>299</v>
      </c>
      <c r="B325" s="7" t="s">
        <v>1021</v>
      </c>
      <c r="C325" s="190"/>
      <c r="D325" s="60"/>
      <c r="E325" s="60"/>
      <c r="F325" s="60"/>
      <c r="G325" s="200" t="str">
        <f t="shared" si="18"/>
        <v/>
      </c>
      <c r="H325" s="192"/>
      <c r="I325" s="60"/>
      <c r="J325" s="60"/>
      <c r="K325" s="60"/>
      <c r="L325" s="200" t="str">
        <f t="shared" si="19"/>
        <v/>
      </c>
      <c r="M325" s="192"/>
      <c r="N325" s="60"/>
      <c r="O325" s="60"/>
      <c r="P325" s="60"/>
      <c r="Q325" s="200" t="str">
        <f t="shared" si="20"/>
        <v/>
      </c>
      <c r="R325" s="192"/>
      <c r="S325" s="60"/>
      <c r="T325" s="205"/>
    </row>
    <row r="326" spans="1:20" s="8" customFormat="1" ht="13.5" customHeight="1" x14ac:dyDescent="0.25">
      <c r="A326" s="214" t="s">
        <v>299</v>
      </c>
      <c r="B326" s="7" t="s">
        <v>1024</v>
      </c>
      <c r="C326" s="190"/>
      <c r="D326" s="60"/>
      <c r="E326" s="60"/>
      <c r="F326" s="60"/>
      <c r="G326" s="200" t="str">
        <f t="shared" si="18"/>
        <v/>
      </c>
      <c r="H326" s="192"/>
      <c r="I326" s="60"/>
      <c r="J326" s="60"/>
      <c r="K326" s="60"/>
      <c r="L326" s="200" t="str">
        <f t="shared" si="19"/>
        <v/>
      </c>
      <c r="M326" s="192"/>
      <c r="N326" s="60"/>
      <c r="O326" s="60"/>
      <c r="P326" s="60"/>
      <c r="Q326" s="200" t="str">
        <f t="shared" si="20"/>
        <v/>
      </c>
      <c r="R326" s="192"/>
      <c r="S326" s="60"/>
      <c r="T326" s="205"/>
    </row>
    <row r="327" spans="1:20" s="8" customFormat="1" ht="13.5" customHeight="1" x14ac:dyDescent="0.25">
      <c r="A327" s="214" t="s">
        <v>299</v>
      </c>
      <c r="B327" s="7" t="s">
        <v>1027</v>
      </c>
      <c r="C327" s="190"/>
      <c r="D327" s="60"/>
      <c r="E327" s="60"/>
      <c r="F327" s="60"/>
      <c r="G327" s="200" t="str">
        <f t="shared" si="18"/>
        <v/>
      </c>
      <c r="H327" s="192"/>
      <c r="I327" s="60"/>
      <c r="J327" s="60"/>
      <c r="K327" s="60"/>
      <c r="L327" s="200" t="str">
        <f t="shared" si="19"/>
        <v/>
      </c>
      <c r="M327" s="192"/>
      <c r="N327" s="60"/>
      <c r="O327" s="60"/>
      <c r="P327" s="60"/>
      <c r="Q327" s="200" t="str">
        <f t="shared" si="20"/>
        <v/>
      </c>
      <c r="R327" s="192"/>
      <c r="S327" s="60"/>
      <c r="T327" s="205"/>
    </row>
    <row r="328" spans="1:20" s="8" customFormat="1" ht="13.5" customHeight="1" x14ac:dyDescent="0.25">
      <c r="A328" s="214" t="s">
        <v>299</v>
      </c>
      <c r="B328" s="7" t="s">
        <v>1030</v>
      </c>
      <c r="C328" s="190"/>
      <c r="D328" s="60"/>
      <c r="E328" s="60"/>
      <c r="F328" s="60"/>
      <c r="G328" s="200" t="str">
        <f t="shared" si="18"/>
        <v/>
      </c>
      <c r="H328" s="192"/>
      <c r="I328" s="60"/>
      <c r="J328" s="60"/>
      <c r="K328" s="60"/>
      <c r="L328" s="200" t="str">
        <f t="shared" si="19"/>
        <v/>
      </c>
      <c r="M328" s="192"/>
      <c r="N328" s="60"/>
      <c r="O328" s="60"/>
      <c r="P328" s="60"/>
      <c r="Q328" s="200" t="str">
        <f t="shared" si="20"/>
        <v/>
      </c>
      <c r="R328" s="192"/>
      <c r="S328" s="60"/>
      <c r="T328" s="205"/>
    </row>
    <row r="329" spans="1:20" s="8" customFormat="1" ht="13.5" customHeight="1" x14ac:dyDescent="0.25">
      <c r="A329" s="214" t="s">
        <v>299</v>
      </c>
      <c r="B329" s="7" t="s">
        <v>1032</v>
      </c>
      <c r="C329" s="190"/>
      <c r="D329" s="60"/>
      <c r="E329" s="60"/>
      <c r="F329" s="60"/>
      <c r="G329" s="200" t="str">
        <f t="shared" si="18"/>
        <v/>
      </c>
      <c r="H329" s="192"/>
      <c r="I329" s="60"/>
      <c r="J329" s="60"/>
      <c r="K329" s="60"/>
      <c r="L329" s="200" t="str">
        <f t="shared" si="19"/>
        <v/>
      </c>
      <c r="M329" s="192"/>
      <c r="N329" s="60"/>
      <c r="O329" s="60"/>
      <c r="P329" s="60"/>
      <c r="Q329" s="200" t="str">
        <f t="shared" si="20"/>
        <v/>
      </c>
      <c r="R329" s="192"/>
      <c r="S329" s="60"/>
      <c r="T329" s="205"/>
    </row>
    <row r="330" spans="1:20" s="8" customFormat="1" ht="13.5" customHeight="1" x14ac:dyDescent="0.25">
      <c r="A330" s="214" t="s">
        <v>299</v>
      </c>
      <c r="B330" s="7" t="s">
        <v>1035</v>
      </c>
      <c r="C330" s="190"/>
      <c r="D330" s="60"/>
      <c r="E330" s="60"/>
      <c r="F330" s="60"/>
      <c r="G330" s="200" t="str">
        <f t="shared" si="18"/>
        <v/>
      </c>
      <c r="H330" s="192"/>
      <c r="I330" s="60"/>
      <c r="J330" s="60"/>
      <c r="K330" s="60"/>
      <c r="L330" s="200" t="str">
        <f t="shared" si="19"/>
        <v/>
      </c>
      <c r="M330" s="192"/>
      <c r="N330" s="60"/>
      <c r="O330" s="60"/>
      <c r="P330" s="60"/>
      <c r="Q330" s="200" t="str">
        <f t="shared" si="20"/>
        <v/>
      </c>
      <c r="R330" s="192"/>
      <c r="S330" s="60"/>
      <c r="T330" s="205"/>
    </row>
    <row r="331" spans="1:20" s="8" customFormat="1" ht="13.5" customHeight="1" x14ac:dyDescent="0.25">
      <c r="A331" s="214" t="s">
        <v>299</v>
      </c>
      <c r="B331" s="7" t="s">
        <v>1038</v>
      </c>
      <c r="C331" s="190"/>
      <c r="D331" s="60"/>
      <c r="E331" s="60"/>
      <c r="F331" s="60"/>
      <c r="G331" s="200" t="str">
        <f t="shared" si="18"/>
        <v/>
      </c>
      <c r="H331" s="192"/>
      <c r="I331" s="60"/>
      <c r="J331" s="60"/>
      <c r="K331" s="60"/>
      <c r="L331" s="200" t="str">
        <f t="shared" si="19"/>
        <v/>
      </c>
      <c r="M331" s="192"/>
      <c r="N331" s="60"/>
      <c r="O331" s="60"/>
      <c r="P331" s="60"/>
      <c r="Q331" s="200" t="str">
        <f t="shared" si="20"/>
        <v/>
      </c>
      <c r="R331" s="192"/>
      <c r="S331" s="60"/>
      <c r="T331" s="205"/>
    </row>
    <row r="332" spans="1:20" s="8" customFormat="1" ht="13.5" customHeight="1" x14ac:dyDescent="0.25">
      <c r="A332" s="214" t="s">
        <v>299</v>
      </c>
      <c r="B332" s="7" t="s">
        <v>1040</v>
      </c>
      <c r="C332" s="190"/>
      <c r="D332" s="60"/>
      <c r="E332" s="60"/>
      <c r="F332" s="60"/>
      <c r="G332" s="200" t="str">
        <f t="shared" si="18"/>
        <v/>
      </c>
      <c r="H332" s="192"/>
      <c r="I332" s="60"/>
      <c r="J332" s="60"/>
      <c r="K332" s="60"/>
      <c r="L332" s="200" t="str">
        <f t="shared" si="19"/>
        <v/>
      </c>
      <c r="M332" s="192"/>
      <c r="N332" s="60"/>
      <c r="O332" s="60"/>
      <c r="P332" s="60"/>
      <c r="Q332" s="200" t="str">
        <f t="shared" si="20"/>
        <v/>
      </c>
      <c r="R332" s="192"/>
      <c r="S332" s="60"/>
      <c r="T332" s="205"/>
    </row>
    <row r="333" spans="1:20" s="8" customFormat="1" ht="13.5" customHeight="1" x14ac:dyDescent="0.25">
      <c r="A333" s="214" t="s">
        <v>299</v>
      </c>
      <c r="B333" s="7" t="s">
        <v>1042</v>
      </c>
      <c r="C333" s="190"/>
      <c r="D333" s="60"/>
      <c r="E333" s="60"/>
      <c r="F333" s="60"/>
      <c r="G333" s="200" t="str">
        <f t="shared" si="18"/>
        <v/>
      </c>
      <c r="H333" s="192"/>
      <c r="I333" s="60"/>
      <c r="J333" s="60"/>
      <c r="K333" s="60"/>
      <c r="L333" s="200" t="str">
        <f t="shared" si="19"/>
        <v/>
      </c>
      <c r="M333" s="192"/>
      <c r="N333" s="60"/>
      <c r="O333" s="60"/>
      <c r="P333" s="60"/>
      <c r="Q333" s="200" t="str">
        <f t="shared" si="20"/>
        <v/>
      </c>
      <c r="R333" s="192"/>
      <c r="S333" s="60"/>
      <c r="T333" s="205"/>
    </row>
    <row r="334" spans="1:20" s="8" customFormat="1" ht="13.5" customHeight="1" x14ac:dyDescent="0.25">
      <c r="A334" s="214" t="s">
        <v>299</v>
      </c>
      <c r="B334" s="7" t="s">
        <v>1044</v>
      </c>
      <c r="C334" s="190"/>
      <c r="D334" s="60"/>
      <c r="E334" s="60"/>
      <c r="F334" s="60"/>
      <c r="G334" s="200" t="str">
        <f t="shared" si="18"/>
        <v/>
      </c>
      <c r="H334" s="192"/>
      <c r="I334" s="60"/>
      <c r="J334" s="60"/>
      <c r="K334" s="60"/>
      <c r="L334" s="200" t="str">
        <f t="shared" si="19"/>
        <v/>
      </c>
      <c r="M334" s="192"/>
      <c r="N334" s="60"/>
      <c r="O334" s="60"/>
      <c r="P334" s="60"/>
      <c r="Q334" s="200" t="str">
        <f t="shared" si="20"/>
        <v/>
      </c>
      <c r="R334" s="192"/>
      <c r="S334" s="60"/>
      <c r="T334" s="205"/>
    </row>
    <row r="335" spans="1:20" s="8" customFormat="1" ht="13.5" customHeight="1" x14ac:dyDescent="0.25">
      <c r="A335" s="214" t="s">
        <v>299</v>
      </c>
      <c r="B335" s="7" t="s">
        <v>1046</v>
      </c>
      <c r="C335" s="190"/>
      <c r="D335" s="60"/>
      <c r="E335" s="60"/>
      <c r="F335" s="60"/>
      <c r="G335" s="200" t="str">
        <f t="shared" si="18"/>
        <v/>
      </c>
      <c r="H335" s="192"/>
      <c r="I335" s="60"/>
      <c r="J335" s="60"/>
      <c r="K335" s="60"/>
      <c r="L335" s="200" t="str">
        <f t="shared" si="19"/>
        <v/>
      </c>
      <c r="M335" s="192"/>
      <c r="N335" s="60"/>
      <c r="O335" s="60"/>
      <c r="P335" s="60"/>
      <c r="Q335" s="200" t="str">
        <f t="shared" si="20"/>
        <v/>
      </c>
      <c r="R335" s="192"/>
      <c r="S335" s="60"/>
      <c r="T335" s="205"/>
    </row>
    <row r="336" spans="1:20" s="8" customFormat="1" ht="13.5" customHeight="1" x14ac:dyDescent="0.25">
      <c r="A336" s="214" t="s">
        <v>299</v>
      </c>
      <c r="B336" s="7" t="s">
        <v>1049</v>
      </c>
      <c r="C336" s="190"/>
      <c r="D336" s="60"/>
      <c r="E336" s="60"/>
      <c r="F336" s="60"/>
      <c r="G336" s="200" t="str">
        <f t="shared" si="18"/>
        <v/>
      </c>
      <c r="H336" s="192"/>
      <c r="I336" s="60"/>
      <c r="J336" s="60"/>
      <c r="K336" s="60"/>
      <c r="L336" s="200" t="str">
        <f t="shared" si="19"/>
        <v/>
      </c>
      <c r="M336" s="192"/>
      <c r="N336" s="60"/>
      <c r="O336" s="60"/>
      <c r="P336" s="60"/>
      <c r="Q336" s="200" t="str">
        <f t="shared" si="20"/>
        <v/>
      </c>
      <c r="R336" s="192"/>
      <c r="S336" s="60"/>
      <c r="T336" s="205"/>
    </row>
    <row r="337" spans="1:20" s="8" customFormat="1" ht="13.5" customHeight="1" x14ac:dyDescent="0.25">
      <c r="A337" s="214" t="s">
        <v>299</v>
      </c>
      <c r="B337" s="7" t="s">
        <v>1051</v>
      </c>
      <c r="C337" s="190"/>
      <c r="D337" s="60"/>
      <c r="E337" s="60"/>
      <c r="F337" s="60"/>
      <c r="G337" s="200" t="str">
        <f t="shared" si="18"/>
        <v/>
      </c>
      <c r="H337" s="192"/>
      <c r="I337" s="60"/>
      <c r="J337" s="60"/>
      <c r="K337" s="60"/>
      <c r="L337" s="200" t="str">
        <f t="shared" si="19"/>
        <v/>
      </c>
      <c r="M337" s="192"/>
      <c r="N337" s="60"/>
      <c r="O337" s="60"/>
      <c r="P337" s="60"/>
      <c r="Q337" s="200" t="str">
        <f t="shared" si="20"/>
        <v/>
      </c>
      <c r="R337" s="192"/>
      <c r="S337" s="60"/>
      <c r="T337" s="205"/>
    </row>
    <row r="338" spans="1:20" s="8" customFormat="1" ht="13.5" customHeight="1" x14ac:dyDescent="0.25">
      <c r="A338" s="214" t="s">
        <v>299</v>
      </c>
      <c r="B338" s="7" t="s">
        <v>1054</v>
      </c>
      <c r="C338" s="190"/>
      <c r="D338" s="60"/>
      <c r="E338" s="60"/>
      <c r="F338" s="60"/>
      <c r="G338" s="200" t="str">
        <f t="shared" si="18"/>
        <v/>
      </c>
      <c r="H338" s="192"/>
      <c r="I338" s="60"/>
      <c r="J338" s="60"/>
      <c r="K338" s="60"/>
      <c r="L338" s="200" t="str">
        <f t="shared" si="19"/>
        <v/>
      </c>
      <c r="M338" s="192"/>
      <c r="N338" s="60"/>
      <c r="O338" s="60"/>
      <c r="P338" s="60"/>
      <c r="Q338" s="200" t="str">
        <f t="shared" si="20"/>
        <v/>
      </c>
      <c r="R338" s="192"/>
      <c r="S338" s="60"/>
      <c r="T338" s="205"/>
    </row>
    <row r="339" spans="1:20" s="8" customFormat="1" ht="13.5" customHeight="1" x14ac:dyDescent="0.25">
      <c r="A339" s="214" t="s">
        <v>299</v>
      </c>
      <c r="B339" s="7" t="s">
        <v>256</v>
      </c>
      <c r="C339" s="190"/>
      <c r="D339" s="191"/>
      <c r="E339" s="191"/>
      <c r="F339" s="191"/>
      <c r="G339" s="200" t="str">
        <f t="shared" si="18"/>
        <v/>
      </c>
      <c r="H339" s="190"/>
      <c r="I339" s="191"/>
      <c r="J339" s="191"/>
      <c r="K339" s="191"/>
      <c r="L339" s="200" t="str">
        <f t="shared" si="19"/>
        <v/>
      </c>
      <c r="M339" s="190"/>
      <c r="N339" s="191"/>
      <c r="O339" s="191"/>
      <c r="P339" s="191"/>
      <c r="Q339" s="200" t="str">
        <f t="shared" si="20"/>
        <v/>
      </c>
      <c r="R339" s="190"/>
      <c r="S339" s="191"/>
      <c r="T339" s="200"/>
    </row>
    <row r="340" spans="1:20" s="8" customFormat="1" ht="13.5" customHeight="1" x14ac:dyDescent="0.25">
      <c r="A340" s="214" t="s">
        <v>299</v>
      </c>
      <c r="B340" s="7" t="s">
        <v>1056</v>
      </c>
      <c r="C340" s="190"/>
      <c r="D340" s="60"/>
      <c r="E340" s="60"/>
      <c r="F340" s="60"/>
      <c r="G340" s="200" t="str">
        <f t="shared" si="18"/>
        <v/>
      </c>
      <c r="H340" s="192"/>
      <c r="I340" s="60"/>
      <c r="J340" s="60"/>
      <c r="K340" s="60"/>
      <c r="L340" s="200" t="str">
        <f t="shared" si="19"/>
        <v/>
      </c>
      <c r="M340" s="192"/>
      <c r="N340" s="60"/>
      <c r="O340" s="60"/>
      <c r="P340" s="60"/>
      <c r="Q340" s="200" t="str">
        <f t="shared" si="20"/>
        <v/>
      </c>
      <c r="R340" s="192"/>
      <c r="S340" s="60"/>
      <c r="T340" s="205"/>
    </row>
    <row r="341" spans="1:20" s="8" customFormat="1" ht="13.5" customHeight="1" x14ac:dyDescent="0.25">
      <c r="A341" s="214" t="s">
        <v>299</v>
      </c>
      <c r="B341" s="7" t="s">
        <v>1059</v>
      </c>
      <c r="C341" s="190"/>
      <c r="D341" s="60"/>
      <c r="E341" s="60"/>
      <c r="F341" s="60"/>
      <c r="G341" s="200" t="str">
        <f t="shared" si="18"/>
        <v/>
      </c>
      <c r="H341" s="192"/>
      <c r="I341" s="60"/>
      <c r="J341" s="60"/>
      <c r="K341" s="60"/>
      <c r="L341" s="200" t="str">
        <f t="shared" si="19"/>
        <v/>
      </c>
      <c r="M341" s="192"/>
      <c r="N341" s="60"/>
      <c r="O341" s="60"/>
      <c r="P341" s="60"/>
      <c r="Q341" s="200" t="str">
        <f t="shared" si="20"/>
        <v/>
      </c>
      <c r="R341" s="192"/>
      <c r="S341" s="60"/>
      <c r="T341" s="205"/>
    </row>
    <row r="342" spans="1:20" s="8" customFormat="1" ht="13.5" customHeight="1" x14ac:dyDescent="0.25">
      <c r="A342" s="214" t="s">
        <v>299</v>
      </c>
      <c r="B342" s="7" t="s">
        <v>1062</v>
      </c>
      <c r="C342" s="190"/>
      <c r="D342" s="60"/>
      <c r="E342" s="60"/>
      <c r="F342" s="60"/>
      <c r="G342" s="200" t="str">
        <f t="shared" si="18"/>
        <v/>
      </c>
      <c r="H342" s="192"/>
      <c r="I342" s="60"/>
      <c r="J342" s="60"/>
      <c r="K342" s="60"/>
      <c r="L342" s="200" t="str">
        <f t="shared" si="19"/>
        <v/>
      </c>
      <c r="M342" s="192"/>
      <c r="N342" s="60"/>
      <c r="O342" s="60"/>
      <c r="P342" s="60"/>
      <c r="Q342" s="200" t="str">
        <f t="shared" si="20"/>
        <v/>
      </c>
      <c r="R342" s="192"/>
      <c r="S342" s="60"/>
      <c r="T342" s="205"/>
    </row>
    <row r="343" spans="1:20" s="8" customFormat="1" ht="13.5" customHeight="1" x14ac:dyDescent="0.25">
      <c r="A343" s="214" t="s">
        <v>299</v>
      </c>
      <c r="B343" s="7" t="s">
        <v>1065</v>
      </c>
      <c r="C343" s="190"/>
      <c r="D343" s="60"/>
      <c r="E343" s="60"/>
      <c r="F343" s="60"/>
      <c r="G343" s="200" t="str">
        <f t="shared" si="18"/>
        <v/>
      </c>
      <c r="H343" s="192"/>
      <c r="I343" s="60"/>
      <c r="J343" s="60"/>
      <c r="K343" s="60"/>
      <c r="L343" s="200" t="str">
        <f t="shared" si="19"/>
        <v/>
      </c>
      <c r="M343" s="192"/>
      <c r="N343" s="60"/>
      <c r="O343" s="60"/>
      <c r="P343" s="60"/>
      <c r="Q343" s="200" t="str">
        <f t="shared" si="20"/>
        <v/>
      </c>
      <c r="R343" s="192"/>
      <c r="S343" s="60"/>
      <c r="T343" s="205"/>
    </row>
    <row r="344" spans="1:20" s="8" customFormat="1" ht="13.5" customHeight="1" x14ac:dyDescent="0.25">
      <c r="A344" s="214" t="s">
        <v>299</v>
      </c>
      <c r="B344" s="7" t="s">
        <v>1068</v>
      </c>
      <c r="C344" s="190"/>
      <c r="D344" s="60"/>
      <c r="E344" s="60"/>
      <c r="F344" s="60"/>
      <c r="G344" s="200" t="str">
        <f t="shared" si="18"/>
        <v/>
      </c>
      <c r="H344" s="192"/>
      <c r="I344" s="60"/>
      <c r="J344" s="60"/>
      <c r="K344" s="60"/>
      <c r="L344" s="200" t="str">
        <f t="shared" si="19"/>
        <v/>
      </c>
      <c r="M344" s="192"/>
      <c r="N344" s="60"/>
      <c r="O344" s="60"/>
      <c r="P344" s="60"/>
      <c r="Q344" s="200" t="str">
        <f t="shared" si="20"/>
        <v/>
      </c>
      <c r="R344" s="192"/>
      <c r="S344" s="60"/>
      <c r="T344" s="205"/>
    </row>
    <row r="345" spans="1:20" s="8" customFormat="1" ht="13.5" customHeight="1" x14ac:dyDescent="0.25">
      <c r="A345" s="214" t="s">
        <v>299</v>
      </c>
      <c r="B345" s="7" t="s">
        <v>1071</v>
      </c>
      <c r="C345" s="190"/>
      <c r="D345" s="60"/>
      <c r="E345" s="60"/>
      <c r="F345" s="60"/>
      <c r="G345" s="200" t="str">
        <f t="shared" si="18"/>
        <v/>
      </c>
      <c r="H345" s="192"/>
      <c r="I345" s="60"/>
      <c r="J345" s="60"/>
      <c r="K345" s="60"/>
      <c r="L345" s="200" t="str">
        <f t="shared" si="19"/>
        <v/>
      </c>
      <c r="M345" s="192"/>
      <c r="N345" s="60"/>
      <c r="O345" s="60"/>
      <c r="P345" s="60"/>
      <c r="Q345" s="200" t="str">
        <f t="shared" si="20"/>
        <v/>
      </c>
      <c r="R345" s="192"/>
      <c r="S345" s="60"/>
      <c r="T345" s="205"/>
    </row>
    <row r="346" spans="1:20" s="8" customFormat="1" ht="13.5" customHeight="1" x14ac:dyDescent="0.25">
      <c r="A346" s="214" t="s">
        <v>299</v>
      </c>
      <c r="B346" s="7" t="s">
        <v>291</v>
      </c>
      <c r="C346" s="190" t="s">
        <v>310</v>
      </c>
      <c r="D346" s="191">
        <v>1</v>
      </c>
      <c r="E346" s="191"/>
      <c r="F346" s="191"/>
      <c r="G346" s="200" t="str">
        <f t="shared" si="18"/>
        <v/>
      </c>
      <c r="H346" s="190"/>
      <c r="I346" s="191"/>
      <c r="J346" s="191"/>
      <c r="K346" s="191"/>
      <c r="L346" s="200" t="str">
        <f t="shared" si="19"/>
        <v/>
      </c>
      <c r="M346" s="190"/>
      <c r="N346" s="191"/>
      <c r="O346" s="191"/>
      <c r="P346" s="191"/>
      <c r="Q346" s="200" t="str">
        <f t="shared" si="20"/>
        <v/>
      </c>
      <c r="R346" s="190"/>
      <c r="S346" s="191"/>
      <c r="T346" s="200"/>
    </row>
    <row r="347" spans="1:20" s="8" customFormat="1" ht="13.5" customHeight="1" x14ac:dyDescent="0.25">
      <c r="A347" s="214" t="s">
        <v>299</v>
      </c>
      <c r="B347" s="7" t="s">
        <v>1073</v>
      </c>
      <c r="C347" s="190"/>
      <c r="D347" s="60"/>
      <c r="E347" s="60"/>
      <c r="F347" s="60"/>
      <c r="G347" s="200" t="str">
        <f t="shared" si="18"/>
        <v/>
      </c>
      <c r="H347" s="192"/>
      <c r="I347" s="60"/>
      <c r="J347" s="60"/>
      <c r="K347" s="60"/>
      <c r="L347" s="200" t="str">
        <f t="shared" si="19"/>
        <v/>
      </c>
      <c r="M347" s="192"/>
      <c r="N347" s="60"/>
      <c r="O347" s="60"/>
      <c r="P347" s="60"/>
      <c r="Q347" s="200" t="str">
        <f t="shared" si="20"/>
        <v/>
      </c>
      <c r="R347" s="192"/>
      <c r="S347" s="60"/>
      <c r="T347" s="205"/>
    </row>
    <row r="348" spans="1:20" s="8" customFormat="1" ht="13.5" customHeight="1" x14ac:dyDescent="0.25">
      <c r="A348" s="214" t="s">
        <v>299</v>
      </c>
      <c r="B348" s="7" t="s">
        <v>1075</v>
      </c>
      <c r="C348" s="190"/>
      <c r="D348" s="60"/>
      <c r="E348" s="60"/>
      <c r="F348" s="60"/>
      <c r="G348" s="200" t="str">
        <f t="shared" si="18"/>
        <v/>
      </c>
      <c r="H348" s="192"/>
      <c r="I348" s="60"/>
      <c r="J348" s="60"/>
      <c r="K348" s="60"/>
      <c r="L348" s="200" t="str">
        <f t="shared" si="19"/>
        <v/>
      </c>
      <c r="M348" s="192"/>
      <c r="N348" s="60"/>
      <c r="O348" s="60"/>
      <c r="P348" s="60"/>
      <c r="Q348" s="200" t="str">
        <f t="shared" si="20"/>
        <v/>
      </c>
      <c r="R348" s="192"/>
      <c r="S348" s="60"/>
      <c r="T348" s="205"/>
    </row>
    <row r="349" spans="1:20" s="8" customFormat="1" ht="13.5" customHeight="1" x14ac:dyDescent="0.25">
      <c r="A349" s="214" t="s">
        <v>299</v>
      </c>
      <c r="B349" s="7" t="s">
        <v>1077</v>
      </c>
      <c r="C349" s="190"/>
      <c r="D349" s="60"/>
      <c r="E349" s="60"/>
      <c r="F349" s="60"/>
      <c r="G349" s="200" t="str">
        <f t="shared" si="18"/>
        <v/>
      </c>
      <c r="H349" s="192"/>
      <c r="I349" s="60"/>
      <c r="J349" s="60"/>
      <c r="K349" s="60"/>
      <c r="L349" s="200" t="str">
        <f t="shared" si="19"/>
        <v/>
      </c>
      <c r="M349" s="192"/>
      <c r="N349" s="60"/>
      <c r="O349" s="60"/>
      <c r="P349" s="60"/>
      <c r="Q349" s="200" t="str">
        <f t="shared" si="20"/>
        <v/>
      </c>
      <c r="R349" s="192"/>
      <c r="S349" s="60"/>
      <c r="T349" s="205"/>
    </row>
    <row r="350" spans="1:20" s="8" customFormat="1" ht="13.5" customHeight="1" x14ac:dyDescent="0.25">
      <c r="A350" s="214" t="s">
        <v>299</v>
      </c>
      <c r="B350" s="7" t="s">
        <v>1079</v>
      </c>
      <c r="C350" s="190"/>
      <c r="D350" s="60"/>
      <c r="E350" s="60"/>
      <c r="F350" s="60"/>
      <c r="G350" s="200" t="str">
        <f t="shared" si="18"/>
        <v/>
      </c>
      <c r="H350" s="192"/>
      <c r="I350" s="60"/>
      <c r="J350" s="60"/>
      <c r="K350" s="60"/>
      <c r="L350" s="200" t="str">
        <f t="shared" si="19"/>
        <v/>
      </c>
      <c r="M350" s="192"/>
      <c r="N350" s="60"/>
      <c r="O350" s="60"/>
      <c r="P350" s="60"/>
      <c r="Q350" s="200" t="str">
        <f t="shared" si="20"/>
        <v/>
      </c>
      <c r="R350" s="192"/>
      <c r="S350" s="60"/>
      <c r="T350" s="205"/>
    </row>
    <row r="351" spans="1:20" s="8" customFormat="1" ht="13.5" customHeight="1" x14ac:dyDescent="0.25">
      <c r="A351" s="214" t="s">
        <v>299</v>
      </c>
      <c r="B351" s="7" t="s">
        <v>1081</v>
      </c>
      <c r="C351" s="190"/>
      <c r="D351" s="60"/>
      <c r="E351" s="60"/>
      <c r="F351" s="60"/>
      <c r="G351" s="200" t="str">
        <f t="shared" si="18"/>
        <v/>
      </c>
      <c r="H351" s="192"/>
      <c r="I351" s="60"/>
      <c r="J351" s="60"/>
      <c r="K351" s="60"/>
      <c r="L351" s="200" t="str">
        <f t="shared" si="19"/>
        <v/>
      </c>
      <c r="M351" s="192"/>
      <c r="N351" s="60"/>
      <c r="O351" s="60"/>
      <c r="P351" s="60"/>
      <c r="Q351" s="200" t="str">
        <f t="shared" si="20"/>
        <v/>
      </c>
      <c r="R351" s="192"/>
      <c r="S351" s="60"/>
      <c r="T351" s="205"/>
    </row>
    <row r="352" spans="1:20" s="8" customFormat="1" ht="13.5" customHeight="1" x14ac:dyDescent="0.25">
      <c r="A352" s="214" t="s">
        <v>299</v>
      </c>
      <c r="B352" s="7" t="s">
        <v>1083</v>
      </c>
      <c r="C352" s="190"/>
      <c r="D352" s="60"/>
      <c r="E352" s="60"/>
      <c r="F352" s="60"/>
      <c r="G352" s="200" t="str">
        <f t="shared" si="18"/>
        <v/>
      </c>
      <c r="H352" s="192"/>
      <c r="I352" s="60"/>
      <c r="J352" s="60"/>
      <c r="K352" s="60"/>
      <c r="L352" s="200" t="str">
        <f t="shared" si="19"/>
        <v/>
      </c>
      <c r="M352" s="192"/>
      <c r="N352" s="60"/>
      <c r="O352" s="60"/>
      <c r="P352" s="60"/>
      <c r="Q352" s="200" t="str">
        <f t="shared" si="20"/>
        <v/>
      </c>
      <c r="R352" s="192"/>
      <c r="S352" s="60"/>
      <c r="T352" s="205"/>
    </row>
    <row r="353" spans="1:20" s="8" customFormat="1" ht="13.5" customHeight="1" x14ac:dyDescent="0.25">
      <c r="A353" s="214" t="s">
        <v>299</v>
      </c>
      <c r="B353" s="7" t="s">
        <v>1085</v>
      </c>
      <c r="C353" s="190"/>
      <c r="D353" s="60"/>
      <c r="E353" s="60"/>
      <c r="F353" s="60"/>
      <c r="G353" s="200" t="str">
        <f t="shared" si="18"/>
        <v/>
      </c>
      <c r="H353" s="192"/>
      <c r="I353" s="60"/>
      <c r="J353" s="60"/>
      <c r="K353" s="60"/>
      <c r="L353" s="200" t="str">
        <f t="shared" si="19"/>
        <v/>
      </c>
      <c r="M353" s="192"/>
      <c r="N353" s="60"/>
      <c r="O353" s="60"/>
      <c r="P353" s="60"/>
      <c r="Q353" s="200" t="str">
        <f t="shared" si="20"/>
        <v/>
      </c>
      <c r="R353" s="192"/>
      <c r="S353" s="60"/>
      <c r="T353" s="205"/>
    </row>
    <row r="354" spans="1:20" s="8" customFormat="1" ht="13.5" customHeight="1" x14ac:dyDescent="0.25">
      <c r="A354" s="214" t="s">
        <v>299</v>
      </c>
      <c r="B354" s="7" t="s">
        <v>1087</v>
      </c>
      <c r="C354" s="190"/>
      <c r="D354" s="60"/>
      <c r="E354" s="60"/>
      <c r="F354" s="60"/>
      <c r="G354" s="200" t="str">
        <f t="shared" si="18"/>
        <v/>
      </c>
      <c r="H354" s="192"/>
      <c r="I354" s="60"/>
      <c r="J354" s="60"/>
      <c r="K354" s="60"/>
      <c r="L354" s="200" t="str">
        <f t="shared" si="19"/>
        <v/>
      </c>
      <c r="M354" s="192"/>
      <c r="N354" s="60"/>
      <c r="O354" s="60"/>
      <c r="P354" s="60"/>
      <c r="Q354" s="200" t="str">
        <f t="shared" si="20"/>
        <v/>
      </c>
      <c r="R354" s="192"/>
      <c r="S354" s="60"/>
      <c r="T354" s="205"/>
    </row>
    <row r="355" spans="1:20" s="8" customFormat="1" ht="13.5" customHeight="1" x14ac:dyDescent="0.25">
      <c r="A355" s="214" t="s">
        <v>299</v>
      </c>
      <c r="B355" s="7" t="s">
        <v>1089</v>
      </c>
      <c r="C355" s="190" t="s">
        <v>310</v>
      </c>
      <c r="D355" s="60">
        <v>2</v>
      </c>
      <c r="E355" s="60"/>
      <c r="F355" s="60"/>
      <c r="G355" s="200" t="str">
        <f t="shared" si="18"/>
        <v/>
      </c>
      <c r="H355" s="192"/>
      <c r="I355" s="60"/>
      <c r="J355" s="60"/>
      <c r="K355" s="60"/>
      <c r="L355" s="200" t="str">
        <f t="shared" si="19"/>
        <v/>
      </c>
      <c r="M355" s="192"/>
      <c r="N355" s="60"/>
      <c r="O355" s="60"/>
      <c r="P355" s="60"/>
      <c r="Q355" s="200" t="str">
        <f t="shared" si="20"/>
        <v/>
      </c>
      <c r="R355" s="192"/>
      <c r="S355" s="60"/>
      <c r="T355" s="205"/>
    </row>
    <row r="356" spans="1:20" s="8" customFormat="1" ht="13.5" customHeight="1" x14ac:dyDescent="0.25">
      <c r="A356" s="214" t="s">
        <v>299</v>
      </c>
      <c r="B356" s="7" t="s">
        <v>1091</v>
      </c>
      <c r="C356" s="190"/>
      <c r="D356" s="60"/>
      <c r="E356" s="60"/>
      <c r="F356" s="60"/>
      <c r="G356" s="200" t="str">
        <f t="shared" si="18"/>
        <v/>
      </c>
      <c r="H356" s="192"/>
      <c r="I356" s="60"/>
      <c r="J356" s="60"/>
      <c r="K356" s="60"/>
      <c r="L356" s="200" t="str">
        <f t="shared" si="19"/>
        <v/>
      </c>
      <c r="M356" s="192"/>
      <c r="N356" s="60"/>
      <c r="O356" s="60"/>
      <c r="P356" s="60"/>
      <c r="Q356" s="200" t="str">
        <f t="shared" si="20"/>
        <v/>
      </c>
      <c r="R356" s="192"/>
      <c r="S356" s="60"/>
      <c r="T356" s="205"/>
    </row>
    <row r="357" spans="1:20" s="8" customFormat="1" ht="13.5" customHeight="1" x14ac:dyDescent="0.25">
      <c r="A357" s="214" t="s">
        <v>299</v>
      </c>
      <c r="B357" s="7" t="s">
        <v>1093</v>
      </c>
      <c r="C357" s="190"/>
      <c r="D357" s="60"/>
      <c r="E357" s="60"/>
      <c r="F357" s="60"/>
      <c r="G357" s="200" t="str">
        <f t="shared" si="18"/>
        <v/>
      </c>
      <c r="H357" s="192"/>
      <c r="I357" s="60"/>
      <c r="J357" s="60"/>
      <c r="K357" s="60"/>
      <c r="L357" s="200" t="str">
        <f t="shared" si="19"/>
        <v/>
      </c>
      <c r="M357" s="192"/>
      <c r="N357" s="60"/>
      <c r="O357" s="60"/>
      <c r="P357" s="60"/>
      <c r="Q357" s="200" t="str">
        <f t="shared" si="20"/>
        <v/>
      </c>
      <c r="R357" s="192"/>
      <c r="S357" s="60"/>
      <c r="T357" s="205"/>
    </row>
    <row r="358" spans="1:20" s="8" customFormat="1" ht="13.5" customHeight="1" x14ac:dyDescent="0.25">
      <c r="A358" s="214" t="s">
        <v>299</v>
      </c>
      <c r="B358" s="7" t="s">
        <v>1095</v>
      </c>
      <c r="C358" s="190"/>
      <c r="D358" s="60"/>
      <c r="E358" s="60"/>
      <c r="F358" s="60"/>
      <c r="G358" s="200" t="str">
        <f t="shared" si="18"/>
        <v/>
      </c>
      <c r="H358" s="192"/>
      <c r="I358" s="60"/>
      <c r="J358" s="60"/>
      <c r="K358" s="60"/>
      <c r="L358" s="200" t="str">
        <f t="shared" si="19"/>
        <v/>
      </c>
      <c r="M358" s="192"/>
      <c r="N358" s="60"/>
      <c r="O358" s="60"/>
      <c r="P358" s="60"/>
      <c r="Q358" s="200" t="str">
        <f t="shared" si="20"/>
        <v/>
      </c>
      <c r="R358" s="192"/>
      <c r="S358" s="60"/>
      <c r="T358" s="205"/>
    </row>
    <row r="359" spans="1:20" s="8" customFormat="1" ht="13.5" customHeight="1" x14ac:dyDescent="0.25">
      <c r="A359" s="214" t="s">
        <v>299</v>
      </c>
      <c r="B359" s="7" t="s">
        <v>1097</v>
      </c>
      <c r="C359" s="190"/>
      <c r="D359" s="60"/>
      <c r="E359" s="60"/>
      <c r="F359" s="60"/>
      <c r="G359" s="200" t="str">
        <f t="shared" si="18"/>
        <v/>
      </c>
      <c r="H359" s="192"/>
      <c r="I359" s="60"/>
      <c r="J359" s="60"/>
      <c r="K359" s="60"/>
      <c r="L359" s="200" t="str">
        <f t="shared" si="19"/>
        <v/>
      </c>
      <c r="M359" s="192"/>
      <c r="N359" s="60"/>
      <c r="O359" s="60"/>
      <c r="P359" s="60"/>
      <c r="Q359" s="200" t="str">
        <f t="shared" si="20"/>
        <v/>
      </c>
      <c r="R359" s="192"/>
      <c r="S359" s="60"/>
      <c r="T359" s="205"/>
    </row>
    <row r="360" spans="1:20" s="8" customFormat="1" ht="13.5" customHeight="1" x14ac:dyDescent="0.25">
      <c r="A360" s="214" t="s">
        <v>299</v>
      </c>
      <c r="B360" s="7" t="s">
        <v>1099</v>
      </c>
      <c r="C360" s="190"/>
      <c r="D360" s="60"/>
      <c r="E360" s="60"/>
      <c r="F360" s="60"/>
      <c r="G360" s="200" t="str">
        <f t="shared" si="18"/>
        <v/>
      </c>
      <c r="H360" s="192"/>
      <c r="I360" s="60"/>
      <c r="J360" s="60"/>
      <c r="K360" s="60"/>
      <c r="L360" s="200" t="str">
        <f t="shared" si="19"/>
        <v/>
      </c>
      <c r="M360" s="192"/>
      <c r="N360" s="60"/>
      <c r="O360" s="60"/>
      <c r="P360" s="60"/>
      <c r="Q360" s="200" t="str">
        <f t="shared" si="20"/>
        <v/>
      </c>
      <c r="R360" s="192"/>
      <c r="S360" s="60"/>
      <c r="T360" s="205"/>
    </row>
    <row r="361" spans="1:20" s="8" customFormat="1" ht="13.5" customHeight="1" x14ac:dyDescent="0.25">
      <c r="A361" s="214" t="s">
        <v>299</v>
      </c>
      <c r="B361" s="7" t="s">
        <v>1101</v>
      </c>
      <c r="C361" s="190"/>
      <c r="D361" s="60"/>
      <c r="E361" s="60"/>
      <c r="F361" s="60"/>
      <c r="G361" s="200" t="str">
        <f t="shared" si="18"/>
        <v/>
      </c>
      <c r="H361" s="192"/>
      <c r="I361" s="60"/>
      <c r="J361" s="60"/>
      <c r="K361" s="60"/>
      <c r="L361" s="200" t="str">
        <f t="shared" si="19"/>
        <v/>
      </c>
      <c r="M361" s="192"/>
      <c r="N361" s="60"/>
      <c r="O361" s="60"/>
      <c r="P361" s="60"/>
      <c r="Q361" s="200" t="str">
        <f t="shared" si="20"/>
        <v/>
      </c>
      <c r="R361" s="192"/>
      <c r="S361" s="60"/>
      <c r="T361" s="205"/>
    </row>
    <row r="362" spans="1:20" s="8" customFormat="1" ht="13.5" customHeight="1" x14ac:dyDescent="0.25">
      <c r="A362" s="214" t="s">
        <v>299</v>
      </c>
      <c r="B362" s="7" t="s">
        <v>1103</v>
      </c>
      <c r="C362" s="190"/>
      <c r="D362" s="60"/>
      <c r="E362" s="60"/>
      <c r="F362" s="60"/>
      <c r="G362" s="200" t="str">
        <f t="shared" si="18"/>
        <v/>
      </c>
      <c r="H362" s="192"/>
      <c r="I362" s="60"/>
      <c r="J362" s="60"/>
      <c r="K362" s="60"/>
      <c r="L362" s="200" t="str">
        <f t="shared" si="19"/>
        <v/>
      </c>
      <c r="M362" s="192"/>
      <c r="N362" s="60"/>
      <c r="O362" s="60"/>
      <c r="P362" s="60"/>
      <c r="Q362" s="200" t="str">
        <f t="shared" si="20"/>
        <v/>
      </c>
      <c r="R362" s="192"/>
      <c r="S362" s="60"/>
      <c r="T362" s="205"/>
    </row>
    <row r="363" spans="1:20" s="8" customFormat="1" ht="13.5" customHeight="1" x14ac:dyDescent="0.25">
      <c r="A363" s="214" t="s">
        <v>299</v>
      </c>
      <c r="B363" s="7" t="s">
        <v>1105</v>
      </c>
      <c r="C363" s="190"/>
      <c r="D363" s="60"/>
      <c r="E363" s="60"/>
      <c r="F363" s="60"/>
      <c r="G363" s="200" t="str">
        <f t="shared" si="18"/>
        <v/>
      </c>
      <c r="H363" s="192"/>
      <c r="I363" s="60"/>
      <c r="J363" s="60"/>
      <c r="K363" s="60"/>
      <c r="L363" s="200" t="str">
        <f t="shared" si="19"/>
        <v/>
      </c>
      <c r="M363" s="192"/>
      <c r="N363" s="60"/>
      <c r="O363" s="60"/>
      <c r="P363" s="60"/>
      <c r="Q363" s="200" t="str">
        <f t="shared" si="20"/>
        <v/>
      </c>
      <c r="R363" s="192"/>
      <c r="S363" s="60"/>
      <c r="T363" s="205"/>
    </row>
    <row r="364" spans="1:20" s="8" customFormat="1" ht="13.5" customHeight="1" x14ac:dyDescent="0.25">
      <c r="A364" s="214" t="s">
        <v>299</v>
      </c>
      <c r="B364" s="7" t="s">
        <v>1107</v>
      </c>
      <c r="C364" s="190"/>
      <c r="D364" s="60"/>
      <c r="E364" s="60"/>
      <c r="F364" s="60"/>
      <c r="G364" s="200" t="str">
        <f t="shared" si="18"/>
        <v/>
      </c>
      <c r="H364" s="192"/>
      <c r="I364" s="60"/>
      <c r="J364" s="60"/>
      <c r="K364" s="60"/>
      <c r="L364" s="200" t="str">
        <f t="shared" si="19"/>
        <v/>
      </c>
      <c r="M364" s="192"/>
      <c r="N364" s="60"/>
      <c r="O364" s="60"/>
      <c r="P364" s="60"/>
      <c r="Q364" s="200" t="str">
        <f t="shared" si="20"/>
        <v/>
      </c>
      <c r="R364" s="192"/>
      <c r="S364" s="60"/>
      <c r="T364" s="205"/>
    </row>
    <row r="365" spans="1:20" s="8" customFormat="1" ht="13.5" customHeight="1" x14ac:dyDescent="0.25">
      <c r="A365" s="214" t="s">
        <v>299</v>
      </c>
      <c r="B365" s="7" t="s">
        <v>1109</v>
      </c>
      <c r="C365" s="190"/>
      <c r="D365" s="60"/>
      <c r="E365" s="60"/>
      <c r="F365" s="60"/>
      <c r="G365" s="200" t="str">
        <f t="shared" si="18"/>
        <v/>
      </c>
      <c r="H365" s="192"/>
      <c r="I365" s="60"/>
      <c r="J365" s="60"/>
      <c r="K365" s="60"/>
      <c r="L365" s="200" t="str">
        <f t="shared" si="19"/>
        <v/>
      </c>
      <c r="M365" s="192"/>
      <c r="N365" s="60"/>
      <c r="O365" s="60"/>
      <c r="P365" s="60"/>
      <c r="Q365" s="200" t="str">
        <f t="shared" si="20"/>
        <v/>
      </c>
      <c r="R365" s="192"/>
      <c r="S365" s="60"/>
      <c r="T365" s="205"/>
    </row>
    <row r="366" spans="1:20" s="8" customFormat="1" ht="13.5" customHeight="1" x14ac:dyDescent="0.25">
      <c r="A366" s="214" t="s">
        <v>299</v>
      </c>
      <c r="B366" s="7" t="s">
        <v>1110</v>
      </c>
      <c r="C366" s="190"/>
      <c r="D366" s="60"/>
      <c r="E366" s="60"/>
      <c r="F366" s="60"/>
      <c r="G366" s="200" t="str">
        <f t="shared" si="18"/>
        <v/>
      </c>
      <c r="H366" s="192"/>
      <c r="I366" s="60"/>
      <c r="J366" s="60"/>
      <c r="K366" s="60"/>
      <c r="L366" s="200" t="str">
        <f t="shared" si="19"/>
        <v/>
      </c>
      <c r="M366" s="192"/>
      <c r="N366" s="60"/>
      <c r="O366" s="60"/>
      <c r="P366" s="60"/>
      <c r="Q366" s="200" t="str">
        <f t="shared" si="20"/>
        <v/>
      </c>
      <c r="R366" s="192"/>
      <c r="S366" s="60"/>
      <c r="T366" s="205"/>
    </row>
    <row r="367" spans="1:20" s="8" customFormat="1" ht="13.5" customHeight="1" x14ac:dyDescent="0.25">
      <c r="A367" s="214" t="s">
        <v>299</v>
      </c>
      <c r="B367" s="7" t="s">
        <v>1112</v>
      </c>
      <c r="C367" s="190"/>
      <c r="D367" s="60"/>
      <c r="E367" s="60"/>
      <c r="F367" s="60"/>
      <c r="G367" s="200" t="str">
        <f t="shared" si="18"/>
        <v/>
      </c>
      <c r="H367" s="192"/>
      <c r="I367" s="60"/>
      <c r="J367" s="60"/>
      <c r="K367" s="60"/>
      <c r="L367" s="200" t="str">
        <f t="shared" si="19"/>
        <v/>
      </c>
      <c r="M367" s="192"/>
      <c r="N367" s="60"/>
      <c r="O367" s="60"/>
      <c r="P367" s="60"/>
      <c r="Q367" s="200" t="str">
        <f t="shared" si="20"/>
        <v/>
      </c>
      <c r="R367" s="192"/>
      <c r="S367" s="60"/>
      <c r="T367" s="205"/>
    </row>
    <row r="368" spans="1:20" s="8" customFormat="1" ht="13.5" customHeight="1" x14ac:dyDescent="0.25">
      <c r="A368" s="214" t="s">
        <v>299</v>
      </c>
      <c r="B368" s="7" t="s">
        <v>1820</v>
      </c>
      <c r="C368" s="190" t="s">
        <v>310</v>
      </c>
      <c r="D368" s="60">
        <v>1</v>
      </c>
      <c r="E368" s="60"/>
      <c r="F368" s="60"/>
      <c r="G368" s="200" t="str">
        <f t="shared" ref="G368" si="21">IF(F368=1,"New","")</f>
        <v/>
      </c>
      <c r="H368" s="192"/>
      <c r="I368" s="60"/>
      <c r="J368" s="60"/>
      <c r="K368" s="60"/>
      <c r="L368" s="200"/>
      <c r="M368" s="192"/>
      <c r="N368" s="60"/>
      <c r="O368" s="60"/>
      <c r="P368" s="60"/>
      <c r="Q368" s="200"/>
      <c r="R368" s="192"/>
      <c r="S368" s="60"/>
      <c r="T368" s="205"/>
    </row>
    <row r="369" spans="1:20" s="8" customFormat="1" ht="13.5" customHeight="1" x14ac:dyDescent="0.25">
      <c r="A369" s="214" t="s">
        <v>299</v>
      </c>
      <c r="B369" s="7" t="s">
        <v>1114</v>
      </c>
      <c r="C369" s="190"/>
      <c r="D369" s="60"/>
      <c r="E369" s="60"/>
      <c r="F369" s="60"/>
      <c r="G369" s="200" t="str">
        <f t="shared" si="18"/>
        <v/>
      </c>
      <c r="H369" s="192"/>
      <c r="I369" s="60"/>
      <c r="J369" s="60"/>
      <c r="K369" s="60"/>
      <c r="L369" s="200" t="str">
        <f t="shared" si="19"/>
        <v/>
      </c>
      <c r="M369" s="192"/>
      <c r="N369" s="60"/>
      <c r="O369" s="60"/>
      <c r="P369" s="60"/>
      <c r="Q369" s="200" t="str">
        <f t="shared" si="20"/>
        <v/>
      </c>
      <c r="R369" s="192"/>
      <c r="S369" s="60"/>
      <c r="T369" s="205"/>
    </row>
    <row r="370" spans="1:20" s="8" customFormat="1" ht="13.5" customHeight="1" x14ac:dyDescent="0.25">
      <c r="A370" s="214" t="s">
        <v>299</v>
      </c>
      <c r="B370" s="7" t="s">
        <v>1116</v>
      </c>
      <c r="C370" s="190"/>
      <c r="D370" s="60"/>
      <c r="E370" s="60"/>
      <c r="F370" s="60"/>
      <c r="G370" s="200" t="str">
        <f t="shared" si="18"/>
        <v/>
      </c>
      <c r="H370" s="192"/>
      <c r="I370" s="60"/>
      <c r="J370" s="60"/>
      <c r="K370" s="60"/>
      <c r="L370" s="200" t="str">
        <f t="shared" si="19"/>
        <v/>
      </c>
      <c r="M370" s="192"/>
      <c r="N370" s="60"/>
      <c r="O370" s="60"/>
      <c r="P370" s="60"/>
      <c r="Q370" s="200" t="str">
        <f t="shared" si="20"/>
        <v/>
      </c>
      <c r="R370" s="192"/>
      <c r="S370" s="60"/>
      <c r="T370" s="205"/>
    </row>
    <row r="371" spans="1:20" s="8" customFormat="1" ht="13.5" customHeight="1" x14ac:dyDescent="0.25">
      <c r="A371" s="214" t="s">
        <v>299</v>
      </c>
      <c r="B371" s="7" t="s">
        <v>1118</v>
      </c>
      <c r="C371" s="190"/>
      <c r="D371" s="60"/>
      <c r="E371" s="60"/>
      <c r="F371" s="60"/>
      <c r="G371" s="200" t="str">
        <f t="shared" si="18"/>
        <v/>
      </c>
      <c r="H371" s="192"/>
      <c r="I371" s="60"/>
      <c r="J371" s="60"/>
      <c r="K371" s="60"/>
      <c r="L371" s="200" t="str">
        <f t="shared" si="19"/>
        <v/>
      </c>
      <c r="M371" s="192"/>
      <c r="N371" s="60"/>
      <c r="O371" s="60"/>
      <c r="P371" s="60"/>
      <c r="Q371" s="200" t="str">
        <f t="shared" si="20"/>
        <v/>
      </c>
      <c r="R371" s="192"/>
      <c r="S371" s="60"/>
      <c r="T371" s="205"/>
    </row>
    <row r="372" spans="1:20" s="8" customFormat="1" ht="13.5" customHeight="1" x14ac:dyDescent="0.25">
      <c r="A372" s="214" t="s">
        <v>299</v>
      </c>
      <c r="B372" s="7" t="s">
        <v>1120</v>
      </c>
      <c r="C372" s="190"/>
      <c r="D372" s="60"/>
      <c r="E372" s="60"/>
      <c r="F372" s="60"/>
      <c r="G372" s="200" t="str">
        <f t="shared" si="18"/>
        <v/>
      </c>
      <c r="H372" s="192"/>
      <c r="I372" s="60"/>
      <c r="J372" s="60"/>
      <c r="K372" s="60"/>
      <c r="L372" s="200" t="str">
        <f t="shared" si="19"/>
        <v/>
      </c>
      <c r="M372" s="192"/>
      <c r="N372" s="60"/>
      <c r="O372" s="60"/>
      <c r="P372" s="60"/>
      <c r="Q372" s="200" t="str">
        <f t="shared" si="20"/>
        <v/>
      </c>
      <c r="R372" s="192"/>
      <c r="S372" s="60"/>
      <c r="T372" s="205"/>
    </row>
    <row r="373" spans="1:20" s="8" customFormat="1" ht="13.5" customHeight="1" x14ac:dyDescent="0.25">
      <c r="A373" s="214" t="s">
        <v>299</v>
      </c>
      <c r="B373" s="7" t="s">
        <v>1122</v>
      </c>
      <c r="C373" s="190"/>
      <c r="D373" s="60"/>
      <c r="E373" s="60"/>
      <c r="F373" s="60"/>
      <c r="G373" s="200" t="str">
        <f t="shared" si="18"/>
        <v/>
      </c>
      <c r="H373" s="192"/>
      <c r="I373" s="60"/>
      <c r="J373" s="60"/>
      <c r="K373" s="60"/>
      <c r="L373" s="200" t="str">
        <f t="shared" si="19"/>
        <v/>
      </c>
      <c r="M373" s="192"/>
      <c r="N373" s="60"/>
      <c r="O373" s="60"/>
      <c r="P373" s="60"/>
      <c r="Q373" s="200" t="str">
        <f t="shared" si="20"/>
        <v/>
      </c>
      <c r="R373" s="192"/>
      <c r="S373" s="60"/>
      <c r="T373" s="205"/>
    </row>
    <row r="374" spans="1:20" s="8" customFormat="1" ht="13.5" customHeight="1" x14ac:dyDescent="0.25">
      <c r="A374" s="214" t="s">
        <v>299</v>
      </c>
      <c r="B374" s="7" t="s">
        <v>1124</v>
      </c>
      <c r="C374" s="190"/>
      <c r="D374" s="60"/>
      <c r="E374" s="60"/>
      <c r="F374" s="60"/>
      <c r="G374" s="200" t="str">
        <f t="shared" si="18"/>
        <v/>
      </c>
      <c r="H374" s="192"/>
      <c r="I374" s="60"/>
      <c r="J374" s="60"/>
      <c r="K374" s="60"/>
      <c r="L374" s="200" t="str">
        <f t="shared" si="19"/>
        <v/>
      </c>
      <c r="M374" s="192"/>
      <c r="N374" s="60"/>
      <c r="O374" s="60"/>
      <c r="P374" s="60"/>
      <c r="Q374" s="200" t="str">
        <f t="shared" si="20"/>
        <v/>
      </c>
      <c r="R374" s="192"/>
      <c r="S374" s="60"/>
      <c r="T374" s="205"/>
    </row>
    <row r="375" spans="1:20" s="8" customFormat="1" ht="13.5" customHeight="1" x14ac:dyDescent="0.25">
      <c r="A375" s="214" t="s">
        <v>299</v>
      </c>
      <c r="B375" s="7" t="s">
        <v>1126</v>
      </c>
      <c r="C375" s="190"/>
      <c r="D375" s="60"/>
      <c r="E375" s="60"/>
      <c r="F375" s="60"/>
      <c r="G375" s="200" t="str">
        <f t="shared" si="18"/>
        <v/>
      </c>
      <c r="H375" s="192"/>
      <c r="I375" s="60"/>
      <c r="J375" s="60"/>
      <c r="K375" s="60"/>
      <c r="L375" s="200" t="str">
        <f t="shared" si="19"/>
        <v/>
      </c>
      <c r="M375" s="192"/>
      <c r="N375" s="60"/>
      <c r="O375" s="60"/>
      <c r="P375" s="60"/>
      <c r="Q375" s="200" t="str">
        <f t="shared" si="20"/>
        <v/>
      </c>
      <c r="R375" s="192"/>
      <c r="S375" s="60"/>
      <c r="T375" s="205"/>
    </row>
    <row r="376" spans="1:20" s="8" customFormat="1" ht="13.5" customHeight="1" x14ac:dyDescent="0.25">
      <c r="A376" s="214" t="s">
        <v>299</v>
      </c>
      <c r="B376" s="7" t="s">
        <v>1128</v>
      </c>
      <c r="C376" s="190"/>
      <c r="D376" s="60"/>
      <c r="E376" s="60"/>
      <c r="F376" s="60"/>
      <c r="G376" s="200" t="str">
        <f t="shared" si="18"/>
        <v/>
      </c>
      <c r="H376" s="192"/>
      <c r="I376" s="60"/>
      <c r="J376" s="60"/>
      <c r="K376" s="60"/>
      <c r="L376" s="200" t="str">
        <f t="shared" si="19"/>
        <v/>
      </c>
      <c r="M376" s="192"/>
      <c r="N376" s="60"/>
      <c r="O376" s="60"/>
      <c r="P376" s="60"/>
      <c r="Q376" s="200" t="str">
        <f t="shared" si="20"/>
        <v/>
      </c>
      <c r="R376" s="192"/>
      <c r="S376" s="60"/>
      <c r="T376" s="205"/>
    </row>
    <row r="377" spans="1:20" s="8" customFormat="1" ht="13.5" customHeight="1" x14ac:dyDescent="0.25">
      <c r="A377" s="214" t="s">
        <v>299</v>
      </c>
      <c r="B377" s="7" t="s">
        <v>1130</v>
      </c>
      <c r="C377" s="190"/>
      <c r="D377" s="60"/>
      <c r="E377" s="60"/>
      <c r="F377" s="60"/>
      <c r="G377" s="200" t="str">
        <f t="shared" si="18"/>
        <v/>
      </c>
      <c r="H377" s="192"/>
      <c r="I377" s="60"/>
      <c r="J377" s="60"/>
      <c r="K377" s="60"/>
      <c r="L377" s="200" t="str">
        <f t="shared" si="19"/>
        <v/>
      </c>
      <c r="M377" s="192"/>
      <c r="N377" s="60"/>
      <c r="O377" s="60"/>
      <c r="P377" s="60"/>
      <c r="Q377" s="200" t="str">
        <f t="shared" si="20"/>
        <v/>
      </c>
      <c r="R377" s="192"/>
      <c r="S377" s="60"/>
      <c r="T377" s="205"/>
    </row>
    <row r="378" spans="1:20" s="8" customFormat="1" ht="13.5" customHeight="1" x14ac:dyDescent="0.25">
      <c r="A378" s="214" t="s">
        <v>299</v>
      </c>
      <c r="B378" s="7" t="s">
        <v>1132</v>
      </c>
      <c r="C378" s="190"/>
      <c r="D378" s="60"/>
      <c r="E378" s="60"/>
      <c r="F378" s="60"/>
      <c r="G378" s="200" t="str">
        <f t="shared" si="18"/>
        <v/>
      </c>
      <c r="H378" s="192"/>
      <c r="I378" s="60"/>
      <c r="J378" s="60"/>
      <c r="K378" s="60"/>
      <c r="L378" s="200" t="str">
        <f t="shared" si="19"/>
        <v/>
      </c>
      <c r="M378" s="192"/>
      <c r="N378" s="60"/>
      <c r="O378" s="60"/>
      <c r="P378" s="60"/>
      <c r="Q378" s="200" t="str">
        <f t="shared" si="20"/>
        <v/>
      </c>
      <c r="R378" s="192"/>
      <c r="S378" s="60"/>
      <c r="T378" s="205"/>
    </row>
    <row r="379" spans="1:20" s="8" customFormat="1" ht="13.5" customHeight="1" x14ac:dyDescent="0.25">
      <c r="A379" s="214" t="s">
        <v>299</v>
      </c>
      <c r="B379" s="7" t="s">
        <v>1134</v>
      </c>
      <c r="C379" s="190"/>
      <c r="D379" s="60"/>
      <c r="E379" s="60"/>
      <c r="F379" s="60"/>
      <c r="G379" s="200" t="str">
        <f t="shared" si="18"/>
        <v/>
      </c>
      <c r="H379" s="192"/>
      <c r="I379" s="60"/>
      <c r="J379" s="60"/>
      <c r="K379" s="60"/>
      <c r="L379" s="200" t="str">
        <f t="shared" si="19"/>
        <v/>
      </c>
      <c r="M379" s="192"/>
      <c r="N379" s="60"/>
      <c r="O379" s="60"/>
      <c r="P379" s="60"/>
      <c r="Q379" s="200" t="str">
        <f t="shared" si="20"/>
        <v/>
      </c>
      <c r="R379" s="192"/>
      <c r="S379" s="60"/>
      <c r="T379" s="205"/>
    </row>
    <row r="380" spans="1:20" s="8" customFormat="1" ht="13.5" customHeight="1" x14ac:dyDescent="0.25">
      <c r="A380" s="214" t="s">
        <v>299</v>
      </c>
      <c r="B380" s="7" t="s">
        <v>1136</v>
      </c>
      <c r="C380" s="190"/>
      <c r="D380" s="60"/>
      <c r="E380" s="60"/>
      <c r="F380" s="60"/>
      <c r="G380" s="200" t="str">
        <f t="shared" si="18"/>
        <v/>
      </c>
      <c r="H380" s="192"/>
      <c r="I380" s="60"/>
      <c r="J380" s="60"/>
      <c r="K380" s="60"/>
      <c r="L380" s="200" t="str">
        <f t="shared" si="19"/>
        <v/>
      </c>
      <c r="M380" s="192"/>
      <c r="N380" s="60"/>
      <c r="O380" s="60"/>
      <c r="P380" s="60"/>
      <c r="Q380" s="200" t="str">
        <f t="shared" si="20"/>
        <v/>
      </c>
      <c r="R380" s="192"/>
      <c r="S380" s="60"/>
      <c r="T380" s="205"/>
    </row>
    <row r="381" spans="1:20" s="8" customFormat="1" ht="13.5" customHeight="1" x14ac:dyDescent="0.25">
      <c r="A381" s="214" t="s">
        <v>299</v>
      </c>
      <c r="B381" s="7" t="s">
        <v>1136</v>
      </c>
      <c r="C381" s="192"/>
      <c r="D381" s="60"/>
      <c r="E381" s="60"/>
      <c r="F381" s="60"/>
      <c r="G381" s="200" t="str">
        <f t="shared" si="18"/>
        <v/>
      </c>
      <c r="H381" s="192"/>
      <c r="I381" s="60"/>
      <c r="J381" s="60"/>
      <c r="K381" s="60"/>
      <c r="L381" s="200" t="str">
        <f t="shared" si="19"/>
        <v/>
      </c>
      <c r="M381" s="192"/>
      <c r="N381" s="60"/>
      <c r="O381" s="60"/>
      <c r="P381" s="60"/>
      <c r="Q381" s="200" t="str">
        <f t="shared" si="20"/>
        <v/>
      </c>
      <c r="R381" s="192"/>
      <c r="S381" s="60"/>
      <c r="T381" s="205"/>
    </row>
    <row r="382" spans="1:20" s="8" customFormat="1" ht="13.5" customHeight="1" x14ac:dyDescent="0.25">
      <c r="A382" s="214" t="s">
        <v>299</v>
      </c>
      <c r="B382" s="7" t="s">
        <v>1138</v>
      </c>
      <c r="C382" s="190"/>
      <c r="D382" s="60"/>
      <c r="E382" s="60"/>
      <c r="F382" s="60"/>
      <c r="G382" s="200" t="str">
        <f t="shared" si="18"/>
        <v/>
      </c>
      <c r="H382" s="192"/>
      <c r="I382" s="60"/>
      <c r="J382" s="60"/>
      <c r="K382" s="60"/>
      <c r="L382" s="200" t="str">
        <f t="shared" si="19"/>
        <v/>
      </c>
      <c r="M382" s="192"/>
      <c r="N382" s="60"/>
      <c r="O382" s="60"/>
      <c r="P382" s="60"/>
      <c r="Q382" s="200" t="str">
        <f t="shared" si="20"/>
        <v/>
      </c>
      <c r="R382" s="192"/>
      <c r="S382" s="60"/>
      <c r="T382" s="205"/>
    </row>
    <row r="383" spans="1:20" s="8" customFormat="1" ht="13.5" customHeight="1" x14ac:dyDescent="0.25">
      <c r="A383" s="214" t="s">
        <v>299</v>
      </c>
      <c r="B383" s="7" t="s">
        <v>1140</v>
      </c>
      <c r="C383" s="190"/>
      <c r="D383" s="60"/>
      <c r="E383" s="60"/>
      <c r="F383" s="60"/>
      <c r="G383" s="200" t="str">
        <f t="shared" si="18"/>
        <v/>
      </c>
      <c r="H383" s="192"/>
      <c r="I383" s="60"/>
      <c r="J383" s="60"/>
      <c r="K383" s="60"/>
      <c r="L383" s="200" t="str">
        <f t="shared" si="19"/>
        <v/>
      </c>
      <c r="M383" s="192"/>
      <c r="N383" s="60"/>
      <c r="O383" s="60"/>
      <c r="P383" s="60"/>
      <c r="Q383" s="200" t="str">
        <f t="shared" si="20"/>
        <v/>
      </c>
      <c r="R383" s="192"/>
      <c r="S383" s="60"/>
      <c r="T383" s="205"/>
    </row>
    <row r="384" spans="1:20" s="8" customFormat="1" ht="13.5" customHeight="1" x14ac:dyDescent="0.25">
      <c r="A384" s="214" t="s">
        <v>299</v>
      </c>
      <c r="B384" s="7" t="s">
        <v>1142</v>
      </c>
      <c r="C384" s="190"/>
      <c r="D384" s="60"/>
      <c r="E384" s="60"/>
      <c r="F384" s="60"/>
      <c r="G384" s="200" t="str">
        <f t="shared" si="18"/>
        <v/>
      </c>
      <c r="H384" s="192"/>
      <c r="I384" s="60"/>
      <c r="J384" s="60"/>
      <c r="K384" s="60"/>
      <c r="L384" s="200" t="str">
        <f t="shared" si="19"/>
        <v/>
      </c>
      <c r="M384" s="192"/>
      <c r="N384" s="60"/>
      <c r="O384" s="60"/>
      <c r="P384" s="60"/>
      <c r="Q384" s="200" t="str">
        <f t="shared" si="20"/>
        <v/>
      </c>
      <c r="R384" s="192"/>
      <c r="S384" s="60"/>
      <c r="T384" s="205"/>
    </row>
    <row r="385" spans="1:20" s="8" customFormat="1" ht="13.5" customHeight="1" x14ac:dyDescent="0.25">
      <c r="A385" s="214" t="s">
        <v>299</v>
      </c>
      <c r="B385" s="7" t="s">
        <v>1144</v>
      </c>
      <c r="C385" s="190" t="s">
        <v>310</v>
      </c>
      <c r="D385" s="60">
        <v>1</v>
      </c>
      <c r="E385" s="60"/>
      <c r="F385" s="60"/>
      <c r="G385" s="200" t="str">
        <f t="shared" si="18"/>
        <v/>
      </c>
      <c r="H385" s="192"/>
      <c r="I385" s="60"/>
      <c r="J385" s="60"/>
      <c r="K385" s="60"/>
      <c r="L385" s="200" t="str">
        <f t="shared" si="19"/>
        <v/>
      </c>
      <c r="M385" s="192"/>
      <c r="N385" s="60"/>
      <c r="O385" s="60"/>
      <c r="P385" s="60"/>
      <c r="Q385" s="200" t="str">
        <f t="shared" si="20"/>
        <v/>
      </c>
      <c r="R385" s="192"/>
      <c r="S385" s="60"/>
      <c r="T385" s="205"/>
    </row>
    <row r="386" spans="1:20" s="8" customFormat="1" ht="13.5" customHeight="1" x14ac:dyDescent="0.25">
      <c r="A386" s="214" t="s">
        <v>299</v>
      </c>
      <c r="B386" s="7" t="s">
        <v>1146</v>
      </c>
      <c r="C386" s="190"/>
      <c r="D386" s="60"/>
      <c r="E386" s="60"/>
      <c r="F386" s="60"/>
      <c r="G386" s="200" t="str">
        <f t="shared" si="18"/>
        <v/>
      </c>
      <c r="H386" s="192"/>
      <c r="I386" s="60"/>
      <c r="J386" s="60"/>
      <c r="K386" s="60"/>
      <c r="L386" s="200" t="str">
        <f t="shared" si="19"/>
        <v/>
      </c>
      <c r="M386" s="192"/>
      <c r="N386" s="60"/>
      <c r="O386" s="60"/>
      <c r="P386" s="60"/>
      <c r="Q386" s="200" t="str">
        <f t="shared" si="20"/>
        <v/>
      </c>
      <c r="R386" s="192"/>
      <c r="S386" s="60"/>
      <c r="T386" s="205"/>
    </row>
    <row r="387" spans="1:20" s="8" customFormat="1" ht="13.5" customHeight="1" x14ac:dyDescent="0.25">
      <c r="A387" s="214" t="s">
        <v>299</v>
      </c>
      <c r="B387" s="7" t="s">
        <v>1148</v>
      </c>
      <c r="C387" s="190"/>
      <c r="D387" s="60"/>
      <c r="E387" s="60"/>
      <c r="F387" s="60"/>
      <c r="G387" s="200" t="str">
        <f t="shared" ref="G387:G451" si="22">IF(F387=1,"New","")</f>
        <v/>
      </c>
      <c r="H387" s="192"/>
      <c r="I387" s="60"/>
      <c r="J387" s="60"/>
      <c r="K387" s="60"/>
      <c r="L387" s="200" t="str">
        <f t="shared" si="19"/>
        <v/>
      </c>
      <c r="M387" s="192"/>
      <c r="N387" s="60"/>
      <c r="O387" s="60"/>
      <c r="P387" s="60"/>
      <c r="Q387" s="200" t="str">
        <f t="shared" si="20"/>
        <v/>
      </c>
      <c r="R387" s="192"/>
      <c r="S387" s="60"/>
      <c r="T387" s="205"/>
    </row>
    <row r="388" spans="1:20" s="8" customFormat="1" ht="13.5" customHeight="1" x14ac:dyDescent="0.25">
      <c r="A388" s="214" t="s">
        <v>299</v>
      </c>
      <c r="B388" s="7" t="s">
        <v>1149</v>
      </c>
      <c r="C388" s="190"/>
      <c r="D388" s="60"/>
      <c r="E388" s="60"/>
      <c r="F388" s="60"/>
      <c r="G388" s="200" t="str">
        <f t="shared" si="22"/>
        <v/>
      </c>
      <c r="H388" s="192"/>
      <c r="I388" s="60"/>
      <c r="J388" s="60"/>
      <c r="K388" s="60"/>
      <c r="L388" s="200" t="str">
        <f t="shared" ref="L388:L452" si="23">IF(K388=1,"New","")</f>
        <v/>
      </c>
      <c r="M388" s="192"/>
      <c r="N388" s="60"/>
      <c r="O388" s="60"/>
      <c r="P388" s="60"/>
      <c r="Q388" s="200" t="str">
        <f t="shared" ref="Q388:Q452" si="24">IF(P388=1,"New","")</f>
        <v/>
      </c>
      <c r="R388" s="192"/>
      <c r="S388" s="60"/>
      <c r="T388" s="205"/>
    </row>
    <row r="389" spans="1:20" s="8" customFormat="1" ht="13.5" customHeight="1" x14ac:dyDescent="0.25">
      <c r="A389" s="214" t="s">
        <v>299</v>
      </c>
      <c r="B389" s="7" t="s">
        <v>1151</v>
      </c>
      <c r="C389" s="190"/>
      <c r="D389" s="60"/>
      <c r="E389" s="60"/>
      <c r="F389" s="60"/>
      <c r="G389" s="200" t="str">
        <f t="shared" si="22"/>
        <v/>
      </c>
      <c r="H389" s="192"/>
      <c r="I389" s="60"/>
      <c r="J389" s="60"/>
      <c r="K389" s="60"/>
      <c r="L389" s="200" t="str">
        <f t="shared" si="23"/>
        <v/>
      </c>
      <c r="M389" s="192"/>
      <c r="N389" s="60"/>
      <c r="O389" s="60"/>
      <c r="P389" s="60"/>
      <c r="Q389" s="200" t="str">
        <f t="shared" si="24"/>
        <v/>
      </c>
      <c r="R389" s="192"/>
      <c r="S389" s="60"/>
      <c r="T389" s="205"/>
    </row>
    <row r="390" spans="1:20" s="8" customFormat="1" ht="13.5" customHeight="1" x14ac:dyDescent="0.25">
      <c r="A390" s="214" t="s">
        <v>299</v>
      </c>
      <c r="B390" s="7" t="s">
        <v>1153</v>
      </c>
      <c r="C390" s="190"/>
      <c r="D390" s="60"/>
      <c r="E390" s="60"/>
      <c r="F390" s="60"/>
      <c r="G390" s="200" t="str">
        <f t="shared" si="22"/>
        <v/>
      </c>
      <c r="H390" s="192"/>
      <c r="I390" s="60"/>
      <c r="J390" s="60"/>
      <c r="K390" s="60"/>
      <c r="L390" s="200" t="str">
        <f t="shared" si="23"/>
        <v/>
      </c>
      <c r="M390" s="192"/>
      <c r="N390" s="60"/>
      <c r="O390" s="60"/>
      <c r="P390" s="60"/>
      <c r="Q390" s="200" t="str">
        <f t="shared" si="24"/>
        <v/>
      </c>
      <c r="R390" s="192"/>
      <c r="S390" s="60"/>
      <c r="T390" s="205"/>
    </row>
    <row r="391" spans="1:20" s="8" customFormat="1" ht="13.5" customHeight="1" x14ac:dyDescent="0.25">
      <c r="A391" s="214" t="s">
        <v>299</v>
      </c>
      <c r="B391" s="7" t="s">
        <v>1785</v>
      </c>
      <c r="C391" s="190" t="s">
        <v>310</v>
      </c>
      <c r="D391" s="60">
        <v>1</v>
      </c>
      <c r="E391" s="60"/>
      <c r="F391" s="60"/>
      <c r="G391" s="200" t="str">
        <f t="shared" si="22"/>
        <v/>
      </c>
      <c r="H391" s="192"/>
      <c r="I391" s="60"/>
      <c r="J391" s="60"/>
      <c r="K391" s="60"/>
      <c r="L391" s="200"/>
      <c r="M391" s="192"/>
      <c r="N391" s="60"/>
      <c r="O391" s="60"/>
      <c r="P391" s="60"/>
      <c r="Q391" s="200"/>
      <c r="R391" s="192"/>
      <c r="S391" s="60"/>
      <c r="T391" s="205"/>
    </row>
    <row r="392" spans="1:20" s="8" customFormat="1" ht="13.5" customHeight="1" x14ac:dyDescent="0.25">
      <c r="A392" s="214" t="s">
        <v>299</v>
      </c>
      <c r="B392" s="7" t="s">
        <v>1155</v>
      </c>
      <c r="C392" s="190"/>
      <c r="D392" s="60"/>
      <c r="E392" s="60"/>
      <c r="F392" s="60"/>
      <c r="G392" s="200" t="str">
        <f t="shared" si="22"/>
        <v/>
      </c>
      <c r="H392" s="192"/>
      <c r="I392" s="60"/>
      <c r="J392" s="60"/>
      <c r="K392" s="60"/>
      <c r="L392" s="200" t="str">
        <f t="shared" si="23"/>
        <v/>
      </c>
      <c r="M392" s="192"/>
      <c r="N392" s="60"/>
      <c r="O392" s="60"/>
      <c r="P392" s="60"/>
      <c r="Q392" s="200" t="str">
        <f t="shared" si="24"/>
        <v/>
      </c>
      <c r="R392" s="192"/>
      <c r="S392" s="60"/>
      <c r="T392" s="205"/>
    </row>
    <row r="393" spans="1:20" s="8" customFormat="1" ht="13.5" customHeight="1" x14ac:dyDescent="0.25">
      <c r="A393" s="214" t="s">
        <v>299</v>
      </c>
      <c r="B393" s="7" t="s">
        <v>1158</v>
      </c>
      <c r="C393" s="190"/>
      <c r="D393" s="60"/>
      <c r="E393" s="60"/>
      <c r="F393" s="60"/>
      <c r="G393" s="200" t="str">
        <f t="shared" si="22"/>
        <v/>
      </c>
      <c r="H393" s="192"/>
      <c r="I393" s="60"/>
      <c r="J393" s="60"/>
      <c r="K393" s="60"/>
      <c r="L393" s="200" t="str">
        <f t="shared" si="23"/>
        <v/>
      </c>
      <c r="M393" s="192"/>
      <c r="N393" s="60"/>
      <c r="O393" s="60"/>
      <c r="P393" s="60"/>
      <c r="Q393" s="200" t="str">
        <f t="shared" si="24"/>
        <v/>
      </c>
      <c r="R393" s="192"/>
      <c r="S393" s="60"/>
      <c r="T393" s="205"/>
    </row>
    <row r="394" spans="1:20" s="8" customFormat="1" ht="13.5" customHeight="1" x14ac:dyDescent="0.25">
      <c r="A394" s="214" t="s">
        <v>299</v>
      </c>
      <c r="B394" s="7" t="s">
        <v>1160</v>
      </c>
      <c r="C394" s="190"/>
      <c r="D394" s="60"/>
      <c r="E394" s="60"/>
      <c r="F394" s="60"/>
      <c r="G394" s="200" t="str">
        <f t="shared" si="22"/>
        <v/>
      </c>
      <c r="H394" s="192"/>
      <c r="I394" s="60"/>
      <c r="J394" s="60"/>
      <c r="K394" s="60"/>
      <c r="L394" s="200" t="str">
        <f t="shared" si="23"/>
        <v/>
      </c>
      <c r="M394" s="192"/>
      <c r="N394" s="60"/>
      <c r="O394" s="60"/>
      <c r="P394" s="60"/>
      <c r="Q394" s="200" t="str">
        <f t="shared" si="24"/>
        <v/>
      </c>
      <c r="R394" s="192"/>
      <c r="S394" s="60"/>
      <c r="T394" s="205"/>
    </row>
    <row r="395" spans="1:20" s="8" customFormat="1" ht="13.5" customHeight="1" x14ac:dyDescent="0.25">
      <c r="A395" s="214" t="s">
        <v>299</v>
      </c>
      <c r="B395" s="7" t="s">
        <v>1162</v>
      </c>
      <c r="C395" s="190"/>
      <c r="D395" s="60"/>
      <c r="E395" s="60"/>
      <c r="F395" s="60"/>
      <c r="G395" s="200" t="str">
        <f t="shared" si="22"/>
        <v/>
      </c>
      <c r="H395" s="192"/>
      <c r="I395" s="60"/>
      <c r="J395" s="60"/>
      <c r="K395" s="60"/>
      <c r="L395" s="200" t="str">
        <f t="shared" si="23"/>
        <v/>
      </c>
      <c r="M395" s="192"/>
      <c r="N395" s="60"/>
      <c r="O395" s="60"/>
      <c r="P395" s="60"/>
      <c r="Q395" s="200" t="str">
        <f t="shared" si="24"/>
        <v/>
      </c>
      <c r="R395" s="192"/>
      <c r="S395" s="60"/>
      <c r="T395" s="205"/>
    </row>
    <row r="396" spans="1:20" s="8" customFormat="1" ht="13.5" customHeight="1" x14ac:dyDescent="0.25">
      <c r="A396" s="214" t="s">
        <v>299</v>
      </c>
      <c r="B396" s="7" t="s">
        <v>1164</v>
      </c>
      <c r="C396" s="202"/>
      <c r="D396" s="203"/>
      <c r="E396" s="203"/>
      <c r="F396" s="203"/>
      <c r="G396" s="200" t="str">
        <f t="shared" si="22"/>
        <v/>
      </c>
      <c r="H396" s="202"/>
      <c r="I396" s="203"/>
      <c r="J396" s="203"/>
      <c r="K396" s="203"/>
      <c r="L396" s="200" t="str">
        <f t="shared" si="23"/>
        <v/>
      </c>
      <c r="M396" s="202"/>
      <c r="N396" s="203"/>
      <c r="O396" s="203"/>
      <c r="P396" s="203"/>
      <c r="Q396" s="200" t="str">
        <f t="shared" si="24"/>
        <v/>
      </c>
      <c r="R396" s="202"/>
      <c r="S396" s="203"/>
      <c r="T396" s="211"/>
    </row>
    <row r="397" spans="1:20" s="8" customFormat="1" ht="13.5" customHeight="1" x14ac:dyDescent="0.25">
      <c r="A397" s="214" t="s">
        <v>299</v>
      </c>
      <c r="B397" s="7" t="s">
        <v>1166</v>
      </c>
      <c r="C397" s="190"/>
      <c r="D397" s="60"/>
      <c r="E397" s="60"/>
      <c r="F397" s="60"/>
      <c r="G397" s="200" t="str">
        <f t="shared" si="22"/>
        <v/>
      </c>
      <c r="H397" s="192"/>
      <c r="I397" s="60"/>
      <c r="J397" s="60"/>
      <c r="K397" s="60"/>
      <c r="L397" s="200" t="str">
        <f t="shared" si="23"/>
        <v/>
      </c>
      <c r="M397" s="192"/>
      <c r="N397" s="60"/>
      <c r="O397" s="60"/>
      <c r="P397" s="60"/>
      <c r="Q397" s="200" t="str">
        <f t="shared" si="24"/>
        <v/>
      </c>
      <c r="R397" s="192"/>
      <c r="S397" s="60"/>
      <c r="T397" s="205"/>
    </row>
    <row r="398" spans="1:20" s="8" customFormat="1" ht="13.5" customHeight="1" x14ac:dyDescent="0.25">
      <c r="A398" s="214" t="s">
        <v>299</v>
      </c>
      <c r="B398" s="7" t="s">
        <v>1168</v>
      </c>
      <c r="C398" s="190"/>
      <c r="D398" s="60"/>
      <c r="E398" s="60"/>
      <c r="F398" s="60"/>
      <c r="G398" s="200" t="str">
        <f t="shared" si="22"/>
        <v/>
      </c>
      <c r="H398" s="192"/>
      <c r="I398" s="60"/>
      <c r="J398" s="60"/>
      <c r="K398" s="60"/>
      <c r="L398" s="200" t="str">
        <f t="shared" si="23"/>
        <v/>
      </c>
      <c r="M398" s="192"/>
      <c r="N398" s="60"/>
      <c r="O398" s="60"/>
      <c r="P398" s="60"/>
      <c r="Q398" s="200" t="str">
        <f t="shared" si="24"/>
        <v/>
      </c>
      <c r="R398" s="192"/>
      <c r="S398" s="60"/>
      <c r="T398" s="205"/>
    </row>
    <row r="399" spans="1:20" s="8" customFormat="1" ht="13.5" customHeight="1" x14ac:dyDescent="0.25">
      <c r="A399" s="214" t="s">
        <v>299</v>
      </c>
      <c r="B399" s="7" t="s">
        <v>1170</v>
      </c>
      <c r="C399" s="190"/>
      <c r="D399" s="60"/>
      <c r="E399" s="60"/>
      <c r="F399" s="60"/>
      <c r="G399" s="200" t="str">
        <f t="shared" si="22"/>
        <v/>
      </c>
      <c r="H399" s="192"/>
      <c r="I399" s="60"/>
      <c r="J399" s="60"/>
      <c r="K399" s="60"/>
      <c r="L399" s="200" t="str">
        <f t="shared" si="23"/>
        <v/>
      </c>
      <c r="M399" s="192"/>
      <c r="N399" s="60"/>
      <c r="O399" s="60"/>
      <c r="P399" s="60"/>
      <c r="Q399" s="200" t="str">
        <f t="shared" si="24"/>
        <v/>
      </c>
      <c r="R399" s="192"/>
      <c r="S399" s="60"/>
      <c r="T399" s="205"/>
    </row>
    <row r="400" spans="1:20" s="8" customFormat="1" ht="13.5" customHeight="1" x14ac:dyDescent="0.25">
      <c r="A400" s="214" t="s">
        <v>299</v>
      </c>
      <c r="B400" s="7" t="s">
        <v>1172</v>
      </c>
      <c r="C400" s="190" t="s">
        <v>310</v>
      </c>
      <c r="D400" s="60">
        <v>1</v>
      </c>
      <c r="E400" s="60"/>
      <c r="F400" s="60"/>
      <c r="G400" s="200" t="str">
        <f t="shared" si="22"/>
        <v/>
      </c>
      <c r="H400" s="192"/>
      <c r="I400" s="60"/>
      <c r="J400" s="60"/>
      <c r="K400" s="60"/>
      <c r="L400" s="200" t="str">
        <f t="shared" si="23"/>
        <v/>
      </c>
      <c r="M400" s="192"/>
      <c r="N400" s="60"/>
      <c r="O400" s="60"/>
      <c r="P400" s="60"/>
      <c r="Q400" s="200" t="str">
        <f t="shared" si="24"/>
        <v/>
      </c>
      <c r="R400" s="192"/>
      <c r="S400" s="60"/>
      <c r="T400" s="205"/>
    </row>
    <row r="401" spans="1:252" s="8" customFormat="1" ht="13.5" customHeight="1" x14ac:dyDescent="0.25">
      <c r="A401" s="214" t="s">
        <v>299</v>
      </c>
      <c r="B401" s="7" t="s">
        <v>1175</v>
      </c>
      <c r="C401" s="190"/>
      <c r="D401" s="60"/>
      <c r="E401" s="60"/>
      <c r="F401" s="60"/>
      <c r="G401" s="200" t="str">
        <f t="shared" si="22"/>
        <v/>
      </c>
      <c r="H401" s="192"/>
      <c r="I401" s="60"/>
      <c r="J401" s="60"/>
      <c r="K401" s="60"/>
      <c r="L401" s="200" t="str">
        <f t="shared" si="23"/>
        <v/>
      </c>
      <c r="M401" s="192"/>
      <c r="N401" s="60"/>
      <c r="O401" s="60"/>
      <c r="P401" s="60"/>
      <c r="Q401" s="200" t="str">
        <f t="shared" si="24"/>
        <v/>
      </c>
      <c r="R401" s="192"/>
      <c r="S401" s="60"/>
      <c r="T401" s="205"/>
    </row>
    <row r="402" spans="1:252" s="8" customFormat="1" ht="13.5" customHeight="1" x14ac:dyDescent="0.25">
      <c r="A402" s="214" t="s">
        <v>299</v>
      </c>
      <c r="B402" s="7" t="s">
        <v>1178</v>
      </c>
      <c r="C402" s="190"/>
      <c r="D402" s="60"/>
      <c r="E402" s="60"/>
      <c r="F402" s="60"/>
      <c r="G402" s="200" t="str">
        <f t="shared" si="22"/>
        <v/>
      </c>
      <c r="H402" s="192"/>
      <c r="I402" s="60"/>
      <c r="J402" s="60"/>
      <c r="K402" s="60"/>
      <c r="L402" s="200" t="str">
        <f t="shared" si="23"/>
        <v/>
      </c>
      <c r="M402" s="192"/>
      <c r="N402" s="60"/>
      <c r="O402" s="60"/>
      <c r="P402" s="60"/>
      <c r="Q402" s="200" t="str">
        <f t="shared" si="24"/>
        <v/>
      </c>
      <c r="R402" s="192"/>
      <c r="S402" s="60"/>
      <c r="T402" s="205"/>
    </row>
    <row r="403" spans="1:252" s="8" customFormat="1" ht="13.5" customHeight="1" x14ac:dyDescent="0.25">
      <c r="A403" s="214" t="s">
        <v>299</v>
      </c>
      <c r="B403" s="7" t="s">
        <v>1181</v>
      </c>
      <c r="C403" s="190"/>
      <c r="D403" s="60"/>
      <c r="E403" s="60"/>
      <c r="F403" s="60"/>
      <c r="G403" s="200" t="str">
        <f t="shared" si="22"/>
        <v/>
      </c>
      <c r="H403" s="192"/>
      <c r="I403" s="60"/>
      <c r="J403" s="60"/>
      <c r="K403" s="60"/>
      <c r="L403" s="200" t="str">
        <f t="shared" si="23"/>
        <v/>
      </c>
      <c r="M403" s="192"/>
      <c r="N403" s="60"/>
      <c r="O403" s="60"/>
      <c r="P403" s="60"/>
      <c r="Q403" s="200" t="str">
        <f t="shared" si="24"/>
        <v/>
      </c>
      <c r="R403" s="192"/>
      <c r="S403" s="60"/>
      <c r="T403" s="205"/>
    </row>
    <row r="404" spans="1:252" s="8" customFormat="1" ht="13.5" customHeight="1" x14ac:dyDescent="0.25">
      <c r="A404" s="214" t="s">
        <v>299</v>
      </c>
      <c r="B404" s="7" t="s">
        <v>1184</v>
      </c>
      <c r="C404" s="190"/>
      <c r="D404" s="60"/>
      <c r="E404" s="60"/>
      <c r="F404" s="60"/>
      <c r="G404" s="200" t="str">
        <f t="shared" si="22"/>
        <v/>
      </c>
      <c r="H404" s="192"/>
      <c r="I404" s="60"/>
      <c r="J404" s="60"/>
      <c r="K404" s="60"/>
      <c r="L404" s="200" t="str">
        <f t="shared" si="23"/>
        <v/>
      </c>
      <c r="M404" s="192"/>
      <c r="N404" s="60"/>
      <c r="O404" s="60"/>
      <c r="P404" s="60"/>
      <c r="Q404" s="200" t="str">
        <f t="shared" si="24"/>
        <v/>
      </c>
      <c r="R404" s="192"/>
      <c r="S404" s="60"/>
      <c r="T404" s="205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</row>
    <row r="405" spans="1:252" s="8" customFormat="1" ht="13.5" customHeight="1" x14ac:dyDescent="0.25">
      <c r="A405" s="214" t="s">
        <v>299</v>
      </c>
      <c r="B405" s="7" t="s">
        <v>1187</v>
      </c>
      <c r="C405" s="190"/>
      <c r="D405" s="60"/>
      <c r="E405" s="60"/>
      <c r="F405" s="60"/>
      <c r="G405" s="200" t="str">
        <f t="shared" si="22"/>
        <v/>
      </c>
      <c r="H405" s="192"/>
      <c r="I405" s="60"/>
      <c r="J405" s="60"/>
      <c r="K405" s="60"/>
      <c r="L405" s="200" t="str">
        <f t="shared" si="23"/>
        <v/>
      </c>
      <c r="M405" s="192"/>
      <c r="N405" s="60"/>
      <c r="O405" s="60"/>
      <c r="P405" s="60"/>
      <c r="Q405" s="200" t="str">
        <f t="shared" si="24"/>
        <v/>
      </c>
      <c r="R405" s="192"/>
      <c r="S405" s="60"/>
      <c r="T405" s="205"/>
    </row>
    <row r="406" spans="1:252" s="8" customFormat="1" ht="13.5" customHeight="1" x14ac:dyDescent="0.25">
      <c r="A406" s="214" t="s">
        <v>299</v>
      </c>
      <c r="B406" s="7" t="s">
        <v>1189</v>
      </c>
      <c r="C406" s="190"/>
      <c r="D406" s="60"/>
      <c r="E406" s="60"/>
      <c r="F406" s="60"/>
      <c r="G406" s="200" t="str">
        <f t="shared" si="22"/>
        <v/>
      </c>
      <c r="H406" s="192"/>
      <c r="I406" s="60"/>
      <c r="J406" s="60"/>
      <c r="K406" s="60"/>
      <c r="L406" s="200" t="str">
        <f t="shared" si="23"/>
        <v/>
      </c>
      <c r="M406" s="192"/>
      <c r="N406" s="60"/>
      <c r="O406" s="60"/>
      <c r="P406" s="60"/>
      <c r="Q406" s="200" t="str">
        <f t="shared" si="24"/>
        <v/>
      </c>
      <c r="R406" s="192"/>
      <c r="S406" s="60"/>
      <c r="T406" s="205"/>
    </row>
    <row r="407" spans="1:252" s="8" customFormat="1" ht="13.5" customHeight="1" x14ac:dyDescent="0.25">
      <c r="A407" s="214" t="s">
        <v>299</v>
      </c>
      <c r="B407" s="7" t="s">
        <v>1191</v>
      </c>
      <c r="C407" s="190"/>
      <c r="D407" s="60"/>
      <c r="E407" s="60"/>
      <c r="F407" s="60"/>
      <c r="G407" s="200" t="str">
        <f t="shared" si="22"/>
        <v/>
      </c>
      <c r="H407" s="192"/>
      <c r="I407" s="60"/>
      <c r="J407" s="60"/>
      <c r="K407" s="60"/>
      <c r="L407" s="200" t="str">
        <f t="shared" si="23"/>
        <v/>
      </c>
      <c r="M407" s="192"/>
      <c r="N407" s="60"/>
      <c r="O407" s="60"/>
      <c r="P407" s="60"/>
      <c r="Q407" s="200" t="str">
        <f t="shared" si="24"/>
        <v/>
      </c>
      <c r="R407" s="192"/>
      <c r="S407" s="60"/>
      <c r="T407" s="205"/>
    </row>
    <row r="408" spans="1:252" s="8" customFormat="1" ht="13.5" customHeight="1" x14ac:dyDescent="0.25">
      <c r="A408" s="214" t="s">
        <v>299</v>
      </c>
      <c r="B408" s="7" t="s">
        <v>1193</v>
      </c>
      <c r="C408" s="190"/>
      <c r="D408" s="60"/>
      <c r="E408" s="60"/>
      <c r="F408" s="60"/>
      <c r="G408" s="200" t="str">
        <f t="shared" si="22"/>
        <v/>
      </c>
      <c r="H408" s="192"/>
      <c r="I408" s="60"/>
      <c r="J408" s="60"/>
      <c r="K408" s="60"/>
      <c r="L408" s="200" t="str">
        <f t="shared" si="23"/>
        <v/>
      </c>
      <c r="M408" s="192"/>
      <c r="N408" s="60"/>
      <c r="O408" s="60"/>
      <c r="P408" s="60"/>
      <c r="Q408" s="200" t="str">
        <f t="shared" si="24"/>
        <v/>
      </c>
      <c r="R408" s="192"/>
      <c r="S408" s="60"/>
      <c r="T408" s="205"/>
    </row>
    <row r="409" spans="1:252" s="8" customFormat="1" ht="13.5" customHeight="1" x14ac:dyDescent="0.25">
      <c r="A409" s="214" t="s">
        <v>299</v>
      </c>
      <c r="B409" s="7" t="s">
        <v>1196</v>
      </c>
      <c r="C409" s="190"/>
      <c r="D409" s="60"/>
      <c r="E409" s="60"/>
      <c r="F409" s="60"/>
      <c r="G409" s="200" t="str">
        <f t="shared" si="22"/>
        <v/>
      </c>
      <c r="H409" s="192"/>
      <c r="I409" s="60"/>
      <c r="J409" s="60"/>
      <c r="K409" s="60"/>
      <c r="L409" s="200" t="str">
        <f t="shared" si="23"/>
        <v/>
      </c>
      <c r="M409" s="192"/>
      <c r="N409" s="60"/>
      <c r="O409" s="60"/>
      <c r="P409" s="60"/>
      <c r="Q409" s="200" t="str">
        <f t="shared" si="24"/>
        <v/>
      </c>
      <c r="R409" s="192"/>
      <c r="S409" s="60"/>
      <c r="T409" s="205"/>
    </row>
    <row r="410" spans="1:252" s="8" customFormat="1" ht="13.5" customHeight="1" x14ac:dyDescent="0.25">
      <c r="A410" s="214" t="s">
        <v>299</v>
      </c>
      <c r="B410" s="7" t="s">
        <v>1198</v>
      </c>
      <c r="C410" s="190"/>
      <c r="D410" s="60"/>
      <c r="E410" s="60"/>
      <c r="F410" s="60"/>
      <c r="G410" s="200" t="str">
        <f t="shared" si="22"/>
        <v/>
      </c>
      <c r="H410" s="192"/>
      <c r="I410" s="60"/>
      <c r="J410" s="60"/>
      <c r="K410" s="60"/>
      <c r="L410" s="200" t="str">
        <f t="shared" si="23"/>
        <v/>
      </c>
      <c r="M410" s="192"/>
      <c r="N410" s="60"/>
      <c r="O410" s="60"/>
      <c r="P410" s="60"/>
      <c r="Q410" s="200" t="str">
        <f t="shared" si="24"/>
        <v/>
      </c>
      <c r="R410" s="192"/>
      <c r="S410" s="60"/>
      <c r="T410" s="205"/>
    </row>
    <row r="411" spans="1:252" s="8" customFormat="1" ht="13.5" customHeight="1" x14ac:dyDescent="0.25">
      <c r="A411" s="214" t="s">
        <v>299</v>
      </c>
      <c r="B411" s="7" t="s">
        <v>1201</v>
      </c>
      <c r="C411" s="190"/>
      <c r="D411" s="60"/>
      <c r="E411" s="60"/>
      <c r="F411" s="60"/>
      <c r="G411" s="200" t="str">
        <f t="shared" si="22"/>
        <v/>
      </c>
      <c r="H411" s="192"/>
      <c r="I411" s="60"/>
      <c r="J411" s="60"/>
      <c r="K411" s="60"/>
      <c r="L411" s="200" t="str">
        <f t="shared" si="23"/>
        <v/>
      </c>
      <c r="M411" s="192"/>
      <c r="N411" s="60"/>
      <c r="O411" s="60"/>
      <c r="P411" s="60"/>
      <c r="Q411" s="200" t="str">
        <f t="shared" si="24"/>
        <v/>
      </c>
      <c r="R411" s="192"/>
      <c r="S411" s="60"/>
      <c r="T411" s="205"/>
    </row>
    <row r="412" spans="1:252" s="8" customFormat="1" ht="13.5" customHeight="1" x14ac:dyDescent="0.25">
      <c r="A412" s="214" t="s">
        <v>299</v>
      </c>
      <c r="B412" s="7" t="s">
        <v>1204</v>
      </c>
      <c r="C412" s="190"/>
      <c r="D412" s="60"/>
      <c r="E412" s="60"/>
      <c r="F412" s="60"/>
      <c r="G412" s="200" t="str">
        <f t="shared" si="22"/>
        <v/>
      </c>
      <c r="H412" s="192"/>
      <c r="I412" s="60"/>
      <c r="J412" s="60"/>
      <c r="K412" s="60"/>
      <c r="L412" s="200" t="str">
        <f t="shared" si="23"/>
        <v/>
      </c>
      <c r="M412" s="192"/>
      <c r="N412" s="60"/>
      <c r="O412" s="60"/>
      <c r="P412" s="60"/>
      <c r="Q412" s="200" t="str">
        <f t="shared" si="24"/>
        <v/>
      </c>
      <c r="R412" s="192"/>
      <c r="S412" s="60"/>
      <c r="T412" s="205"/>
    </row>
    <row r="413" spans="1:252" s="8" customFormat="1" ht="13.5" customHeight="1" x14ac:dyDescent="0.25">
      <c r="A413" s="214" t="s">
        <v>299</v>
      </c>
      <c r="B413" s="7" t="s">
        <v>1206</v>
      </c>
      <c r="C413" s="190"/>
      <c r="D413" s="60"/>
      <c r="E413" s="60"/>
      <c r="F413" s="60"/>
      <c r="G413" s="200" t="str">
        <f t="shared" si="22"/>
        <v/>
      </c>
      <c r="H413" s="192"/>
      <c r="I413" s="60"/>
      <c r="J413" s="60"/>
      <c r="K413" s="60"/>
      <c r="L413" s="200" t="str">
        <f t="shared" si="23"/>
        <v/>
      </c>
      <c r="M413" s="192"/>
      <c r="N413" s="60"/>
      <c r="O413" s="60"/>
      <c r="P413" s="60"/>
      <c r="Q413" s="200" t="str">
        <f t="shared" si="24"/>
        <v/>
      </c>
      <c r="R413" s="192"/>
      <c r="S413" s="60"/>
      <c r="T413" s="205"/>
    </row>
    <row r="414" spans="1:252" s="8" customFormat="1" ht="13.5" customHeight="1" x14ac:dyDescent="0.25">
      <c r="A414" s="214" t="s">
        <v>299</v>
      </c>
      <c r="B414" s="7" t="s">
        <v>1208</v>
      </c>
      <c r="C414" s="190"/>
      <c r="D414" s="60"/>
      <c r="E414" s="60"/>
      <c r="F414" s="60"/>
      <c r="G414" s="200" t="str">
        <f t="shared" si="22"/>
        <v/>
      </c>
      <c r="H414" s="192"/>
      <c r="I414" s="60"/>
      <c r="J414" s="60"/>
      <c r="K414" s="60"/>
      <c r="L414" s="200" t="str">
        <f t="shared" si="23"/>
        <v/>
      </c>
      <c r="M414" s="192"/>
      <c r="N414" s="60"/>
      <c r="O414" s="60"/>
      <c r="P414" s="60"/>
      <c r="Q414" s="200" t="str">
        <f t="shared" si="24"/>
        <v/>
      </c>
      <c r="R414" s="192"/>
      <c r="S414" s="60"/>
      <c r="T414" s="205"/>
    </row>
    <row r="415" spans="1:252" s="8" customFormat="1" ht="13.5" customHeight="1" x14ac:dyDescent="0.25">
      <c r="A415" s="214" t="s">
        <v>299</v>
      </c>
      <c r="B415" s="7" t="s">
        <v>1210</v>
      </c>
      <c r="C415" s="190"/>
      <c r="D415" s="60"/>
      <c r="E415" s="60"/>
      <c r="F415" s="60"/>
      <c r="G415" s="200" t="str">
        <f t="shared" si="22"/>
        <v/>
      </c>
      <c r="H415" s="192"/>
      <c r="I415" s="60"/>
      <c r="J415" s="60"/>
      <c r="K415" s="60"/>
      <c r="L415" s="200" t="str">
        <f t="shared" si="23"/>
        <v/>
      </c>
      <c r="M415" s="192"/>
      <c r="N415" s="60"/>
      <c r="O415" s="60"/>
      <c r="P415" s="60"/>
      <c r="Q415" s="200" t="str">
        <f t="shared" si="24"/>
        <v/>
      </c>
      <c r="R415" s="192"/>
      <c r="S415" s="60"/>
      <c r="T415" s="205"/>
    </row>
    <row r="416" spans="1:252" s="8" customFormat="1" ht="13.5" customHeight="1" x14ac:dyDescent="0.25">
      <c r="A416" s="214" t="s">
        <v>299</v>
      </c>
      <c r="B416" s="7" t="s">
        <v>1212</v>
      </c>
      <c r="C416" s="190"/>
      <c r="D416" s="60"/>
      <c r="E416" s="60"/>
      <c r="F416" s="60"/>
      <c r="G416" s="200" t="str">
        <f t="shared" si="22"/>
        <v/>
      </c>
      <c r="H416" s="192"/>
      <c r="I416" s="60"/>
      <c r="J416" s="60"/>
      <c r="K416" s="60"/>
      <c r="L416" s="200" t="str">
        <f t="shared" si="23"/>
        <v/>
      </c>
      <c r="M416" s="192"/>
      <c r="N416" s="60"/>
      <c r="O416" s="60"/>
      <c r="P416" s="60"/>
      <c r="Q416" s="200" t="str">
        <f t="shared" si="24"/>
        <v/>
      </c>
      <c r="R416" s="192"/>
      <c r="S416" s="60"/>
      <c r="T416" s="205"/>
    </row>
    <row r="417" spans="1:20" s="8" customFormat="1" ht="13.5" customHeight="1" x14ac:dyDescent="0.25">
      <c r="A417" s="214" t="s">
        <v>299</v>
      </c>
      <c r="B417" s="7" t="s">
        <v>1215</v>
      </c>
      <c r="C417" s="190"/>
      <c r="D417" s="60"/>
      <c r="E417" s="60"/>
      <c r="F417" s="60"/>
      <c r="G417" s="200" t="str">
        <f t="shared" si="22"/>
        <v/>
      </c>
      <c r="H417" s="192"/>
      <c r="I417" s="60"/>
      <c r="J417" s="60"/>
      <c r="K417" s="60"/>
      <c r="L417" s="200" t="str">
        <f t="shared" si="23"/>
        <v/>
      </c>
      <c r="M417" s="192"/>
      <c r="N417" s="60"/>
      <c r="O417" s="60"/>
      <c r="P417" s="60"/>
      <c r="Q417" s="200" t="str">
        <f t="shared" si="24"/>
        <v/>
      </c>
      <c r="R417" s="192"/>
      <c r="S417" s="60"/>
      <c r="T417" s="205"/>
    </row>
    <row r="418" spans="1:20" s="8" customFormat="1" ht="13.5" customHeight="1" x14ac:dyDescent="0.25">
      <c r="A418" s="214" t="s">
        <v>299</v>
      </c>
      <c r="B418" s="7" t="s">
        <v>201</v>
      </c>
      <c r="C418" s="190" t="s">
        <v>310</v>
      </c>
      <c r="D418" s="191">
        <v>2</v>
      </c>
      <c r="E418" s="191"/>
      <c r="F418" s="191"/>
      <c r="G418" s="200" t="str">
        <f t="shared" si="22"/>
        <v/>
      </c>
      <c r="H418" s="190"/>
      <c r="I418" s="191"/>
      <c r="J418" s="191"/>
      <c r="K418" s="191"/>
      <c r="L418" s="200" t="str">
        <f t="shared" si="23"/>
        <v/>
      </c>
      <c r="M418" s="190"/>
      <c r="N418" s="191"/>
      <c r="O418" s="191"/>
      <c r="P418" s="191"/>
      <c r="Q418" s="200" t="str">
        <f t="shared" si="24"/>
        <v/>
      </c>
      <c r="R418" s="190"/>
      <c r="S418" s="191"/>
      <c r="T418" s="200"/>
    </row>
    <row r="419" spans="1:20" s="8" customFormat="1" ht="13.5" customHeight="1" x14ac:dyDescent="0.25">
      <c r="A419" s="214" t="s">
        <v>299</v>
      </c>
      <c r="B419" s="7" t="s">
        <v>1218</v>
      </c>
      <c r="C419" s="190"/>
      <c r="D419" s="60"/>
      <c r="E419" s="60"/>
      <c r="F419" s="60"/>
      <c r="G419" s="200" t="str">
        <f t="shared" si="22"/>
        <v/>
      </c>
      <c r="H419" s="192"/>
      <c r="I419" s="60"/>
      <c r="J419" s="60"/>
      <c r="K419" s="60"/>
      <c r="L419" s="200" t="str">
        <f t="shared" si="23"/>
        <v/>
      </c>
      <c r="M419" s="192"/>
      <c r="N419" s="60"/>
      <c r="O419" s="60"/>
      <c r="P419" s="60"/>
      <c r="Q419" s="200" t="str">
        <f t="shared" si="24"/>
        <v/>
      </c>
      <c r="R419" s="192"/>
      <c r="S419" s="60"/>
      <c r="T419" s="205"/>
    </row>
    <row r="420" spans="1:20" s="8" customFormat="1" ht="13.5" customHeight="1" x14ac:dyDescent="0.25">
      <c r="A420" s="214" t="s">
        <v>299</v>
      </c>
      <c r="B420" s="7" t="s">
        <v>1221</v>
      </c>
      <c r="C420" s="190"/>
      <c r="D420" s="60"/>
      <c r="E420" s="60"/>
      <c r="F420" s="60"/>
      <c r="G420" s="200" t="str">
        <f t="shared" si="22"/>
        <v/>
      </c>
      <c r="H420" s="192"/>
      <c r="I420" s="60"/>
      <c r="J420" s="60"/>
      <c r="K420" s="60"/>
      <c r="L420" s="200" t="str">
        <f t="shared" si="23"/>
        <v/>
      </c>
      <c r="M420" s="192"/>
      <c r="N420" s="60"/>
      <c r="O420" s="60"/>
      <c r="P420" s="60"/>
      <c r="Q420" s="200" t="str">
        <f t="shared" si="24"/>
        <v/>
      </c>
      <c r="R420" s="192"/>
      <c r="S420" s="60"/>
      <c r="T420" s="205"/>
    </row>
    <row r="421" spans="1:20" s="8" customFormat="1" ht="13.5" customHeight="1" x14ac:dyDescent="0.25">
      <c r="A421" s="214" t="s">
        <v>299</v>
      </c>
      <c r="B421" s="7" t="s">
        <v>1224</v>
      </c>
      <c r="C421" s="190" t="s">
        <v>310</v>
      </c>
      <c r="D421" s="191">
        <v>2</v>
      </c>
      <c r="E421" s="191">
        <v>1</v>
      </c>
      <c r="F421" s="191"/>
      <c r="G421" s="200" t="str">
        <f t="shared" si="22"/>
        <v/>
      </c>
      <c r="H421" s="190"/>
      <c r="I421" s="191"/>
      <c r="J421" s="191"/>
      <c r="K421" s="191"/>
      <c r="L421" s="200" t="str">
        <f t="shared" si="23"/>
        <v/>
      </c>
      <c r="M421" s="190"/>
      <c r="N421" s="191"/>
      <c r="O421" s="191"/>
      <c r="P421" s="191"/>
      <c r="Q421" s="200" t="str">
        <f t="shared" si="24"/>
        <v/>
      </c>
      <c r="R421" s="190"/>
      <c r="S421" s="191"/>
      <c r="T421" s="200"/>
    </row>
    <row r="422" spans="1:20" s="8" customFormat="1" ht="13.5" customHeight="1" x14ac:dyDescent="0.25">
      <c r="A422" s="214" t="s">
        <v>299</v>
      </c>
      <c r="B422" s="7" t="s">
        <v>1226</v>
      </c>
      <c r="C422" s="190"/>
      <c r="D422" s="60"/>
      <c r="E422" s="60"/>
      <c r="F422" s="60"/>
      <c r="G422" s="200" t="str">
        <f t="shared" si="22"/>
        <v/>
      </c>
      <c r="H422" s="192"/>
      <c r="I422" s="60"/>
      <c r="J422" s="60"/>
      <c r="K422" s="60"/>
      <c r="L422" s="200" t="str">
        <f t="shared" si="23"/>
        <v/>
      </c>
      <c r="M422" s="192"/>
      <c r="N422" s="60"/>
      <c r="O422" s="60"/>
      <c r="P422" s="60"/>
      <c r="Q422" s="200" t="str">
        <f t="shared" si="24"/>
        <v/>
      </c>
      <c r="R422" s="192"/>
      <c r="S422" s="60"/>
      <c r="T422" s="205"/>
    </row>
    <row r="423" spans="1:20" s="8" customFormat="1" ht="13.5" customHeight="1" x14ac:dyDescent="0.25">
      <c r="A423" s="214" t="s">
        <v>299</v>
      </c>
      <c r="B423" s="7" t="s">
        <v>1229</v>
      </c>
      <c r="C423" s="190"/>
      <c r="D423" s="60"/>
      <c r="E423" s="60"/>
      <c r="F423" s="60"/>
      <c r="G423" s="200" t="str">
        <f t="shared" si="22"/>
        <v/>
      </c>
      <c r="H423" s="192"/>
      <c r="I423" s="60"/>
      <c r="J423" s="60"/>
      <c r="K423" s="60"/>
      <c r="L423" s="200" t="str">
        <f t="shared" si="23"/>
        <v/>
      </c>
      <c r="M423" s="192"/>
      <c r="N423" s="60"/>
      <c r="O423" s="60"/>
      <c r="P423" s="60"/>
      <c r="Q423" s="200" t="str">
        <f t="shared" si="24"/>
        <v/>
      </c>
      <c r="R423" s="192"/>
      <c r="S423" s="60"/>
      <c r="T423" s="205"/>
    </row>
    <row r="424" spans="1:20" s="8" customFormat="1" ht="13.5" customHeight="1" x14ac:dyDescent="0.25">
      <c r="A424" s="214" t="s">
        <v>299</v>
      </c>
      <c r="B424" s="7" t="s">
        <v>1232</v>
      </c>
      <c r="C424" s="190"/>
      <c r="D424" s="60"/>
      <c r="E424" s="60"/>
      <c r="F424" s="60"/>
      <c r="G424" s="200" t="str">
        <f t="shared" si="22"/>
        <v/>
      </c>
      <c r="H424" s="192"/>
      <c r="I424" s="60"/>
      <c r="J424" s="60"/>
      <c r="K424" s="60"/>
      <c r="L424" s="200" t="str">
        <f t="shared" si="23"/>
        <v/>
      </c>
      <c r="M424" s="192"/>
      <c r="N424" s="60"/>
      <c r="O424" s="60"/>
      <c r="P424" s="60"/>
      <c r="Q424" s="200" t="str">
        <f t="shared" si="24"/>
        <v/>
      </c>
      <c r="R424" s="192"/>
      <c r="S424" s="60"/>
      <c r="T424" s="205"/>
    </row>
    <row r="425" spans="1:20" s="8" customFormat="1" ht="13.5" customHeight="1" x14ac:dyDescent="0.25">
      <c r="A425" s="214" t="s">
        <v>299</v>
      </c>
      <c r="B425" s="7" t="s">
        <v>1234</v>
      </c>
      <c r="C425" s="190"/>
      <c r="D425" s="60"/>
      <c r="E425" s="60"/>
      <c r="F425" s="60"/>
      <c r="G425" s="200" t="str">
        <f t="shared" si="22"/>
        <v/>
      </c>
      <c r="H425" s="192"/>
      <c r="I425" s="60"/>
      <c r="J425" s="60"/>
      <c r="K425" s="60"/>
      <c r="L425" s="200" t="str">
        <f t="shared" si="23"/>
        <v/>
      </c>
      <c r="M425" s="192"/>
      <c r="N425" s="60"/>
      <c r="O425" s="60"/>
      <c r="P425" s="60"/>
      <c r="Q425" s="200" t="str">
        <f t="shared" si="24"/>
        <v/>
      </c>
      <c r="R425" s="192"/>
      <c r="S425" s="60"/>
      <c r="T425" s="205"/>
    </row>
    <row r="426" spans="1:20" s="8" customFormat="1" ht="13.5" customHeight="1" x14ac:dyDescent="0.25">
      <c r="A426" s="214" t="s">
        <v>299</v>
      </c>
      <c r="B426" s="7" t="s">
        <v>1237</v>
      </c>
      <c r="C426" s="190"/>
      <c r="D426" s="60"/>
      <c r="E426" s="60"/>
      <c r="F426" s="60"/>
      <c r="G426" s="200" t="str">
        <f t="shared" si="22"/>
        <v/>
      </c>
      <c r="H426" s="192"/>
      <c r="I426" s="60"/>
      <c r="J426" s="60"/>
      <c r="K426" s="60"/>
      <c r="L426" s="200" t="str">
        <f t="shared" si="23"/>
        <v/>
      </c>
      <c r="M426" s="192"/>
      <c r="N426" s="60"/>
      <c r="O426" s="60"/>
      <c r="P426" s="60"/>
      <c r="Q426" s="200" t="str">
        <f t="shared" si="24"/>
        <v/>
      </c>
      <c r="R426" s="192"/>
      <c r="S426" s="60"/>
      <c r="T426" s="205"/>
    </row>
    <row r="427" spans="1:20" s="8" customFormat="1" ht="13.5" customHeight="1" x14ac:dyDescent="0.25">
      <c r="A427" s="214" t="s">
        <v>299</v>
      </c>
      <c r="B427" s="7" t="s">
        <v>1239</v>
      </c>
      <c r="C427" s="190"/>
      <c r="D427" s="60"/>
      <c r="E427" s="60"/>
      <c r="F427" s="60"/>
      <c r="G427" s="200" t="str">
        <f t="shared" si="22"/>
        <v/>
      </c>
      <c r="H427" s="192"/>
      <c r="I427" s="60"/>
      <c r="J427" s="60"/>
      <c r="K427" s="60"/>
      <c r="L427" s="200" t="str">
        <f t="shared" si="23"/>
        <v/>
      </c>
      <c r="M427" s="192"/>
      <c r="N427" s="60"/>
      <c r="O427" s="60"/>
      <c r="P427" s="60"/>
      <c r="Q427" s="200" t="str">
        <f t="shared" si="24"/>
        <v/>
      </c>
      <c r="R427" s="192"/>
      <c r="S427" s="60"/>
      <c r="T427" s="205"/>
    </row>
    <row r="428" spans="1:20" s="8" customFormat="1" ht="14.25" customHeight="1" x14ac:dyDescent="0.25">
      <c r="A428" s="214" t="s">
        <v>299</v>
      </c>
      <c r="B428" s="7" t="s">
        <v>1242</v>
      </c>
      <c r="C428" s="190"/>
      <c r="D428" s="60"/>
      <c r="E428" s="60"/>
      <c r="F428" s="60"/>
      <c r="G428" s="200" t="str">
        <f t="shared" si="22"/>
        <v/>
      </c>
      <c r="H428" s="192"/>
      <c r="I428" s="60"/>
      <c r="J428" s="60"/>
      <c r="K428" s="60"/>
      <c r="L428" s="200" t="str">
        <f t="shared" si="23"/>
        <v/>
      </c>
      <c r="M428" s="192"/>
      <c r="N428" s="60"/>
      <c r="O428" s="60"/>
      <c r="P428" s="60"/>
      <c r="Q428" s="200" t="str">
        <f t="shared" si="24"/>
        <v/>
      </c>
      <c r="R428" s="192"/>
      <c r="S428" s="60"/>
      <c r="T428" s="205"/>
    </row>
    <row r="429" spans="1:20" s="8" customFormat="1" ht="14.25" customHeight="1" x14ac:dyDescent="0.25">
      <c r="A429" s="214" t="s">
        <v>299</v>
      </c>
      <c r="B429" s="7" t="s">
        <v>1823</v>
      </c>
      <c r="C429" s="190" t="s">
        <v>310</v>
      </c>
      <c r="D429" s="60">
        <v>1</v>
      </c>
      <c r="E429" s="60"/>
      <c r="F429" s="60"/>
      <c r="G429" s="200" t="str">
        <f t="shared" ref="G429" si="25">IF(F429=1,"New","")</f>
        <v/>
      </c>
      <c r="H429" s="192"/>
      <c r="I429" s="60"/>
      <c r="J429" s="60"/>
      <c r="K429" s="60"/>
      <c r="L429" s="200"/>
      <c r="M429" s="192"/>
      <c r="N429" s="60"/>
      <c r="O429" s="60"/>
      <c r="P429" s="60"/>
      <c r="Q429" s="200"/>
      <c r="R429" s="192"/>
      <c r="S429" s="60"/>
      <c r="T429" s="205"/>
    </row>
    <row r="430" spans="1:20" s="8" customFormat="1" ht="13.5" customHeight="1" x14ac:dyDescent="0.25">
      <c r="A430" s="214" t="s">
        <v>299</v>
      </c>
      <c r="B430" s="7" t="s">
        <v>1245</v>
      </c>
      <c r="C430" s="190"/>
      <c r="D430" s="60"/>
      <c r="E430" s="60"/>
      <c r="F430" s="60"/>
      <c r="G430" s="200" t="str">
        <f t="shared" si="22"/>
        <v/>
      </c>
      <c r="H430" s="192"/>
      <c r="I430" s="60"/>
      <c r="J430" s="60"/>
      <c r="K430" s="60"/>
      <c r="L430" s="200" t="str">
        <f t="shared" si="23"/>
        <v/>
      </c>
      <c r="M430" s="192"/>
      <c r="N430" s="60"/>
      <c r="O430" s="60"/>
      <c r="P430" s="60"/>
      <c r="Q430" s="200" t="str">
        <f t="shared" si="24"/>
        <v/>
      </c>
      <c r="R430" s="192"/>
      <c r="S430" s="60"/>
      <c r="T430" s="205"/>
    </row>
    <row r="431" spans="1:20" s="8" customFormat="1" ht="13.5" customHeight="1" x14ac:dyDescent="0.25">
      <c r="A431" s="214" t="s">
        <v>299</v>
      </c>
      <c r="B431" s="7" t="s">
        <v>1248</v>
      </c>
      <c r="C431" s="190"/>
      <c r="D431" s="60"/>
      <c r="E431" s="60"/>
      <c r="F431" s="60"/>
      <c r="G431" s="200" t="str">
        <f t="shared" si="22"/>
        <v/>
      </c>
      <c r="H431" s="192"/>
      <c r="I431" s="60"/>
      <c r="J431" s="60"/>
      <c r="K431" s="60"/>
      <c r="L431" s="200" t="str">
        <f t="shared" si="23"/>
        <v/>
      </c>
      <c r="M431" s="192"/>
      <c r="N431" s="60"/>
      <c r="O431" s="60"/>
      <c r="P431" s="60"/>
      <c r="Q431" s="200" t="str">
        <f t="shared" si="24"/>
        <v/>
      </c>
      <c r="R431" s="192"/>
      <c r="S431" s="60"/>
      <c r="T431" s="205"/>
    </row>
    <row r="432" spans="1:20" s="8" customFormat="1" ht="13.5" customHeight="1" x14ac:dyDescent="0.25">
      <c r="A432" s="214" t="s">
        <v>299</v>
      </c>
      <c r="B432" s="7" t="s">
        <v>1251</v>
      </c>
      <c r="C432" s="190"/>
      <c r="D432" s="60"/>
      <c r="E432" s="60"/>
      <c r="F432" s="60"/>
      <c r="G432" s="200" t="str">
        <f t="shared" si="22"/>
        <v/>
      </c>
      <c r="H432" s="192"/>
      <c r="I432" s="60"/>
      <c r="J432" s="60"/>
      <c r="K432" s="60"/>
      <c r="L432" s="200" t="str">
        <f t="shared" si="23"/>
        <v/>
      </c>
      <c r="M432" s="192"/>
      <c r="N432" s="60"/>
      <c r="O432" s="60"/>
      <c r="P432" s="60"/>
      <c r="Q432" s="200" t="str">
        <f t="shared" si="24"/>
        <v/>
      </c>
      <c r="R432" s="192"/>
      <c r="S432" s="60"/>
      <c r="T432" s="205"/>
    </row>
    <row r="433" spans="1:252" s="9" customFormat="1" ht="13.5" customHeight="1" x14ac:dyDescent="0.25">
      <c r="A433" s="214" t="s">
        <v>299</v>
      </c>
      <c r="B433" s="7" t="s">
        <v>1254</v>
      </c>
      <c r="C433" s="190"/>
      <c r="D433" s="60"/>
      <c r="E433" s="60"/>
      <c r="F433" s="60"/>
      <c r="G433" s="200" t="str">
        <f t="shared" si="22"/>
        <v/>
      </c>
      <c r="H433" s="192"/>
      <c r="I433" s="60"/>
      <c r="J433" s="60"/>
      <c r="K433" s="60"/>
      <c r="L433" s="200" t="str">
        <f t="shared" si="23"/>
        <v/>
      </c>
      <c r="M433" s="192"/>
      <c r="N433" s="60"/>
      <c r="O433" s="60"/>
      <c r="P433" s="60"/>
      <c r="Q433" s="200" t="str">
        <f t="shared" si="24"/>
        <v/>
      </c>
      <c r="R433" s="192"/>
      <c r="S433" s="60"/>
      <c r="T433" s="205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  <c r="HE433" s="8"/>
      <c r="HF433" s="8"/>
      <c r="HG433" s="8"/>
      <c r="HH433" s="8"/>
      <c r="HI433" s="8"/>
      <c r="HJ433" s="8"/>
      <c r="HK433" s="8"/>
      <c r="HL433" s="8"/>
      <c r="HM433" s="8"/>
      <c r="HN433" s="8"/>
      <c r="HO433" s="8"/>
      <c r="HP433" s="8"/>
      <c r="HQ433" s="8"/>
      <c r="HR433" s="8"/>
      <c r="HS433" s="8"/>
      <c r="HT433" s="8"/>
      <c r="HU433" s="8"/>
      <c r="HV433" s="8"/>
      <c r="HW433" s="8"/>
      <c r="HX433" s="8"/>
      <c r="HY433" s="8"/>
      <c r="HZ433" s="8"/>
      <c r="IA433" s="8"/>
      <c r="IB433" s="8"/>
      <c r="IC433" s="8"/>
      <c r="ID433" s="8"/>
      <c r="IE433" s="8"/>
      <c r="IF433" s="8"/>
      <c r="IG433" s="8"/>
      <c r="IH433" s="8"/>
      <c r="II433" s="8"/>
      <c r="IJ433" s="8"/>
      <c r="IK433" s="8"/>
      <c r="IL433" s="8"/>
      <c r="IM433" s="8"/>
      <c r="IN433" s="8"/>
      <c r="IO433" s="8"/>
      <c r="IP433" s="8"/>
      <c r="IQ433" s="8"/>
      <c r="IR433" s="8"/>
    </row>
    <row r="434" spans="1:252" s="8" customFormat="1" ht="13.5" customHeight="1" x14ac:dyDescent="0.25">
      <c r="A434" s="214" t="s">
        <v>299</v>
      </c>
      <c r="B434" s="7" t="s">
        <v>1257</v>
      </c>
      <c r="C434" s="190"/>
      <c r="D434" s="60"/>
      <c r="E434" s="60"/>
      <c r="F434" s="60"/>
      <c r="G434" s="200" t="str">
        <f t="shared" si="22"/>
        <v/>
      </c>
      <c r="H434" s="192"/>
      <c r="I434" s="60"/>
      <c r="J434" s="60"/>
      <c r="K434" s="60"/>
      <c r="L434" s="200" t="str">
        <f t="shared" si="23"/>
        <v/>
      </c>
      <c r="M434" s="192"/>
      <c r="N434" s="60"/>
      <c r="O434" s="60"/>
      <c r="P434" s="60"/>
      <c r="Q434" s="200" t="str">
        <f t="shared" si="24"/>
        <v/>
      </c>
      <c r="R434" s="192"/>
      <c r="S434" s="60"/>
      <c r="T434" s="205"/>
    </row>
    <row r="435" spans="1:252" s="8" customFormat="1" ht="13.5" customHeight="1" x14ac:dyDescent="0.25">
      <c r="A435" s="214" t="s">
        <v>299</v>
      </c>
      <c r="B435" s="7" t="s">
        <v>1260</v>
      </c>
      <c r="C435" s="190"/>
      <c r="D435" s="60"/>
      <c r="E435" s="60"/>
      <c r="F435" s="60"/>
      <c r="G435" s="200" t="str">
        <f t="shared" si="22"/>
        <v/>
      </c>
      <c r="H435" s="192"/>
      <c r="I435" s="60"/>
      <c r="J435" s="60"/>
      <c r="K435" s="60"/>
      <c r="L435" s="200" t="str">
        <f t="shared" si="23"/>
        <v/>
      </c>
      <c r="M435" s="192"/>
      <c r="N435" s="60"/>
      <c r="O435" s="60"/>
      <c r="P435" s="60"/>
      <c r="Q435" s="200" t="str">
        <f t="shared" si="24"/>
        <v/>
      </c>
      <c r="R435" s="192"/>
      <c r="S435" s="60"/>
      <c r="T435" s="205"/>
    </row>
    <row r="436" spans="1:252" s="8" customFormat="1" ht="13.5" customHeight="1" x14ac:dyDescent="0.25">
      <c r="A436" s="214" t="s">
        <v>299</v>
      </c>
      <c r="B436" s="7" t="s">
        <v>286</v>
      </c>
      <c r="C436" s="190" t="s">
        <v>310</v>
      </c>
      <c r="D436" s="191">
        <v>1</v>
      </c>
      <c r="E436" s="191"/>
      <c r="F436" s="191"/>
      <c r="G436" s="200" t="str">
        <f t="shared" si="22"/>
        <v/>
      </c>
      <c r="H436" s="190"/>
      <c r="I436" s="191"/>
      <c r="J436" s="191"/>
      <c r="K436" s="191"/>
      <c r="L436" s="200" t="str">
        <f t="shared" si="23"/>
        <v/>
      </c>
      <c r="M436" s="190" t="s">
        <v>1770</v>
      </c>
      <c r="N436" s="191">
        <v>1</v>
      </c>
      <c r="O436" s="191"/>
      <c r="P436" s="191"/>
      <c r="Q436" s="200" t="str">
        <f t="shared" si="24"/>
        <v/>
      </c>
      <c r="R436" s="190"/>
      <c r="S436" s="191"/>
      <c r="T436" s="200"/>
    </row>
    <row r="437" spans="1:252" s="8" customFormat="1" ht="13.5" customHeight="1" x14ac:dyDescent="0.25">
      <c r="A437" s="214" t="s">
        <v>299</v>
      </c>
      <c r="B437" s="7" t="s">
        <v>1263</v>
      </c>
      <c r="C437" s="190"/>
      <c r="D437" s="60"/>
      <c r="E437" s="60"/>
      <c r="F437" s="60"/>
      <c r="G437" s="200" t="str">
        <f t="shared" si="22"/>
        <v/>
      </c>
      <c r="H437" s="192"/>
      <c r="I437" s="60"/>
      <c r="J437" s="60"/>
      <c r="K437" s="60"/>
      <c r="L437" s="200" t="str">
        <f t="shared" si="23"/>
        <v/>
      </c>
      <c r="M437" s="192"/>
      <c r="N437" s="60"/>
      <c r="O437" s="60"/>
      <c r="P437" s="60"/>
      <c r="Q437" s="200" t="str">
        <f t="shared" si="24"/>
        <v/>
      </c>
      <c r="R437" s="192"/>
      <c r="S437" s="60"/>
      <c r="T437" s="205"/>
    </row>
    <row r="438" spans="1:252" s="8" customFormat="1" ht="13.5" customHeight="1" x14ac:dyDescent="0.25">
      <c r="A438" s="214" t="s">
        <v>299</v>
      </c>
      <c r="B438" s="7" t="s">
        <v>1805</v>
      </c>
      <c r="C438" s="190" t="s">
        <v>310</v>
      </c>
      <c r="D438" s="60">
        <v>1</v>
      </c>
      <c r="E438" s="60"/>
      <c r="F438" s="60"/>
      <c r="G438" s="200" t="str">
        <f t="shared" si="22"/>
        <v/>
      </c>
      <c r="H438" s="192"/>
      <c r="I438" s="60"/>
      <c r="J438" s="60"/>
      <c r="K438" s="60"/>
      <c r="L438" s="200"/>
      <c r="M438" s="192"/>
      <c r="N438" s="60"/>
      <c r="O438" s="60"/>
      <c r="P438" s="60"/>
      <c r="Q438" s="200"/>
      <c r="R438" s="192"/>
      <c r="S438" s="60"/>
      <c r="T438" s="205"/>
    </row>
    <row r="439" spans="1:252" s="8" customFormat="1" ht="13.5" customHeight="1" x14ac:dyDescent="0.25">
      <c r="A439" s="214" t="s">
        <v>299</v>
      </c>
      <c r="B439" s="7" t="s">
        <v>197</v>
      </c>
      <c r="C439" s="190"/>
      <c r="D439" s="60"/>
      <c r="E439" s="60"/>
      <c r="F439" s="60"/>
      <c r="G439" s="200" t="str">
        <f t="shared" si="22"/>
        <v/>
      </c>
      <c r="H439" s="192"/>
      <c r="I439" s="60"/>
      <c r="J439" s="60"/>
      <c r="K439" s="60"/>
      <c r="L439" s="200" t="str">
        <f t="shared" si="23"/>
        <v/>
      </c>
      <c r="M439" s="192"/>
      <c r="N439" s="60"/>
      <c r="O439" s="60"/>
      <c r="P439" s="60"/>
      <c r="Q439" s="200" t="str">
        <f t="shared" si="24"/>
        <v/>
      </c>
      <c r="R439" s="192"/>
      <c r="S439" s="60"/>
      <c r="T439" s="205"/>
    </row>
    <row r="440" spans="1:252" s="8" customFormat="1" ht="13.5" customHeight="1" x14ac:dyDescent="0.25">
      <c r="A440" s="214" t="s">
        <v>299</v>
      </c>
      <c r="B440" s="7" t="s">
        <v>1265</v>
      </c>
      <c r="C440" s="190"/>
      <c r="D440" s="60"/>
      <c r="E440" s="60"/>
      <c r="F440" s="60"/>
      <c r="G440" s="200" t="str">
        <f t="shared" si="22"/>
        <v/>
      </c>
      <c r="H440" s="192"/>
      <c r="I440" s="60"/>
      <c r="J440" s="60"/>
      <c r="K440" s="60"/>
      <c r="L440" s="200" t="str">
        <f t="shared" si="23"/>
        <v/>
      </c>
      <c r="M440" s="192"/>
      <c r="N440" s="60"/>
      <c r="O440" s="60"/>
      <c r="P440" s="60"/>
      <c r="Q440" s="200" t="str">
        <f t="shared" si="24"/>
        <v/>
      </c>
      <c r="R440" s="192"/>
      <c r="S440" s="60"/>
      <c r="T440" s="205"/>
    </row>
    <row r="441" spans="1:252" s="8" customFormat="1" ht="13.5" customHeight="1" x14ac:dyDescent="0.25">
      <c r="A441" s="214" t="s">
        <v>299</v>
      </c>
      <c r="B441" s="7" t="s">
        <v>1267</v>
      </c>
      <c r="C441" s="190"/>
      <c r="D441" s="60"/>
      <c r="E441" s="60"/>
      <c r="F441" s="60"/>
      <c r="G441" s="200" t="str">
        <f t="shared" si="22"/>
        <v/>
      </c>
      <c r="H441" s="192"/>
      <c r="I441" s="60"/>
      <c r="J441" s="60"/>
      <c r="K441" s="60"/>
      <c r="L441" s="200" t="str">
        <f t="shared" si="23"/>
        <v/>
      </c>
      <c r="M441" s="192"/>
      <c r="N441" s="60"/>
      <c r="O441" s="60"/>
      <c r="P441" s="60"/>
      <c r="Q441" s="200" t="str">
        <f t="shared" si="24"/>
        <v/>
      </c>
      <c r="R441" s="192"/>
      <c r="S441" s="60"/>
      <c r="T441" s="205"/>
    </row>
    <row r="442" spans="1:252" s="8" customFormat="1" ht="13.5" customHeight="1" x14ac:dyDescent="0.25">
      <c r="A442" s="214" t="s">
        <v>299</v>
      </c>
      <c r="B442" s="7" t="s">
        <v>1270</v>
      </c>
      <c r="C442" s="190"/>
      <c r="D442" s="60"/>
      <c r="E442" s="60"/>
      <c r="F442" s="60"/>
      <c r="G442" s="200" t="str">
        <f t="shared" si="22"/>
        <v/>
      </c>
      <c r="H442" s="192"/>
      <c r="I442" s="60"/>
      <c r="J442" s="60"/>
      <c r="K442" s="60"/>
      <c r="L442" s="200" t="str">
        <f t="shared" si="23"/>
        <v/>
      </c>
      <c r="M442" s="192"/>
      <c r="N442" s="60"/>
      <c r="O442" s="60"/>
      <c r="P442" s="60"/>
      <c r="Q442" s="200" t="str">
        <f t="shared" si="24"/>
        <v/>
      </c>
      <c r="R442" s="192"/>
      <c r="S442" s="60"/>
      <c r="T442" s="205"/>
    </row>
    <row r="443" spans="1:252" s="8" customFormat="1" ht="13.5" customHeight="1" x14ac:dyDescent="0.25">
      <c r="A443" s="214" t="s">
        <v>299</v>
      </c>
      <c r="B443" s="7" t="s">
        <v>1272</v>
      </c>
      <c r="C443" s="190"/>
      <c r="D443" s="60"/>
      <c r="E443" s="60"/>
      <c r="F443" s="60"/>
      <c r="G443" s="200" t="str">
        <f t="shared" si="22"/>
        <v/>
      </c>
      <c r="H443" s="192"/>
      <c r="I443" s="60"/>
      <c r="J443" s="60"/>
      <c r="K443" s="60"/>
      <c r="L443" s="200" t="str">
        <f t="shared" si="23"/>
        <v/>
      </c>
      <c r="M443" s="192"/>
      <c r="N443" s="60"/>
      <c r="O443" s="60"/>
      <c r="P443" s="60"/>
      <c r="Q443" s="200" t="str">
        <f t="shared" si="24"/>
        <v/>
      </c>
      <c r="R443" s="192"/>
      <c r="S443" s="60"/>
      <c r="T443" s="205"/>
    </row>
    <row r="444" spans="1:252" s="8" customFormat="1" ht="13.5" customHeight="1" x14ac:dyDescent="0.25">
      <c r="A444" s="214" t="s">
        <v>299</v>
      </c>
      <c r="B444" s="7" t="s">
        <v>1274</v>
      </c>
      <c r="C444" s="190"/>
      <c r="D444" s="60"/>
      <c r="E444" s="60"/>
      <c r="F444" s="60"/>
      <c r="G444" s="200" t="str">
        <f t="shared" si="22"/>
        <v/>
      </c>
      <c r="H444" s="192"/>
      <c r="I444" s="60"/>
      <c r="J444" s="60"/>
      <c r="K444" s="60"/>
      <c r="L444" s="200" t="str">
        <f t="shared" si="23"/>
        <v/>
      </c>
      <c r="M444" s="192"/>
      <c r="N444" s="60"/>
      <c r="O444" s="60"/>
      <c r="P444" s="60"/>
      <c r="Q444" s="200" t="str">
        <f t="shared" si="24"/>
        <v/>
      </c>
      <c r="R444" s="192"/>
      <c r="S444" s="60"/>
      <c r="T444" s="205"/>
    </row>
    <row r="445" spans="1:252" s="8" customFormat="1" ht="13.5" customHeight="1" x14ac:dyDescent="0.25">
      <c r="A445" s="214" t="s">
        <v>299</v>
      </c>
      <c r="B445" s="7" t="s">
        <v>106</v>
      </c>
      <c r="C445" s="190" t="s">
        <v>310</v>
      </c>
      <c r="D445" s="60">
        <v>1</v>
      </c>
      <c r="E445" s="60">
        <v>1</v>
      </c>
      <c r="F445" s="60"/>
      <c r="G445" s="200" t="str">
        <f t="shared" si="22"/>
        <v/>
      </c>
      <c r="H445" s="192"/>
      <c r="I445" s="60"/>
      <c r="J445" s="60"/>
      <c r="K445" s="60"/>
      <c r="L445" s="200" t="str">
        <f t="shared" si="23"/>
        <v/>
      </c>
      <c r="M445" s="192"/>
      <c r="N445" s="60"/>
      <c r="O445" s="60"/>
      <c r="P445" s="60"/>
      <c r="Q445" s="200" t="str">
        <f t="shared" si="24"/>
        <v/>
      </c>
      <c r="R445" s="192"/>
      <c r="S445" s="60"/>
      <c r="T445" s="205"/>
    </row>
    <row r="446" spans="1:252" s="8" customFormat="1" ht="13.5" customHeight="1" x14ac:dyDescent="0.25">
      <c r="A446" s="214" t="s">
        <v>299</v>
      </c>
      <c r="B446" s="7" t="s">
        <v>1277</v>
      </c>
      <c r="C446" s="190"/>
      <c r="D446" s="60"/>
      <c r="E446" s="60"/>
      <c r="F446" s="60"/>
      <c r="G446" s="200" t="str">
        <f t="shared" si="22"/>
        <v/>
      </c>
      <c r="H446" s="192"/>
      <c r="I446" s="60"/>
      <c r="J446" s="60"/>
      <c r="K446" s="60"/>
      <c r="L446" s="200" t="str">
        <f t="shared" si="23"/>
        <v/>
      </c>
      <c r="M446" s="192"/>
      <c r="N446" s="60"/>
      <c r="O446" s="60"/>
      <c r="P446" s="60"/>
      <c r="Q446" s="200" t="str">
        <f t="shared" si="24"/>
        <v/>
      </c>
      <c r="R446" s="192"/>
      <c r="S446" s="60"/>
      <c r="T446" s="205"/>
    </row>
    <row r="447" spans="1:252" s="8" customFormat="1" ht="13.5" customHeight="1" x14ac:dyDescent="0.25">
      <c r="A447" s="214" t="s">
        <v>299</v>
      </c>
      <c r="B447" s="7" t="s">
        <v>1279</v>
      </c>
      <c r="C447" s="202"/>
      <c r="D447" s="203"/>
      <c r="E447" s="203"/>
      <c r="F447" s="203"/>
      <c r="G447" s="200" t="str">
        <f t="shared" si="22"/>
        <v/>
      </c>
      <c r="H447" s="202"/>
      <c r="I447" s="203"/>
      <c r="J447" s="203"/>
      <c r="K447" s="203"/>
      <c r="L447" s="200" t="str">
        <f t="shared" si="23"/>
        <v/>
      </c>
      <c r="M447" s="202"/>
      <c r="N447" s="203"/>
      <c r="O447" s="203"/>
      <c r="P447" s="203"/>
      <c r="Q447" s="200" t="str">
        <f t="shared" si="24"/>
        <v/>
      </c>
      <c r="R447" s="202"/>
      <c r="S447" s="203"/>
      <c r="T447" s="211"/>
    </row>
    <row r="448" spans="1:252" s="8" customFormat="1" ht="13.5" customHeight="1" x14ac:dyDescent="0.25">
      <c r="A448" s="214" t="s">
        <v>299</v>
      </c>
      <c r="B448" s="7" t="s">
        <v>1280</v>
      </c>
      <c r="C448" s="190"/>
      <c r="D448" s="60"/>
      <c r="E448" s="60"/>
      <c r="F448" s="60"/>
      <c r="G448" s="200" t="str">
        <f t="shared" si="22"/>
        <v/>
      </c>
      <c r="H448" s="192"/>
      <c r="I448" s="60"/>
      <c r="J448" s="60"/>
      <c r="K448" s="60"/>
      <c r="L448" s="200" t="str">
        <f t="shared" si="23"/>
        <v/>
      </c>
      <c r="M448" s="192"/>
      <c r="N448" s="60"/>
      <c r="O448" s="60"/>
      <c r="P448" s="60"/>
      <c r="Q448" s="200" t="str">
        <f t="shared" si="24"/>
        <v/>
      </c>
      <c r="R448" s="192"/>
      <c r="S448" s="60"/>
      <c r="T448" s="205"/>
    </row>
    <row r="449" spans="1:252" s="8" customFormat="1" ht="13.5" customHeight="1" x14ac:dyDescent="0.25">
      <c r="A449" s="214" t="s">
        <v>299</v>
      </c>
      <c r="B449" s="7" t="s">
        <v>254</v>
      </c>
      <c r="C449" s="190" t="s">
        <v>1770</v>
      </c>
      <c r="D449" s="60">
        <v>2</v>
      </c>
      <c r="E449" s="60">
        <v>1</v>
      </c>
      <c r="F449" s="60"/>
      <c r="G449" s="200" t="str">
        <f t="shared" si="22"/>
        <v/>
      </c>
      <c r="H449" s="192"/>
      <c r="I449" s="60"/>
      <c r="J449" s="60"/>
      <c r="K449" s="60"/>
      <c r="L449" s="200" t="str">
        <f t="shared" si="23"/>
        <v/>
      </c>
      <c r="M449" s="192"/>
      <c r="N449" s="60"/>
      <c r="O449" s="60"/>
      <c r="P449" s="60"/>
      <c r="Q449" s="200" t="str">
        <f t="shared" si="24"/>
        <v/>
      </c>
      <c r="R449" s="192"/>
      <c r="S449" s="60"/>
      <c r="T449" s="205"/>
    </row>
    <row r="450" spans="1:252" s="8" customFormat="1" ht="13.5" customHeight="1" x14ac:dyDescent="0.25">
      <c r="A450" s="214" t="s">
        <v>299</v>
      </c>
      <c r="B450" s="7" t="s">
        <v>1282</v>
      </c>
      <c r="C450" s="190"/>
      <c r="D450" s="60"/>
      <c r="E450" s="60"/>
      <c r="F450" s="60"/>
      <c r="G450" s="200" t="str">
        <f t="shared" si="22"/>
        <v/>
      </c>
      <c r="H450" s="192"/>
      <c r="I450" s="60"/>
      <c r="J450" s="60"/>
      <c r="K450" s="60"/>
      <c r="L450" s="200" t="str">
        <f t="shared" si="23"/>
        <v/>
      </c>
      <c r="M450" s="192"/>
      <c r="N450" s="60"/>
      <c r="O450" s="60"/>
      <c r="P450" s="60"/>
      <c r="Q450" s="200" t="str">
        <f t="shared" si="24"/>
        <v/>
      </c>
      <c r="R450" s="192"/>
      <c r="S450" s="60"/>
      <c r="T450" s="205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</row>
    <row r="451" spans="1:252" s="8" customFormat="1" ht="13.5" customHeight="1" x14ac:dyDescent="0.25">
      <c r="A451" s="214" t="s">
        <v>299</v>
      </c>
      <c r="B451" s="7" t="s">
        <v>1284</v>
      </c>
      <c r="C451" s="190"/>
      <c r="D451" s="60"/>
      <c r="E451" s="60"/>
      <c r="F451" s="60"/>
      <c r="G451" s="200" t="str">
        <f t="shared" si="22"/>
        <v/>
      </c>
      <c r="H451" s="192"/>
      <c r="I451" s="60"/>
      <c r="J451" s="60"/>
      <c r="K451" s="60"/>
      <c r="L451" s="200" t="str">
        <f t="shared" si="23"/>
        <v/>
      </c>
      <c r="M451" s="192"/>
      <c r="N451" s="60"/>
      <c r="O451" s="60"/>
      <c r="P451" s="60"/>
      <c r="Q451" s="200" t="str">
        <f t="shared" si="24"/>
        <v/>
      </c>
      <c r="R451" s="192"/>
      <c r="S451" s="60"/>
      <c r="T451" s="205"/>
    </row>
    <row r="452" spans="1:252" s="8" customFormat="1" ht="13.5" customHeight="1" x14ac:dyDescent="0.25">
      <c r="A452" s="214" t="s">
        <v>299</v>
      </c>
      <c r="B452" s="7" t="s">
        <v>1287</v>
      </c>
      <c r="C452" s="190"/>
      <c r="D452" s="60"/>
      <c r="E452" s="60"/>
      <c r="F452" s="60"/>
      <c r="G452" s="200" t="str">
        <f t="shared" ref="G452:G516" si="26">IF(F452=1,"New","")</f>
        <v/>
      </c>
      <c r="H452" s="192"/>
      <c r="I452" s="60"/>
      <c r="J452" s="60"/>
      <c r="K452" s="60"/>
      <c r="L452" s="200" t="str">
        <f t="shared" si="23"/>
        <v/>
      </c>
      <c r="M452" s="192"/>
      <c r="N452" s="60"/>
      <c r="O452" s="60"/>
      <c r="P452" s="60"/>
      <c r="Q452" s="200" t="str">
        <f t="shared" si="24"/>
        <v/>
      </c>
      <c r="R452" s="192"/>
      <c r="S452" s="60"/>
      <c r="T452" s="205"/>
    </row>
    <row r="453" spans="1:252" s="8" customFormat="1" ht="13.5" customHeight="1" x14ac:dyDescent="0.25">
      <c r="A453" s="214" t="s">
        <v>299</v>
      </c>
      <c r="B453" s="7" t="s">
        <v>1289</v>
      </c>
      <c r="C453" s="190"/>
      <c r="D453" s="60"/>
      <c r="E453" s="60"/>
      <c r="F453" s="60"/>
      <c r="G453" s="200" t="str">
        <f t="shared" si="26"/>
        <v/>
      </c>
      <c r="H453" s="192"/>
      <c r="I453" s="60"/>
      <c r="J453" s="60"/>
      <c r="K453" s="60"/>
      <c r="L453" s="200" t="str">
        <f t="shared" ref="L453:L517" si="27">IF(K453=1,"New","")</f>
        <v/>
      </c>
      <c r="M453" s="192"/>
      <c r="N453" s="60"/>
      <c r="O453" s="60"/>
      <c r="P453" s="60"/>
      <c r="Q453" s="200" t="str">
        <f t="shared" ref="Q453:Q517" si="28">IF(P453=1,"New","")</f>
        <v/>
      </c>
      <c r="R453" s="192"/>
      <c r="S453" s="60"/>
      <c r="T453" s="205"/>
    </row>
    <row r="454" spans="1:252" s="8" customFormat="1" ht="13.5" customHeight="1" x14ac:dyDescent="0.25">
      <c r="A454" s="214" t="s">
        <v>299</v>
      </c>
      <c r="B454" s="7" t="s">
        <v>142</v>
      </c>
      <c r="C454" s="190"/>
      <c r="D454" s="191"/>
      <c r="E454" s="191"/>
      <c r="F454" s="191"/>
      <c r="G454" s="200" t="str">
        <f t="shared" si="26"/>
        <v/>
      </c>
      <c r="H454" s="190"/>
      <c r="I454" s="191"/>
      <c r="J454" s="191"/>
      <c r="K454" s="191"/>
      <c r="L454" s="200" t="str">
        <f t="shared" si="27"/>
        <v/>
      </c>
      <c r="M454" s="190"/>
      <c r="N454" s="191"/>
      <c r="O454" s="191"/>
      <c r="P454" s="191"/>
      <c r="Q454" s="200" t="str">
        <f t="shared" si="28"/>
        <v/>
      </c>
      <c r="R454" s="190"/>
      <c r="S454" s="191"/>
      <c r="T454" s="200"/>
    </row>
    <row r="455" spans="1:252" s="8" customFormat="1" ht="13.5" customHeight="1" x14ac:dyDescent="0.25">
      <c r="A455" s="214" t="s">
        <v>299</v>
      </c>
      <c r="B455" s="7" t="s">
        <v>142</v>
      </c>
      <c r="C455" s="190"/>
      <c r="D455" s="60"/>
      <c r="E455" s="60"/>
      <c r="F455" s="60"/>
      <c r="G455" s="200" t="str">
        <f t="shared" si="26"/>
        <v/>
      </c>
      <c r="H455" s="192"/>
      <c r="I455" s="60"/>
      <c r="J455" s="60"/>
      <c r="K455" s="60"/>
      <c r="L455" s="200" t="str">
        <f t="shared" si="27"/>
        <v/>
      </c>
      <c r="M455" s="192"/>
      <c r="N455" s="60"/>
      <c r="O455" s="60"/>
      <c r="P455" s="60"/>
      <c r="Q455" s="200" t="str">
        <f t="shared" si="28"/>
        <v/>
      </c>
      <c r="R455" s="192"/>
      <c r="S455" s="60"/>
      <c r="T455" s="205"/>
    </row>
    <row r="456" spans="1:252" s="8" customFormat="1" ht="13.5" customHeight="1" x14ac:dyDescent="0.25">
      <c r="A456" s="214" t="s">
        <v>299</v>
      </c>
      <c r="B456" s="7" t="s">
        <v>1291</v>
      </c>
      <c r="C456" s="190"/>
      <c r="D456" s="60"/>
      <c r="E456" s="60"/>
      <c r="F456" s="60"/>
      <c r="G456" s="200" t="str">
        <f t="shared" si="26"/>
        <v/>
      </c>
      <c r="H456" s="192"/>
      <c r="I456" s="60"/>
      <c r="J456" s="60"/>
      <c r="K456" s="60"/>
      <c r="L456" s="200" t="str">
        <f t="shared" si="27"/>
        <v/>
      </c>
      <c r="M456" s="192"/>
      <c r="N456" s="60"/>
      <c r="O456" s="60"/>
      <c r="P456" s="60"/>
      <c r="Q456" s="200" t="str">
        <f t="shared" si="28"/>
        <v/>
      </c>
      <c r="R456" s="192"/>
      <c r="S456" s="60"/>
      <c r="T456" s="205"/>
    </row>
    <row r="457" spans="1:252" s="8" customFormat="1" ht="13.5" customHeight="1" x14ac:dyDescent="0.25">
      <c r="A457" s="214" t="s">
        <v>299</v>
      </c>
      <c r="B457" s="7" t="s">
        <v>1294</v>
      </c>
      <c r="C457" s="190"/>
      <c r="D457" s="60"/>
      <c r="E457" s="60"/>
      <c r="F457" s="60"/>
      <c r="G457" s="200" t="str">
        <f t="shared" si="26"/>
        <v/>
      </c>
      <c r="H457" s="192"/>
      <c r="I457" s="60"/>
      <c r="J457" s="60"/>
      <c r="K457" s="60"/>
      <c r="L457" s="200" t="str">
        <f t="shared" si="27"/>
        <v/>
      </c>
      <c r="M457" s="192"/>
      <c r="N457" s="60"/>
      <c r="O457" s="60"/>
      <c r="P457" s="60"/>
      <c r="Q457" s="200" t="str">
        <f t="shared" si="28"/>
        <v/>
      </c>
      <c r="R457" s="192"/>
      <c r="S457" s="60"/>
      <c r="T457" s="205"/>
    </row>
    <row r="458" spans="1:252" s="8" customFormat="1" ht="13.5" customHeight="1" x14ac:dyDescent="0.25">
      <c r="A458" s="214" t="s">
        <v>299</v>
      </c>
      <c r="B458" s="7" t="s">
        <v>1297</v>
      </c>
      <c r="C458" s="190"/>
      <c r="D458" s="60"/>
      <c r="E458" s="60"/>
      <c r="F458" s="60"/>
      <c r="G458" s="200" t="str">
        <f t="shared" si="26"/>
        <v/>
      </c>
      <c r="H458" s="192"/>
      <c r="I458" s="60"/>
      <c r="J458" s="60"/>
      <c r="K458" s="60"/>
      <c r="L458" s="200" t="str">
        <f t="shared" si="27"/>
        <v/>
      </c>
      <c r="M458" s="192"/>
      <c r="N458" s="60"/>
      <c r="O458" s="60"/>
      <c r="P458" s="60"/>
      <c r="Q458" s="200" t="str">
        <f t="shared" si="28"/>
        <v/>
      </c>
      <c r="R458" s="192"/>
      <c r="S458" s="60"/>
      <c r="T458" s="205"/>
    </row>
    <row r="459" spans="1:252" s="8" customFormat="1" ht="13.5" customHeight="1" x14ac:dyDescent="0.25">
      <c r="A459" s="214" t="s">
        <v>299</v>
      </c>
      <c r="B459" s="7" t="s">
        <v>1299</v>
      </c>
      <c r="C459" s="190"/>
      <c r="D459" s="60"/>
      <c r="E459" s="60"/>
      <c r="F459" s="60"/>
      <c r="G459" s="200" t="str">
        <f t="shared" si="26"/>
        <v/>
      </c>
      <c r="H459" s="192"/>
      <c r="I459" s="60"/>
      <c r="J459" s="60"/>
      <c r="K459" s="60"/>
      <c r="L459" s="200" t="str">
        <f t="shared" si="27"/>
        <v/>
      </c>
      <c r="M459" s="192"/>
      <c r="N459" s="60"/>
      <c r="O459" s="60"/>
      <c r="P459" s="60"/>
      <c r="Q459" s="200" t="str">
        <f t="shared" si="28"/>
        <v/>
      </c>
      <c r="R459" s="192"/>
      <c r="S459" s="60"/>
      <c r="T459" s="205"/>
    </row>
    <row r="460" spans="1:252" s="8" customFormat="1" ht="13.5" customHeight="1" x14ac:dyDescent="0.25">
      <c r="A460" s="214" t="s">
        <v>299</v>
      </c>
      <c r="B460" s="7" t="s">
        <v>313</v>
      </c>
      <c r="C460" s="190"/>
      <c r="D460" s="191"/>
      <c r="E460" s="191"/>
      <c r="F460" s="191"/>
      <c r="G460" s="200" t="str">
        <f t="shared" si="26"/>
        <v/>
      </c>
      <c r="H460" s="190"/>
      <c r="I460" s="191"/>
      <c r="J460" s="191"/>
      <c r="K460" s="191"/>
      <c r="L460" s="200" t="str">
        <f t="shared" si="27"/>
        <v/>
      </c>
      <c r="M460" s="190"/>
      <c r="N460" s="191"/>
      <c r="O460" s="191"/>
      <c r="P460" s="191"/>
      <c r="Q460" s="200" t="str">
        <f t="shared" si="28"/>
        <v/>
      </c>
      <c r="R460" s="190"/>
      <c r="S460" s="191"/>
      <c r="T460" s="200"/>
    </row>
    <row r="461" spans="1:252" s="8" customFormat="1" ht="13.5" customHeight="1" x14ac:dyDescent="0.25">
      <c r="A461" s="216" t="s">
        <v>299</v>
      </c>
      <c r="B461" s="7" t="s">
        <v>314</v>
      </c>
      <c r="C461" s="201"/>
      <c r="D461" s="186"/>
      <c r="E461" s="186"/>
      <c r="F461" s="186"/>
      <c r="G461" s="208" t="str">
        <f t="shared" si="26"/>
        <v/>
      </c>
      <c r="H461" s="201"/>
      <c r="I461" s="186"/>
      <c r="J461" s="186"/>
      <c r="K461" s="186"/>
      <c r="L461" s="208" t="str">
        <f t="shared" si="27"/>
        <v/>
      </c>
      <c r="M461" s="201"/>
      <c r="N461" s="186"/>
      <c r="O461" s="186"/>
      <c r="P461" s="186"/>
      <c r="Q461" s="208" t="str">
        <f t="shared" si="28"/>
        <v/>
      </c>
      <c r="R461" s="201"/>
      <c r="S461" s="186"/>
      <c r="T461" s="208"/>
    </row>
    <row r="462" spans="1:252" s="8" customFormat="1" ht="13.5" customHeight="1" x14ac:dyDescent="0.25">
      <c r="A462" s="213" t="s">
        <v>298</v>
      </c>
      <c r="B462" s="184" t="s">
        <v>55</v>
      </c>
      <c r="C462" s="190" t="s">
        <v>310</v>
      </c>
      <c r="D462" s="191">
        <v>1</v>
      </c>
      <c r="E462" s="191"/>
      <c r="F462" s="191"/>
      <c r="G462" s="200" t="str">
        <f t="shared" si="26"/>
        <v/>
      </c>
      <c r="H462" s="190"/>
      <c r="I462" s="191"/>
      <c r="J462" s="191"/>
      <c r="K462" s="191"/>
      <c r="L462" s="200" t="str">
        <f t="shared" si="27"/>
        <v/>
      </c>
      <c r="M462" s="190" t="s">
        <v>310</v>
      </c>
      <c r="N462" s="191">
        <v>1</v>
      </c>
      <c r="O462" s="191"/>
      <c r="P462" s="191"/>
      <c r="Q462" s="200" t="str">
        <f t="shared" si="28"/>
        <v/>
      </c>
      <c r="R462" s="190">
        <v>35</v>
      </c>
      <c r="S462" s="191">
        <v>40</v>
      </c>
      <c r="T462" s="200">
        <v>45</v>
      </c>
      <c r="U462" s="160"/>
      <c r="V462" s="160"/>
      <c r="W462" s="160"/>
      <c r="X462" s="160"/>
      <c r="Y462" s="160"/>
      <c r="Z462" s="160"/>
      <c r="AA462" s="160"/>
      <c r="AB462" s="160"/>
      <c r="AC462" s="160"/>
      <c r="AD462" s="160"/>
      <c r="AE462" s="160"/>
      <c r="AF462" s="160"/>
      <c r="AG462" s="160"/>
      <c r="AH462" s="160"/>
      <c r="AI462" s="160"/>
      <c r="AJ462" s="160"/>
      <c r="AK462" s="160"/>
      <c r="AL462" s="160"/>
      <c r="AM462" s="160"/>
      <c r="AN462" s="160"/>
      <c r="AO462" s="160"/>
      <c r="AP462" s="160"/>
      <c r="AQ462" s="160"/>
      <c r="AR462" s="160"/>
      <c r="AS462" s="160"/>
      <c r="AT462" s="160"/>
      <c r="AU462" s="160"/>
      <c r="AV462" s="160"/>
      <c r="AW462" s="160"/>
      <c r="AX462" s="160"/>
      <c r="AY462" s="160"/>
      <c r="AZ462" s="160"/>
      <c r="BA462" s="160"/>
      <c r="BB462" s="160"/>
      <c r="BC462" s="160"/>
      <c r="BD462" s="160"/>
      <c r="BE462" s="160"/>
      <c r="BF462" s="160"/>
      <c r="BG462" s="160"/>
      <c r="BH462" s="160"/>
      <c r="BI462" s="160"/>
      <c r="BJ462" s="160"/>
      <c r="BK462" s="160"/>
      <c r="BL462" s="160"/>
      <c r="BM462" s="160"/>
      <c r="BN462" s="160"/>
      <c r="BO462" s="160"/>
      <c r="BP462" s="160"/>
      <c r="BQ462" s="160"/>
      <c r="BR462" s="160"/>
      <c r="BS462" s="160"/>
      <c r="BT462" s="160"/>
      <c r="BU462" s="160"/>
      <c r="BV462" s="160"/>
      <c r="BW462" s="160"/>
      <c r="BX462" s="160"/>
      <c r="BY462" s="160"/>
      <c r="BZ462" s="160"/>
      <c r="CA462" s="160"/>
      <c r="CB462" s="160"/>
      <c r="CC462" s="160"/>
      <c r="CD462" s="160"/>
      <c r="CE462" s="160"/>
      <c r="CF462" s="160"/>
      <c r="CG462" s="160"/>
      <c r="CH462" s="160"/>
      <c r="CI462" s="160"/>
      <c r="CJ462" s="160"/>
      <c r="CK462" s="160"/>
      <c r="CL462" s="160"/>
      <c r="CM462" s="160"/>
      <c r="CN462" s="160"/>
      <c r="CO462" s="160"/>
      <c r="CP462" s="160"/>
      <c r="CQ462" s="160"/>
      <c r="CR462" s="160"/>
      <c r="CS462" s="160"/>
      <c r="CT462" s="160"/>
      <c r="CU462" s="160"/>
      <c r="CV462" s="160"/>
      <c r="CW462" s="160"/>
      <c r="CX462" s="160"/>
      <c r="CY462" s="160"/>
      <c r="CZ462" s="160"/>
      <c r="DA462" s="160"/>
      <c r="DB462" s="160"/>
      <c r="DC462" s="160"/>
      <c r="DD462" s="160"/>
      <c r="DE462" s="160"/>
      <c r="DF462" s="160"/>
      <c r="DG462" s="160"/>
      <c r="DH462" s="160"/>
      <c r="DI462" s="160"/>
      <c r="DJ462" s="160"/>
      <c r="DK462" s="160"/>
      <c r="DL462" s="160"/>
      <c r="DM462" s="160"/>
      <c r="DN462" s="160"/>
      <c r="DO462" s="160"/>
      <c r="DP462" s="160"/>
      <c r="DQ462" s="160"/>
      <c r="DR462" s="160"/>
      <c r="DS462" s="160"/>
      <c r="DT462" s="160"/>
      <c r="DU462" s="160"/>
      <c r="DV462" s="160"/>
      <c r="DW462" s="160"/>
      <c r="DX462" s="160"/>
      <c r="DY462" s="160"/>
      <c r="DZ462" s="160"/>
      <c r="EA462" s="160"/>
      <c r="EB462" s="160"/>
      <c r="EC462" s="160"/>
      <c r="ED462" s="160"/>
      <c r="EE462" s="160"/>
      <c r="EF462" s="160"/>
      <c r="EG462" s="160"/>
      <c r="EH462" s="160"/>
      <c r="EI462" s="160"/>
      <c r="EJ462" s="160"/>
      <c r="EK462" s="160"/>
      <c r="EL462" s="160"/>
      <c r="EM462" s="160"/>
      <c r="EN462" s="160"/>
      <c r="EO462" s="160"/>
      <c r="EP462" s="160"/>
      <c r="EQ462" s="160"/>
      <c r="ER462" s="160"/>
      <c r="ES462" s="160"/>
      <c r="ET462" s="160"/>
      <c r="EU462" s="160"/>
      <c r="EV462" s="160"/>
      <c r="EW462" s="160"/>
      <c r="EX462" s="160"/>
      <c r="EY462" s="160"/>
      <c r="EZ462" s="160"/>
      <c r="FA462" s="160"/>
      <c r="FB462" s="160"/>
      <c r="FC462" s="160"/>
      <c r="FD462" s="160"/>
      <c r="FE462" s="160"/>
      <c r="FF462" s="160"/>
      <c r="FG462" s="160"/>
      <c r="FH462" s="160"/>
      <c r="FI462" s="160"/>
      <c r="FJ462" s="160"/>
      <c r="FK462" s="160"/>
      <c r="FL462" s="160"/>
      <c r="FM462" s="160"/>
      <c r="FN462" s="160"/>
      <c r="FO462" s="160"/>
      <c r="FP462" s="160"/>
      <c r="FQ462" s="160"/>
      <c r="FR462" s="160"/>
      <c r="FS462" s="160"/>
      <c r="FT462" s="160"/>
      <c r="FU462" s="160"/>
      <c r="FV462" s="160"/>
      <c r="FW462" s="160"/>
      <c r="FX462" s="160"/>
      <c r="FY462" s="160"/>
      <c r="FZ462" s="160"/>
      <c r="GA462" s="160"/>
      <c r="GB462" s="160"/>
      <c r="GC462" s="160"/>
      <c r="GD462" s="160"/>
      <c r="GE462" s="160"/>
      <c r="GF462" s="160"/>
      <c r="GG462" s="160"/>
      <c r="GH462" s="160"/>
      <c r="GI462" s="160"/>
      <c r="GJ462" s="160"/>
      <c r="GK462" s="160"/>
      <c r="GL462" s="160"/>
      <c r="GM462" s="160"/>
      <c r="GN462" s="160"/>
      <c r="GO462" s="160"/>
      <c r="GP462" s="160"/>
      <c r="GQ462" s="160"/>
      <c r="GR462" s="160"/>
      <c r="GS462" s="160"/>
      <c r="GT462" s="160"/>
      <c r="GU462" s="160"/>
      <c r="GV462" s="160"/>
      <c r="GW462" s="160"/>
      <c r="GX462" s="160"/>
      <c r="GY462" s="160"/>
      <c r="GZ462" s="160"/>
      <c r="HA462" s="160"/>
      <c r="HB462" s="160"/>
      <c r="HC462" s="160"/>
      <c r="HD462" s="160"/>
      <c r="HE462" s="160"/>
      <c r="HF462" s="160"/>
      <c r="HG462" s="160"/>
      <c r="HH462" s="160"/>
      <c r="HI462" s="160"/>
      <c r="HJ462" s="160"/>
      <c r="HK462" s="160"/>
      <c r="HL462" s="160"/>
      <c r="HM462" s="160"/>
      <c r="HN462" s="160"/>
      <c r="HO462" s="160"/>
      <c r="HP462" s="160"/>
      <c r="HQ462" s="160"/>
      <c r="HR462" s="160"/>
      <c r="HS462" s="160"/>
      <c r="HT462" s="160"/>
      <c r="HU462" s="160"/>
      <c r="HV462" s="160"/>
      <c r="HW462" s="160"/>
      <c r="HX462" s="160"/>
      <c r="HY462" s="160"/>
      <c r="HZ462" s="160"/>
      <c r="IA462" s="160"/>
      <c r="IB462" s="160"/>
      <c r="IC462" s="160"/>
      <c r="ID462" s="160"/>
      <c r="IE462" s="160"/>
      <c r="IF462" s="160"/>
      <c r="IG462" s="160"/>
      <c r="IH462" s="160"/>
      <c r="II462" s="160"/>
      <c r="IJ462" s="160"/>
      <c r="IK462" s="160"/>
      <c r="IL462" s="160"/>
      <c r="IM462" s="160"/>
      <c r="IN462" s="160"/>
      <c r="IO462" s="160"/>
      <c r="IP462" s="160"/>
      <c r="IQ462" s="160"/>
      <c r="IR462" s="160"/>
    </row>
    <row r="463" spans="1:252" s="8" customFormat="1" ht="13.5" customHeight="1" x14ac:dyDescent="0.25">
      <c r="A463" s="213" t="s">
        <v>298</v>
      </c>
      <c r="B463" s="7" t="s">
        <v>1301</v>
      </c>
      <c r="C463" s="192"/>
      <c r="D463" s="60"/>
      <c r="E463" s="60"/>
      <c r="F463" s="60"/>
      <c r="G463" s="200" t="str">
        <f t="shared" si="26"/>
        <v/>
      </c>
      <c r="H463" s="192"/>
      <c r="I463" s="60"/>
      <c r="J463" s="60"/>
      <c r="K463" s="60"/>
      <c r="L463" s="200" t="str">
        <f t="shared" si="27"/>
        <v/>
      </c>
      <c r="M463" s="192"/>
      <c r="N463" s="60"/>
      <c r="O463" s="60"/>
      <c r="P463" s="60"/>
      <c r="Q463" s="200" t="str">
        <f t="shared" si="28"/>
        <v/>
      </c>
      <c r="R463" s="192"/>
      <c r="S463" s="60"/>
      <c r="T463" s="205"/>
      <c r="U463" s="160"/>
      <c r="V463" s="160"/>
      <c r="W463" s="160"/>
      <c r="X463" s="160"/>
      <c r="Y463" s="160"/>
      <c r="Z463" s="160"/>
      <c r="AA463" s="160"/>
      <c r="AB463" s="160"/>
      <c r="AC463" s="160"/>
      <c r="AD463" s="160"/>
      <c r="AE463" s="160"/>
      <c r="AF463" s="160"/>
      <c r="AG463" s="160"/>
      <c r="AH463" s="160"/>
      <c r="AI463" s="160"/>
      <c r="AJ463" s="160"/>
      <c r="AK463" s="160"/>
      <c r="AL463" s="160"/>
      <c r="AM463" s="160"/>
      <c r="AN463" s="160"/>
      <c r="AO463" s="160"/>
      <c r="AP463" s="160"/>
      <c r="AQ463" s="160"/>
      <c r="AR463" s="160"/>
      <c r="AS463" s="160"/>
      <c r="AT463" s="160"/>
      <c r="AU463" s="160"/>
      <c r="AV463" s="160"/>
      <c r="AW463" s="160"/>
      <c r="AX463" s="160"/>
      <c r="AY463" s="160"/>
      <c r="AZ463" s="160"/>
      <c r="BA463" s="160"/>
      <c r="BB463" s="160"/>
      <c r="BC463" s="160"/>
      <c r="BD463" s="160"/>
      <c r="BE463" s="160"/>
      <c r="BF463" s="160"/>
      <c r="BG463" s="160"/>
      <c r="BH463" s="160"/>
      <c r="BI463" s="160"/>
      <c r="BJ463" s="160"/>
      <c r="BK463" s="160"/>
      <c r="BL463" s="160"/>
      <c r="BM463" s="160"/>
      <c r="BN463" s="160"/>
      <c r="BO463" s="160"/>
      <c r="BP463" s="160"/>
      <c r="BQ463" s="160"/>
      <c r="BR463" s="160"/>
      <c r="BS463" s="160"/>
      <c r="BT463" s="160"/>
      <c r="BU463" s="160"/>
      <c r="BV463" s="160"/>
      <c r="BW463" s="160"/>
      <c r="BX463" s="160"/>
      <c r="BY463" s="160"/>
      <c r="BZ463" s="160"/>
      <c r="CA463" s="160"/>
      <c r="CB463" s="160"/>
      <c r="CC463" s="160"/>
      <c r="CD463" s="160"/>
      <c r="CE463" s="160"/>
      <c r="CF463" s="160"/>
      <c r="CG463" s="160"/>
      <c r="CH463" s="160"/>
      <c r="CI463" s="160"/>
      <c r="CJ463" s="160"/>
      <c r="CK463" s="160"/>
      <c r="CL463" s="160"/>
      <c r="CM463" s="160"/>
      <c r="CN463" s="160"/>
      <c r="CO463" s="160"/>
      <c r="CP463" s="160"/>
      <c r="CQ463" s="160"/>
      <c r="CR463" s="160"/>
      <c r="CS463" s="160"/>
      <c r="CT463" s="160"/>
      <c r="CU463" s="160"/>
      <c r="CV463" s="160"/>
      <c r="CW463" s="160"/>
      <c r="CX463" s="160"/>
      <c r="CY463" s="160"/>
      <c r="CZ463" s="160"/>
      <c r="DA463" s="160"/>
      <c r="DB463" s="160"/>
      <c r="DC463" s="160"/>
      <c r="DD463" s="160"/>
      <c r="DE463" s="160"/>
      <c r="DF463" s="160"/>
      <c r="DG463" s="160"/>
      <c r="DH463" s="160"/>
      <c r="DI463" s="160"/>
      <c r="DJ463" s="160"/>
      <c r="DK463" s="160"/>
      <c r="DL463" s="160"/>
      <c r="DM463" s="160"/>
      <c r="DN463" s="160"/>
      <c r="DO463" s="160"/>
      <c r="DP463" s="160"/>
      <c r="DQ463" s="160"/>
      <c r="DR463" s="160"/>
      <c r="DS463" s="160"/>
      <c r="DT463" s="160"/>
      <c r="DU463" s="160"/>
      <c r="DV463" s="160"/>
      <c r="DW463" s="160"/>
      <c r="DX463" s="160"/>
      <c r="DY463" s="160"/>
      <c r="DZ463" s="160"/>
      <c r="EA463" s="160"/>
      <c r="EB463" s="160"/>
      <c r="EC463" s="160"/>
      <c r="ED463" s="160"/>
      <c r="EE463" s="160"/>
      <c r="EF463" s="160"/>
      <c r="EG463" s="160"/>
      <c r="EH463" s="160"/>
      <c r="EI463" s="160"/>
      <c r="EJ463" s="160"/>
      <c r="EK463" s="160"/>
      <c r="EL463" s="160"/>
      <c r="EM463" s="160"/>
      <c r="EN463" s="160"/>
      <c r="EO463" s="160"/>
      <c r="EP463" s="160"/>
      <c r="EQ463" s="160"/>
      <c r="ER463" s="160"/>
      <c r="ES463" s="160"/>
      <c r="ET463" s="160"/>
      <c r="EU463" s="160"/>
      <c r="EV463" s="160"/>
      <c r="EW463" s="160"/>
      <c r="EX463" s="160"/>
      <c r="EY463" s="160"/>
      <c r="EZ463" s="160"/>
      <c r="FA463" s="160"/>
      <c r="FB463" s="160"/>
      <c r="FC463" s="160"/>
      <c r="FD463" s="160"/>
      <c r="FE463" s="160"/>
      <c r="FF463" s="160"/>
      <c r="FG463" s="160"/>
      <c r="FH463" s="160"/>
      <c r="FI463" s="160"/>
      <c r="FJ463" s="160"/>
      <c r="FK463" s="160"/>
      <c r="FL463" s="160"/>
      <c r="FM463" s="160"/>
      <c r="FN463" s="160"/>
      <c r="FO463" s="160"/>
      <c r="FP463" s="160"/>
      <c r="FQ463" s="160"/>
      <c r="FR463" s="160"/>
      <c r="FS463" s="160"/>
      <c r="FT463" s="160"/>
      <c r="FU463" s="160"/>
      <c r="FV463" s="160"/>
      <c r="FW463" s="160"/>
      <c r="FX463" s="160"/>
      <c r="FY463" s="160"/>
      <c r="FZ463" s="160"/>
      <c r="GA463" s="160"/>
      <c r="GB463" s="160"/>
      <c r="GC463" s="160"/>
      <c r="GD463" s="160"/>
      <c r="GE463" s="160"/>
      <c r="GF463" s="160"/>
      <c r="GG463" s="160"/>
      <c r="GH463" s="160"/>
      <c r="GI463" s="160"/>
      <c r="GJ463" s="160"/>
      <c r="GK463" s="160"/>
      <c r="GL463" s="160"/>
      <c r="GM463" s="160"/>
      <c r="GN463" s="160"/>
      <c r="GO463" s="160"/>
      <c r="GP463" s="160"/>
      <c r="GQ463" s="160"/>
      <c r="GR463" s="160"/>
      <c r="GS463" s="160"/>
      <c r="GT463" s="160"/>
      <c r="GU463" s="160"/>
      <c r="GV463" s="160"/>
      <c r="GW463" s="160"/>
      <c r="GX463" s="160"/>
      <c r="GY463" s="160"/>
      <c r="GZ463" s="160"/>
      <c r="HA463" s="160"/>
      <c r="HB463" s="160"/>
      <c r="HC463" s="160"/>
      <c r="HD463" s="160"/>
      <c r="HE463" s="160"/>
      <c r="HF463" s="160"/>
      <c r="HG463" s="160"/>
      <c r="HH463" s="160"/>
      <c r="HI463" s="160"/>
      <c r="HJ463" s="160"/>
      <c r="HK463" s="160"/>
      <c r="HL463" s="160"/>
      <c r="HM463" s="160"/>
      <c r="HN463" s="160"/>
      <c r="HO463" s="160"/>
      <c r="HP463" s="160"/>
      <c r="HQ463" s="160"/>
      <c r="HR463" s="160"/>
      <c r="HS463" s="160"/>
      <c r="HT463" s="160"/>
      <c r="HU463" s="160"/>
      <c r="HV463" s="160"/>
      <c r="HW463" s="160"/>
      <c r="HX463" s="160"/>
      <c r="HY463" s="160"/>
      <c r="HZ463" s="160"/>
      <c r="IA463" s="160"/>
      <c r="IB463" s="160"/>
      <c r="IC463" s="160"/>
      <c r="ID463" s="160"/>
      <c r="IE463" s="160"/>
      <c r="IF463" s="160"/>
      <c r="IG463" s="160"/>
      <c r="IH463" s="160"/>
      <c r="II463" s="160"/>
      <c r="IJ463" s="160"/>
      <c r="IK463" s="160"/>
      <c r="IL463" s="160"/>
      <c r="IM463" s="160"/>
      <c r="IN463" s="160"/>
      <c r="IO463" s="160"/>
      <c r="IP463" s="160"/>
      <c r="IQ463" s="160"/>
      <c r="IR463" s="160"/>
    </row>
    <row r="464" spans="1:252" s="8" customFormat="1" ht="13.5" customHeight="1" x14ac:dyDescent="0.25">
      <c r="A464" s="213" t="s">
        <v>298</v>
      </c>
      <c r="B464" s="7" t="s">
        <v>33</v>
      </c>
      <c r="C464" s="190"/>
      <c r="D464" s="191"/>
      <c r="E464" s="191"/>
      <c r="F464" s="191"/>
      <c r="G464" s="200" t="str">
        <f t="shared" si="26"/>
        <v/>
      </c>
      <c r="H464" s="190"/>
      <c r="I464" s="191"/>
      <c r="J464" s="191"/>
      <c r="K464" s="191"/>
      <c r="L464" s="200" t="str">
        <f t="shared" si="27"/>
        <v/>
      </c>
      <c r="M464" s="190"/>
      <c r="N464" s="191"/>
      <c r="O464" s="191"/>
      <c r="P464" s="191"/>
      <c r="Q464" s="200" t="str">
        <f t="shared" si="28"/>
        <v/>
      </c>
      <c r="R464" s="190">
        <v>25</v>
      </c>
      <c r="S464" s="191"/>
      <c r="T464" s="200"/>
      <c r="U464" s="160"/>
      <c r="V464" s="160"/>
      <c r="W464" s="160"/>
      <c r="X464" s="160"/>
      <c r="Y464" s="160"/>
      <c r="Z464" s="160"/>
      <c r="AA464" s="160"/>
      <c r="AB464" s="160"/>
      <c r="AC464" s="160"/>
      <c r="AD464" s="160"/>
      <c r="AE464" s="160"/>
      <c r="AF464" s="160"/>
      <c r="AG464" s="160"/>
      <c r="AH464" s="160"/>
      <c r="AI464" s="160"/>
      <c r="AJ464" s="160"/>
      <c r="AK464" s="160"/>
      <c r="AL464" s="160"/>
      <c r="AM464" s="160"/>
      <c r="AN464" s="160"/>
      <c r="AO464" s="160"/>
      <c r="AP464" s="160"/>
      <c r="AQ464" s="160"/>
      <c r="AR464" s="160"/>
      <c r="AS464" s="160"/>
      <c r="AT464" s="160"/>
      <c r="AU464" s="160"/>
      <c r="AV464" s="160"/>
      <c r="AW464" s="160"/>
      <c r="AX464" s="160"/>
      <c r="AY464" s="160"/>
      <c r="AZ464" s="160"/>
      <c r="BA464" s="160"/>
      <c r="BB464" s="160"/>
      <c r="BC464" s="160"/>
      <c r="BD464" s="160"/>
      <c r="BE464" s="160"/>
      <c r="BF464" s="160"/>
      <c r="BG464" s="160"/>
      <c r="BH464" s="160"/>
      <c r="BI464" s="160"/>
      <c r="BJ464" s="160"/>
      <c r="BK464" s="160"/>
      <c r="BL464" s="160"/>
      <c r="BM464" s="160"/>
      <c r="BN464" s="160"/>
      <c r="BO464" s="160"/>
      <c r="BP464" s="160"/>
      <c r="BQ464" s="160"/>
      <c r="BR464" s="160"/>
      <c r="BS464" s="160"/>
      <c r="BT464" s="160"/>
      <c r="BU464" s="160"/>
      <c r="BV464" s="160"/>
      <c r="BW464" s="160"/>
      <c r="BX464" s="160"/>
      <c r="BY464" s="160"/>
      <c r="BZ464" s="160"/>
      <c r="CA464" s="160"/>
      <c r="CB464" s="160"/>
      <c r="CC464" s="160"/>
      <c r="CD464" s="160"/>
      <c r="CE464" s="160"/>
      <c r="CF464" s="160"/>
      <c r="CG464" s="160"/>
      <c r="CH464" s="160"/>
      <c r="CI464" s="160"/>
      <c r="CJ464" s="160"/>
      <c r="CK464" s="160"/>
      <c r="CL464" s="160"/>
      <c r="CM464" s="160"/>
      <c r="CN464" s="160"/>
      <c r="CO464" s="160"/>
      <c r="CP464" s="160"/>
      <c r="CQ464" s="160"/>
      <c r="CR464" s="160"/>
      <c r="CS464" s="160"/>
      <c r="CT464" s="160"/>
      <c r="CU464" s="160"/>
      <c r="CV464" s="160"/>
      <c r="CW464" s="160"/>
      <c r="CX464" s="160"/>
      <c r="CY464" s="160"/>
      <c r="CZ464" s="160"/>
      <c r="DA464" s="160"/>
      <c r="DB464" s="160"/>
      <c r="DC464" s="160"/>
      <c r="DD464" s="160"/>
      <c r="DE464" s="160"/>
      <c r="DF464" s="160"/>
      <c r="DG464" s="160"/>
      <c r="DH464" s="160"/>
      <c r="DI464" s="160"/>
      <c r="DJ464" s="160"/>
      <c r="DK464" s="160"/>
      <c r="DL464" s="160"/>
      <c r="DM464" s="160"/>
      <c r="DN464" s="160"/>
      <c r="DO464" s="160"/>
      <c r="DP464" s="160"/>
      <c r="DQ464" s="160"/>
      <c r="DR464" s="160"/>
      <c r="DS464" s="160"/>
      <c r="DT464" s="160"/>
      <c r="DU464" s="160"/>
      <c r="DV464" s="160"/>
      <c r="DW464" s="160"/>
      <c r="DX464" s="160"/>
      <c r="DY464" s="160"/>
      <c r="DZ464" s="160"/>
      <c r="EA464" s="160"/>
      <c r="EB464" s="160"/>
      <c r="EC464" s="160"/>
      <c r="ED464" s="160"/>
      <c r="EE464" s="160"/>
      <c r="EF464" s="160"/>
      <c r="EG464" s="160"/>
      <c r="EH464" s="160"/>
      <c r="EI464" s="160"/>
      <c r="EJ464" s="160"/>
      <c r="EK464" s="160"/>
      <c r="EL464" s="160"/>
      <c r="EM464" s="160"/>
      <c r="EN464" s="160"/>
      <c r="EO464" s="160"/>
      <c r="EP464" s="160"/>
      <c r="EQ464" s="160"/>
      <c r="ER464" s="160"/>
      <c r="ES464" s="160"/>
      <c r="ET464" s="160"/>
      <c r="EU464" s="160"/>
      <c r="EV464" s="160"/>
      <c r="EW464" s="160"/>
      <c r="EX464" s="160"/>
      <c r="EY464" s="160"/>
      <c r="EZ464" s="160"/>
      <c r="FA464" s="160"/>
      <c r="FB464" s="160"/>
      <c r="FC464" s="160"/>
      <c r="FD464" s="160"/>
      <c r="FE464" s="160"/>
      <c r="FF464" s="160"/>
      <c r="FG464" s="160"/>
      <c r="FH464" s="160"/>
      <c r="FI464" s="160"/>
      <c r="FJ464" s="160"/>
      <c r="FK464" s="160"/>
      <c r="FL464" s="160"/>
      <c r="FM464" s="160"/>
      <c r="FN464" s="160"/>
      <c r="FO464" s="160"/>
      <c r="FP464" s="160"/>
      <c r="FQ464" s="160"/>
      <c r="FR464" s="160"/>
      <c r="FS464" s="160"/>
      <c r="FT464" s="160"/>
      <c r="FU464" s="160"/>
      <c r="FV464" s="160"/>
      <c r="FW464" s="160"/>
      <c r="FX464" s="160"/>
      <c r="FY464" s="160"/>
      <c r="FZ464" s="160"/>
      <c r="GA464" s="160"/>
      <c r="GB464" s="160"/>
      <c r="GC464" s="160"/>
      <c r="GD464" s="160"/>
      <c r="GE464" s="160"/>
      <c r="GF464" s="160"/>
      <c r="GG464" s="160"/>
      <c r="GH464" s="160"/>
      <c r="GI464" s="160"/>
      <c r="GJ464" s="160"/>
      <c r="GK464" s="160"/>
      <c r="GL464" s="160"/>
      <c r="GM464" s="160"/>
      <c r="GN464" s="160"/>
      <c r="GO464" s="160"/>
      <c r="GP464" s="160"/>
      <c r="GQ464" s="160"/>
      <c r="GR464" s="160"/>
      <c r="GS464" s="160"/>
      <c r="GT464" s="160"/>
      <c r="GU464" s="160"/>
      <c r="GV464" s="160"/>
      <c r="GW464" s="160"/>
      <c r="GX464" s="160"/>
      <c r="GY464" s="160"/>
      <c r="GZ464" s="160"/>
      <c r="HA464" s="160"/>
      <c r="HB464" s="160"/>
      <c r="HC464" s="160"/>
      <c r="HD464" s="160"/>
      <c r="HE464" s="160"/>
      <c r="HF464" s="160"/>
      <c r="HG464" s="160"/>
      <c r="HH464" s="160"/>
      <c r="HI464" s="160"/>
      <c r="HJ464" s="160"/>
      <c r="HK464" s="160"/>
      <c r="HL464" s="160"/>
      <c r="HM464" s="160"/>
      <c r="HN464" s="160"/>
      <c r="HO464" s="160"/>
      <c r="HP464" s="160"/>
      <c r="HQ464" s="160"/>
      <c r="HR464" s="160"/>
      <c r="HS464" s="160"/>
      <c r="HT464" s="160"/>
      <c r="HU464" s="160"/>
      <c r="HV464" s="160"/>
      <c r="HW464" s="160"/>
      <c r="HX464" s="160"/>
      <c r="HY464" s="160"/>
      <c r="HZ464" s="160"/>
      <c r="IA464" s="160"/>
      <c r="IB464" s="160"/>
      <c r="IC464" s="160"/>
      <c r="ID464" s="160"/>
      <c r="IE464" s="160"/>
      <c r="IF464" s="160"/>
      <c r="IG464" s="160"/>
      <c r="IH464" s="160"/>
      <c r="II464" s="160"/>
      <c r="IJ464" s="160"/>
      <c r="IK464" s="160"/>
      <c r="IL464" s="160"/>
      <c r="IM464" s="160"/>
      <c r="IN464" s="160"/>
      <c r="IO464" s="160"/>
      <c r="IP464" s="160"/>
      <c r="IQ464" s="160"/>
      <c r="IR464" s="160"/>
    </row>
    <row r="465" spans="1:252" s="8" customFormat="1" ht="13.5" customHeight="1" x14ac:dyDescent="0.25">
      <c r="A465" s="213" t="s">
        <v>298</v>
      </c>
      <c r="B465" s="7" t="s">
        <v>31</v>
      </c>
      <c r="C465" s="190"/>
      <c r="D465" s="191"/>
      <c r="E465" s="191"/>
      <c r="F465" s="191"/>
      <c r="G465" s="200" t="str">
        <f t="shared" si="26"/>
        <v/>
      </c>
      <c r="H465" s="190"/>
      <c r="I465" s="191"/>
      <c r="J465" s="191"/>
      <c r="K465" s="191"/>
      <c r="L465" s="200" t="str">
        <f t="shared" si="27"/>
        <v/>
      </c>
      <c r="M465" s="190"/>
      <c r="N465" s="191"/>
      <c r="O465" s="191"/>
      <c r="P465" s="191"/>
      <c r="Q465" s="200" t="str">
        <f t="shared" si="28"/>
        <v/>
      </c>
      <c r="R465" s="190"/>
      <c r="S465" s="191"/>
      <c r="T465" s="200"/>
      <c r="U465" s="160"/>
      <c r="V465" s="160"/>
      <c r="W465" s="160"/>
      <c r="X465" s="160"/>
      <c r="Y465" s="160"/>
      <c r="Z465" s="160"/>
      <c r="AA465" s="160"/>
      <c r="AB465" s="160"/>
      <c r="AC465" s="160"/>
      <c r="AD465" s="160"/>
      <c r="AE465" s="160"/>
      <c r="AF465" s="160"/>
      <c r="AG465" s="160"/>
      <c r="AH465" s="160"/>
      <c r="AI465" s="160"/>
      <c r="AJ465" s="160"/>
      <c r="AK465" s="160"/>
      <c r="AL465" s="160"/>
      <c r="AM465" s="160"/>
      <c r="AN465" s="160"/>
      <c r="AO465" s="160"/>
      <c r="AP465" s="160"/>
      <c r="AQ465" s="160"/>
      <c r="AR465" s="160"/>
      <c r="AS465" s="160"/>
      <c r="AT465" s="160"/>
      <c r="AU465" s="160"/>
      <c r="AV465" s="160"/>
      <c r="AW465" s="160"/>
      <c r="AX465" s="160"/>
      <c r="AY465" s="160"/>
      <c r="AZ465" s="160"/>
      <c r="BA465" s="160"/>
      <c r="BB465" s="160"/>
      <c r="BC465" s="160"/>
      <c r="BD465" s="160"/>
      <c r="BE465" s="160"/>
      <c r="BF465" s="160"/>
      <c r="BG465" s="160"/>
      <c r="BH465" s="160"/>
      <c r="BI465" s="160"/>
      <c r="BJ465" s="160"/>
      <c r="BK465" s="160"/>
      <c r="BL465" s="160"/>
      <c r="BM465" s="160"/>
      <c r="BN465" s="160"/>
      <c r="BO465" s="160"/>
      <c r="BP465" s="160"/>
      <c r="BQ465" s="160"/>
      <c r="BR465" s="160"/>
      <c r="BS465" s="160"/>
      <c r="BT465" s="160"/>
      <c r="BU465" s="160"/>
      <c r="BV465" s="160"/>
      <c r="BW465" s="160"/>
      <c r="BX465" s="160"/>
      <c r="BY465" s="160"/>
      <c r="BZ465" s="160"/>
      <c r="CA465" s="160"/>
      <c r="CB465" s="160"/>
      <c r="CC465" s="160"/>
      <c r="CD465" s="160"/>
      <c r="CE465" s="160"/>
      <c r="CF465" s="160"/>
      <c r="CG465" s="160"/>
      <c r="CH465" s="160"/>
      <c r="CI465" s="160"/>
      <c r="CJ465" s="160"/>
      <c r="CK465" s="160"/>
      <c r="CL465" s="160"/>
      <c r="CM465" s="160"/>
      <c r="CN465" s="160"/>
      <c r="CO465" s="160"/>
      <c r="CP465" s="160"/>
      <c r="CQ465" s="160"/>
      <c r="CR465" s="160"/>
      <c r="CS465" s="160"/>
      <c r="CT465" s="160"/>
      <c r="CU465" s="160"/>
      <c r="CV465" s="160"/>
      <c r="CW465" s="160"/>
      <c r="CX465" s="160"/>
      <c r="CY465" s="160"/>
      <c r="CZ465" s="160"/>
      <c r="DA465" s="160"/>
      <c r="DB465" s="160"/>
      <c r="DC465" s="160"/>
      <c r="DD465" s="160"/>
      <c r="DE465" s="160"/>
      <c r="DF465" s="160"/>
      <c r="DG465" s="160"/>
      <c r="DH465" s="160"/>
      <c r="DI465" s="160"/>
      <c r="DJ465" s="160"/>
      <c r="DK465" s="160"/>
      <c r="DL465" s="160"/>
      <c r="DM465" s="160"/>
      <c r="DN465" s="160"/>
      <c r="DO465" s="160"/>
      <c r="DP465" s="160"/>
      <c r="DQ465" s="160"/>
      <c r="DR465" s="160"/>
      <c r="DS465" s="160"/>
      <c r="DT465" s="160"/>
      <c r="DU465" s="160"/>
      <c r="DV465" s="160"/>
      <c r="DW465" s="160"/>
      <c r="DX465" s="160"/>
      <c r="DY465" s="160"/>
      <c r="DZ465" s="160"/>
      <c r="EA465" s="160"/>
      <c r="EB465" s="160"/>
      <c r="EC465" s="160"/>
      <c r="ED465" s="160"/>
      <c r="EE465" s="160"/>
      <c r="EF465" s="160"/>
      <c r="EG465" s="160"/>
      <c r="EH465" s="160"/>
      <c r="EI465" s="160"/>
      <c r="EJ465" s="160"/>
      <c r="EK465" s="160"/>
      <c r="EL465" s="160"/>
      <c r="EM465" s="160"/>
      <c r="EN465" s="160"/>
      <c r="EO465" s="160"/>
      <c r="EP465" s="160"/>
      <c r="EQ465" s="160"/>
      <c r="ER465" s="160"/>
      <c r="ES465" s="160"/>
      <c r="ET465" s="160"/>
      <c r="EU465" s="160"/>
      <c r="EV465" s="160"/>
      <c r="EW465" s="160"/>
      <c r="EX465" s="160"/>
      <c r="EY465" s="160"/>
      <c r="EZ465" s="160"/>
      <c r="FA465" s="160"/>
      <c r="FB465" s="160"/>
      <c r="FC465" s="160"/>
      <c r="FD465" s="160"/>
      <c r="FE465" s="160"/>
      <c r="FF465" s="160"/>
      <c r="FG465" s="160"/>
      <c r="FH465" s="160"/>
      <c r="FI465" s="160"/>
      <c r="FJ465" s="160"/>
      <c r="FK465" s="160"/>
      <c r="FL465" s="160"/>
      <c r="FM465" s="160"/>
      <c r="FN465" s="160"/>
      <c r="FO465" s="160"/>
      <c r="FP465" s="160"/>
      <c r="FQ465" s="160"/>
      <c r="FR465" s="160"/>
      <c r="FS465" s="160"/>
      <c r="FT465" s="160"/>
      <c r="FU465" s="160"/>
      <c r="FV465" s="160"/>
      <c r="FW465" s="160"/>
      <c r="FX465" s="160"/>
      <c r="FY465" s="160"/>
      <c r="FZ465" s="160"/>
      <c r="GA465" s="160"/>
      <c r="GB465" s="160"/>
      <c r="GC465" s="160"/>
      <c r="GD465" s="160"/>
      <c r="GE465" s="160"/>
      <c r="GF465" s="160"/>
      <c r="GG465" s="160"/>
      <c r="GH465" s="160"/>
      <c r="GI465" s="160"/>
      <c r="GJ465" s="160"/>
      <c r="GK465" s="160"/>
      <c r="GL465" s="160"/>
      <c r="GM465" s="160"/>
      <c r="GN465" s="160"/>
      <c r="GO465" s="160"/>
      <c r="GP465" s="160"/>
      <c r="GQ465" s="160"/>
      <c r="GR465" s="160"/>
      <c r="GS465" s="160"/>
      <c r="GT465" s="160"/>
      <c r="GU465" s="160"/>
      <c r="GV465" s="160"/>
      <c r="GW465" s="160"/>
      <c r="GX465" s="160"/>
      <c r="GY465" s="160"/>
      <c r="GZ465" s="160"/>
      <c r="HA465" s="160"/>
      <c r="HB465" s="160"/>
      <c r="HC465" s="160"/>
      <c r="HD465" s="160"/>
      <c r="HE465" s="160"/>
      <c r="HF465" s="160"/>
      <c r="HG465" s="160"/>
      <c r="HH465" s="160"/>
      <c r="HI465" s="160"/>
      <c r="HJ465" s="160"/>
      <c r="HK465" s="160"/>
      <c r="HL465" s="160"/>
      <c r="HM465" s="160"/>
      <c r="HN465" s="160"/>
      <c r="HO465" s="160"/>
      <c r="HP465" s="160"/>
      <c r="HQ465" s="160"/>
      <c r="HR465" s="160"/>
      <c r="HS465" s="160"/>
      <c r="HT465" s="160"/>
      <c r="HU465" s="160"/>
      <c r="HV465" s="160"/>
      <c r="HW465" s="160"/>
      <c r="HX465" s="160"/>
      <c r="HY465" s="160"/>
      <c r="HZ465" s="160"/>
      <c r="IA465" s="160"/>
      <c r="IB465" s="160"/>
      <c r="IC465" s="160"/>
      <c r="ID465" s="160"/>
      <c r="IE465" s="160"/>
      <c r="IF465" s="160"/>
      <c r="IG465" s="160"/>
      <c r="IH465" s="160"/>
      <c r="II465" s="160"/>
      <c r="IJ465" s="160"/>
      <c r="IK465" s="160"/>
      <c r="IL465" s="160"/>
      <c r="IM465" s="160"/>
      <c r="IN465" s="160"/>
      <c r="IO465" s="160"/>
      <c r="IP465" s="160"/>
      <c r="IQ465" s="160"/>
      <c r="IR465" s="160"/>
    </row>
    <row r="466" spans="1:252" s="8" customFormat="1" ht="13.5" customHeight="1" x14ac:dyDescent="0.25">
      <c r="A466" s="213" t="s">
        <v>298</v>
      </c>
      <c r="B466" s="7" t="s">
        <v>1303</v>
      </c>
      <c r="C466" s="190"/>
      <c r="D466" s="60"/>
      <c r="E466" s="60"/>
      <c r="F466" s="60"/>
      <c r="G466" s="200" t="str">
        <f t="shared" si="26"/>
        <v/>
      </c>
      <c r="H466" s="192"/>
      <c r="I466" s="60"/>
      <c r="J466" s="60"/>
      <c r="K466" s="60"/>
      <c r="L466" s="200" t="str">
        <f t="shared" si="27"/>
        <v/>
      </c>
      <c r="M466" s="192"/>
      <c r="N466" s="60"/>
      <c r="O466" s="60"/>
      <c r="P466" s="60"/>
      <c r="Q466" s="200" t="str">
        <f t="shared" si="28"/>
        <v/>
      </c>
      <c r="R466" s="192"/>
      <c r="S466" s="60"/>
      <c r="T466" s="205"/>
      <c r="U466" s="160"/>
      <c r="V466" s="160"/>
      <c r="W466" s="160"/>
      <c r="X466" s="160"/>
      <c r="Y466" s="160"/>
      <c r="Z466" s="160"/>
      <c r="AA466" s="160"/>
      <c r="AB466" s="160"/>
      <c r="AC466" s="160"/>
      <c r="AD466" s="160"/>
      <c r="AE466" s="160"/>
      <c r="AF466" s="160"/>
      <c r="AG466" s="160"/>
      <c r="AH466" s="160"/>
      <c r="AI466" s="160"/>
      <c r="AJ466" s="160"/>
      <c r="AK466" s="160"/>
      <c r="AL466" s="160"/>
      <c r="AM466" s="160"/>
      <c r="AN466" s="160"/>
      <c r="AO466" s="160"/>
      <c r="AP466" s="160"/>
      <c r="AQ466" s="160"/>
      <c r="AR466" s="160"/>
      <c r="AS466" s="160"/>
      <c r="AT466" s="160"/>
      <c r="AU466" s="160"/>
      <c r="AV466" s="160"/>
      <c r="AW466" s="160"/>
      <c r="AX466" s="160"/>
      <c r="AY466" s="160"/>
      <c r="AZ466" s="160"/>
      <c r="BA466" s="160"/>
      <c r="BB466" s="160"/>
      <c r="BC466" s="160"/>
      <c r="BD466" s="160"/>
      <c r="BE466" s="160"/>
      <c r="BF466" s="160"/>
      <c r="BG466" s="160"/>
      <c r="BH466" s="160"/>
      <c r="BI466" s="160"/>
      <c r="BJ466" s="160"/>
      <c r="BK466" s="160"/>
      <c r="BL466" s="160"/>
      <c r="BM466" s="160"/>
      <c r="BN466" s="160"/>
      <c r="BO466" s="160"/>
      <c r="BP466" s="160"/>
      <c r="BQ466" s="160"/>
      <c r="BR466" s="160"/>
      <c r="BS466" s="160"/>
      <c r="BT466" s="160"/>
      <c r="BU466" s="160"/>
      <c r="BV466" s="160"/>
      <c r="BW466" s="160"/>
      <c r="BX466" s="160"/>
      <c r="BY466" s="160"/>
      <c r="BZ466" s="160"/>
      <c r="CA466" s="160"/>
      <c r="CB466" s="160"/>
      <c r="CC466" s="160"/>
      <c r="CD466" s="160"/>
      <c r="CE466" s="160"/>
      <c r="CF466" s="160"/>
      <c r="CG466" s="160"/>
      <c r="CH466" s="160"/>
      <c r="CI466" s="160"/>
      <c r="CJ466" s="160"/>
      <c r="CK466" s="160"/>
      <c r="CL466" s="160"/>
      <c r="CM466" s="160"/>
      <c r="CN466" s="160"/>
      <c r="CO466" s="160"/>
      <c r="CP466" s="160"/>
      <c r="CQ466" s="160"/>
      <c r="CR466" s="160"/>
      <c r="CS466" s="160"/>
      <c r="CT466" s="160"/>
      <c r="CU466" s="160"/>
      <c r="CV466" s="160"/>
      <c r="CW466" s="160"/>
      <c r="CX466" s="160"/>
      <c r="CY466" s="160"/>
      <c r="CZ466" s="160"/>
      <c r="DA466" s="160"/>
      <c r="DB466" s="160"/>
      <c r="DC466" s="160"/>
      <c r="DD466" s="160"/>
      <c r="DE466" s="160"/>
      <c r="DF466" s="160"/>
      <c r="DG466" s="160"/>
      <c r="DH466" s="160"/>
      <c r="DI466" s="160"/>
      <c r="DJ466" s="160"/>
      <c r="DK466" s="160"/>
      <c r="DL466" s="160"/>
      <c r="DM466" s="160"/>
      <c r="DN466" s="160"/>
      <c r="DO466" s="160"/>
      <c r="DP466" s="160"/>
      <c r="DQ466" s="160"/>
      <c r="DR466" s="160"/>
      <c r="DS466" s="160"/>
      <c r="DT466" s="160"/>
      <c r="DU466" s="160"/>
      <c r="DV466" s="160"/>
      <c r="DW466" s="160"/>
      <c r="DX466" s="160"/>
      <c r="DY466" s="160"/>
      <c r="DZ466" s="160"/>
      <c r="EA466" s="160"/>
      <c r="EB466" s="160"/>
      <c r="EC466" s="160"/>
      <c r="ED466" s="160"/>
      <c r="EE466" s="160"/>
      <c r="EF466" s="160"/>
      <c r="EG466" s="160"/>
      <c r="EH466" s="160"/>
      <c r="EI466" s="160"/>
      <c r="EJ466" s="160"/>
      <c r="EK466" s="160"/>
      <c r="EL466" s="160"/>
      <c r="EM466" s="160"/>
      <c r="EN466" s="160"/>
      <c r="EO466" s="160"/>
      <c r="EP466" s="160"/>
      <c r="EQ466" s="160"/>
      <c r="ER466" s="160"/>
      <c r="ES466" s="160"/>
      <c r="ET466" s="160"/>
      <c r="EU466" s="160"/>
      <c r="EV466" s="160"/>
      <c r="EW466" s="160"/>
      <c r="EX466" s="160"/>
      <c r="EY466" s="160"/>
      <c r="EZ466" s="160"/>
      <c r="FA466" s="160"/>
      <c r="FB466" s="160"/>
      <c r="FC466" s="160"/>
      <c r="FD466" s="160"/>
      <c r="FE466" s="160"/>
      <c r="FF466" s="160"/>
      <c r="FG466" s="160"/>
      <c r="FH466" s="160"/>
      <c r="FI466" s="160"/>
      <c r="FJ466" s="160"/>
      <c r="FK466" s="160"/>
      <c r="FL466" s="160"/>
      <c r="FM466" s="160"/>
      <c r="FN466" s="160"/>
      <c r="FO466" s="160"/>
      <c r="FP466" s="160"/>
      <c r="FQ466" s="160"/>
      <c r="FR466" s="160"/>
      <c r="FS466" s="160"/>
      <c r="FT466" s="160"/>
      <c r="FU466" s="160"/>
      <c r="FV466" s="160"/>
      <c r="FW466" s="160"/>
      <c r="FX466" s="160"/>
      <c r="FY466" s="160"/>
      <c r="FZ466" s="160"/>
      <c r="GA466" s="160"/>
      <c r="GB466" s="160"/>
      <c r="GC466" s="160"/>
      <c r="GD466" s="160"/>
      <c r="GE466" s="160"/>
      <c r="GF466" s="160"/>
      <c r="GG466" s="160"/>
      <c r="GH466" s="160"/>
      <c r="GI466" s="160"/>
      <c r="GJ466" s="160"/>
      <c r="GK466" s="160"/>
      <c r="GL466" s="160"/>
      <c r="GM466" s="160"/>
      <c r="GN466" s="160"/>
      <c r="GO466" s="160"/>
      <c r="GP466" s="160"/>
      <c r="GQ466" s="160"/>
      <c r="GR466" s="160"/>
      <c r="GS466" s="160"/>
      <c r="GT466" s="160"/>
      <c r="GU466" s="160"/>
      <c r="GV466" s="160"/>
      <c r="GW466" s="160"/>
      <c r="GX466" s="160"/>
      <c r="GY466" s="160"/>
      <c r="GZ466" s="160"/>
      <c r="HA466" s="160"/>
      <c r="HB466" s="160"/>
      <c r="HC466" s="160"/>
      <c r="HD466" s="160"/>
      <c r="HE466" s="160"/>
      <c r="HF466" s="160"/>
      <c r="HG466" s="160"/>
      <c r="HH466" s="160"/>
      <c r="HI466" s="160"/>
      <c r="HJ466" s="160"/>
      <c r="HK466" s="160"/>
      <c r="HL466" s="160"/>
      <c r="HM466" s="160"/>
      <c r="HN466" s="160"/>
      <c r="HO466" s="160"/>
      <c r="HP466" s="160"/>
      <c r="HQ466" s="160"/>
      <c r="HR466" s="160"/>
      <c r="HS466" s="160"/>
      <c r="HT466" s="160"/>
      <c r="HU466" s="160"/>
      <c r="HV466" s="160"/>
      <c r="HW466" s="160"/>
      <c r="HX466" s="160"/>
      <c r="HY466" s="160"/>
      <c r="HZ466" s="160"/>
      <c r="IA466" s="160"/>
      <c r="IB466" s="160"/>
      <c r="IC466" s="160"/>
      <c r="ID466" s="160"/>
      <c r="IE466" s="160"/>
      <c r="IF466" s="160"/>
      <c r="IG466" s="160"/>
      <c r="IH466" s="160"/>
      <c r="II466" s="160"/>
      <c r="IJ466" s="160"/>
      <c r="IK466" s="160"/>
      <c r="IL466" s="160"/>
      <c r="IM466" s="160"/>
      <c r="IN466" s="160"/>
      <c r="IO466" s="160"/>
      <c r="IP466" s="160"/>
      <c r="IQ466" s="160"/>
      <c r="IR466" s="160"/>
    </row>
    <row r="467" spans="1:252" s="8" customFormat="1" ht="13.5" customHeight="1" x14ac:dyDescent="0.25">
      <c r="A467" s="213" t="s">
        <v>298</v>
      </c>
      <c r="B467" s="7" t="s">
        <v>1305</v>
      </c>
      <c r="C467" s="190"/>
      <c r="D467" s="60"/>
      <c r="E467" s="60"/>
      <c r="F467" s="60"/>
      <c r="G467" s="200" t="str">
        <f t="shared" si="26"/>
        <v/>
      </c>
      <c r="H467" s="192"/>
      <c r="I467" s="60"/>
      <c r="J467" s="60"/>
      <c r="K467" s="60"/>
      <c r="L467" s="200" t="str">
        <f t="shared" si="27"/>
        <v/>
      </c>
      <c r="M467" s="192"/>
      <c r="N467" s="60"/>
      <c r="O467" s="60"/>
      <c r="P467" s="60"/>
      <c r="Q467" s="200" t="str">
        <f t="shared" si="28"/>
        <v/>
      </c>
      <c r="R467" s="192"/>
      <c r="S467" s="60"/>
      <c r="T467" s="205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0"/>
      <c r="AG467" s="160"/>
      <c r="AH467" s="160"/>
      <c r="AI467" s="160"/>
      <c r="AJ467" s="160"/>
      <c r="AK467" s="160"/>
      <c r="AL467" s="160"/>
      <c r="AM467" s="160"/>
      <c r="AN467" s="160"/>
      <c r="AO467" s="160"/>
      <c r="AP467" s="160"/>
      <c r="AQ467" s="160"/>
      <c r="AR467" s="160"/>
      <c r="AS467" s="160"/>
      <c r="AT467" s="160"/>
      <c r="AU467" s="160"/>
      <c r="AV467" s="160"/>
      <c r="AW467" s="160"/>
      <c r="AX467" s="160"/>
      <c r="AY467" s="160"/>
      <c r="AZ467" s="160"/>
      <c r="BA467" s="160"/>
      <c r="BB467" s="160"/>
      <c r="BC467" s="160"/>
      <c r="BD467" s="160"/>
      <c r="BE467" s="160"/>
      <c r="BF467" s="160"/>
      <c r="BG467" s="160"/>
      <c r="BH467" s="160"/>
      <c r="BI467" s="160"/>
      <c r="BJ467" s="160"/>
      <c r="BK467" s="160"/>
      <c r="BL467" s="160"/>
      <c r="BM467" s="160"/>
      <c r="BN467" s="160"/>
      <c r="BO467" s="160"/>
      <c r="BP467" s="160"/>
      <c r="BQ467" s="160"/>
      <c r="BR467" s="160"/>
      <c r="BS467" s="160"/>
      <c r="BT467" s="160"/>
      <c r="BU467" s="160"/>
      <c r="BV467" s="160"/>
      <c r="BW467" s="160"/>
      <c r="BX467" s="160"/>
      <c r="BY467" s="160"/>
      <c r="BZ467" s="160"/>
      <c r="CA467" s="160"/>
      <c r="CB467" s="160"/>
      <c r="CC467" s="160"/>
      <c r="CD467" s="160"/>
      <c r="CE467" s="160"/>
      <c r="CF467" s="160"/>
      <c r="CG467" s="160"/>
      <c r="CH467" s="160"/>
      <c r="CI467" s="160"/>
      <c r="CJ467" s="160"/>
      <c r="CK467" s="160"/>
      <c r="CL467" s="160"/>
      <c r="CM467" s="160"/>
      <c r="CN467" s="160"/>
      <c r="CO467" s="160"/>
      <c r="CP467" s="160"/>
      <c r="CQ467" s="160"/>
      <c r="CR467" s="160"/>
      <c r="CS467" s="160"/>
      <c r="CT467" s="160"/>
      <c r="CU467" s="160"/>
      <c r="CV467" s="160"/>
      <c r="CW467" s="160"/>
      <c r="CX467" s="160"/>
      <c r="CY467" s="160"/>
      <c r="CZ467" s="160"/>
      <c r="DA467" s="160"/>
      <c r="DB467" s="160"/>
      <c r="DC467" s="160"/>
      <c r="DD467" s="160"/>
      <c r="DE467" s="160"/>
      <c r="DF467" s="160"/>
      <c r="DG467" s="160"/>
      <c r="DH467" s="160"/>
      <c r="DI467" s="160"/>
      <c r="DJ467" s="160"/>
      <c r="DK467" s="160"/>
      <c r="DL467" s="160"/>
      <c r="DM467" s="160"/>
      <c r="DN467" s="160"/>
      <c r="DO467" s="160"/>
      <c r="DP467" s="160"/>
      <c r="DQ467" s="160"/>
      <c r="DR467" s="160"/>
      <c r="DS467" s="160"/>
      <c r="DT467" s="160"/>
      <c r="DU467" s="160"/>
      <c r="DV467" s="160"/>
      <c r="DW467" s="160"/>
      <c r="DX467" s="160"/>
      <c r="DY467" s="160"/>
      <c r="DZ467" s="160"/>
      <c r="EA467" s="160"/>
      <c r="EB467" s="160"/>
      <c r="EC467" s="160"/>
      <c r="ED467" s="160"/>
      <c r="EE467" s="160"/>
      <c r="EF467" s="160"/>
      <c r="EG467" s="160"/>
      <c r="EH467" s="160"/>
      <c r="EI467" s="160"/>
      <c r="EJ467" s="160"/>
      <c r="EK467" s="160"/>
      <c r="EL467" s="160"/>
      <c r="EM467" s="160"/>
      <c r="EN467" s="160"/>
      <c r="EO467" s="160"/>
      <c r="EP467" s="160"/>
      <c r="EQ467" s="160"/>
      <c r="ER467" s="160"/>
      <c r="ES467" s="160"/>
      <c r="ET467" s="160"/>
      <c r="EU467" s="160"/>
      <c r="EV467" s="160"/>
      <c r="EW467" s="160"/>
      <c r="EX467" s="160"/>
      <c r="EY467" s="160"/>
      <c r="EZ467" s="160"/>
      <c r="FA467" s="160"/>
      <c r="FB467" s="160"/>
      <c r="FC467" s="160"/>
      <c r="FD467" s="160"/>
      <c r="FE467" s="160"/>
      <c r="FF467" s="160"/>
      <c r="FG467" s="160"/>
      <c r="FH467" s="160"/>
      <c r="FI467" s="160"/>
      <c r="FJ467" s="160"/>
      <c r="FK467" s="160"/>
      <c r="FL467" s="160"/>
      <c r="FM467" s="160"/>
      <c r="FN467" s="160"/>
      <c r="FO467" s="160"/>
      <c r="FP467" s="160"/>
      <c r="FQ467" s="160"/>
      <c r="FR467" s="160"/>
      <c r="FS467" s="160"/>
      <c r="FT467" s="160"/>
      <c r="FU467" s="160"/>
      <c r="FV467" s="160"/>
      <c r="FW467" s="160"/>
      <c r="FX467" s="160"/>
      <c r="FY467" s="160"/>
      <c r="FZ467" s="160"/>
      <c r="GA467" s="160"/>
      <c r="GB467" s="160"/>
      <c r="GC467" s="160"/>
      <c r="GD467" s="160"/>
      <c r="GE467" s="160"/>
      <c r="GF467" s="160"/>
      <c r="GG467" s="160"/>
      <c r="GH467" s="160"/>
      <c r="GI467" s="160"/>
      <c r="GJ467" s="160"/>
      <c r="GK467" s="160"/>
      <c r="GL467" s="160"/>
      <c r="GM467" s="160"/>
      <c r="GN467" s="160"/>
      <c r="GO467" s="160"/>
      <c r="GP467" s="160"/>
      <c r="GQ467" s="160"/>
      <c r="GR467" s="160"/>
      <c r="GS467" s="160"/>
      <c r="GT467" s="160"/>
      <c r="GU467" s="160"/>
      <c r="GV467" s="160"/>
      <c r="GW467" s="160"/>
      <c r="GX467" s="160"/>
      <c r="GY467" s="160"/>
      <c r="GZ467" s="160"/>
      <c r="HA467" s="160"/>
      <c r="HB467" s="160"/>
      <c r="HC467" s="160"/>
      <c r="HD467" s="160"/>
      <c r="HE467" s="160"/>
      <c r="HF467" s="160"/>
      <c r="HG467" s="160"/>
      <c r="HH467" s="160"/>
      <c r="HI467" s="160"/>
      <c r="HJ467" s="160"/>
      <c r="HK467" s="160"/>
      <c r="HL467" s="160"/>
      <c r="HM467" s="160"/>
      <c r="HN467" s="160"/>
      <c r="HO467" s="160"/>
      <c r="HP467" s="160"/>
      <c r="HQ467" s="160"/>
      <c r="HR467" s="160"/>
      <c r="HS467" s="160"/>
      <c r="HT467" s="160"/>
      <c r="HU467" s="160"/>
      <c r="HV467" s="160"/>
      <c r="HW467" s="160"/>
      <c r="HX467" s="160"/>
      <c r="HY467" s="160"/>
      <c r="HZ467" s="160"/>
      <c r="IA467" s="160"/>
      <c r="IB467" s="160"/>
      <c r="IC467" s="160"/>
      <c r="ID467" s="160"/>
      <c r="IE467" s="160"/>
      <c r="IF467" s="160"/>
      <c r="IG467" s="160"/>
      <c r="IH467" s="160"/>
      <c r="II467" s="160"/>
      <c r="IJ467" s="160"/>
      <c r="IK467" s="160"/>
      <c r="IL467" s="160"/>
      <c r="IM467" s="160"/>
      <c r="IN467" s="160"/>
      <c r="IO467" s="160"/>
      <c r="IP467" s="160"/>
      <c r="IQ467" s="160"/>
      <c r="IR467" s="160"/>
    </row>
    <row r="468" spans="1:252" s="8" customFormat="1" ht="13.5" customHeight="1" x14ac:dyDescent="0.25">
      <c r="A468" s="213" t="s">
        <v>298</v>
      </c>
      <c r="B468" s="7" t="s">
        <v>1307</v>
      </c>
      <c r="C468" s="190"/>
      <c r="D468" s="60"/>
      <c r="E468" s="60"/>
      <c r="F468" s="60"/>
      <c r="G468" s="200" t="str">
        <f t="shared" si="26"/>
        <v/>
      </c>
      <c r="H468" s="192"/>
      <c r="I468" s="60"/>
      <c r="J468" s="60"/>
      <c r="K468" s="60"/>
      <c r="L468" s="200" t="str">
        <f t="shared" si="27"/>
        <v/>
      </c>
      <c r="M468" s="192"/>
      <c r="N468" s="60"/>
      <c r="O468" s="60"/>
      <c r="P468" s="60"/>
      <c r="Q468" s="200" t="str">
        <f t="shared" si="28"/>
        <v/>
      </c>
      <c r="R468" s="192"/>
      <c r="S468" s="60"/>
      <c r="T468" s="205"/>
      <c r="U468" s="160"/>
      <c r="V468" s="160"/>
      <c r="W468" s="160"/>
      <c r="X468" s="160"/>
      <c r="Y468" s="160"/>
      <c r="Z468" s="160"/>
      <c r="AA468" s="160"/>
      <c r="AB468" s="160"/>
      <c r="AC468" s="160"/>
      <c r="AD468" s="160"/>
      <c r="AE468" s="160"/>
      <c r="AF468" s="160"/>
      <c r="AG468" s="160"/>
      <c r="AH468" s="160"/>
      <c r="AI468" s="160"/>
      <c r="AJ468" s="160"/>
      <c r="AK468" s="160"/>
      <c r="AL468" s="160"/>
      <c r="AM468" s="160"/>
      <c r="AN468" s="160"/>
      <c r="AO468" s="160"/>
      <c r="AP468" s="160"/>
      <c r="AQ468" s="160"/>
      <c r="AR468" s="160"/>
      <c r="AS468" s="160"/>
      <c r="AT468" s="160"/>
      <c r="AU468" s="160"/>
      <c r="AV468" s="160"/>
      <c r="AW468" s="160"/>
      <c r="AX468" s="160"/>
      <c r="AY468" s="160"/>
      <c r="AZ468" s="160"/>
      <c r="BA468" s="160"/>
      <c r="BB468" s="160"/>
      <c r="BC468" s="160"/>
      <c r="BD468" s="160"/>
      <c r="BE468" s="160"/>
      <c r="BF468" s="160"/>
      <c r="BG468" s="160"/>
      <c r="BH468" s="160"/>
      <c r="BI468" s="160"/>
      <c r="BJ468" s="160"/>
      <c r="BK468" s="160"/>
      <c r="BL468" s="160"/>
      <c r="BM468" s="160"/>
      <c r="BN468" s="160"/>
      <c r="BO468" s="160"/>
      <c r="BP468" s="160"/>
      <c r="BQ468" s="160"/>
      <c r="BR468" s="160"/>
      <c r="BS468" s="160"/>
      <c r="BT468" s="160"/>
      <c r="BU468" s="160"/>
      <c r="BV468" s="160"/>
      <c r="BW468" s="160"/>
      <c r="BX468" s="160"/>
      <c r="BY468" s="160"/>
      <c r="BZ468" s="160"/>
      <c r="CA468" s="160"/>
      <c r="CB468" s="160"/>
      <c r="CC468" s="160"/>
      <c r="CD468" s="160"/>
      <c r="CE468" s="160"/>
      <c r="CF468" s="160"/>
      <c r="CG468" s="160"/>
      <c r="CH468" s="160"/>
      <c r="CI468" s="160"/>
      <c r="CJ468" s="160"/>
      <c r="CK468" s="160"/>
      <c r="CL468" s="160"/>
      <c r="CM468" s="160"/>
      <c r="CN468" s="160"/>
      <c r="CO468" s="160"/>
      <c r="CP468" s="160"/>
      <c r="CQ468" s="160"/>
      <c r="CR468" s="160"/>
      <c r="CS468" s="160"/>
      <c r="CT468" s="160"/>
      <c r="CU468" s="160"/>
      <c r="CV468" s="160"/>
      <c r="CW468" s="160"/>
      <c r="CX468" s="160"/>
      <c r="CY468" s="160"/>
      <c r="CZ468" s="160"/>
      <c r="DA468" s="160"/>
      <c r="DB468" s="160"/>
      <c r="DC468" s="160"/>
      <c r="DD468" s="160"/>
      <c r="DE468" s="160"/>
      <c r="DF468" s="160"/>
      <c r="DG468" s="160"/>
      <c r="DH468" s="160"/>
      <c r="DI468" s="160"/>
      <c r="DJ468" s="160"/>
      <c r="DK468" s="160"/>
      <c r="DL468" s="160"/>
      <c r="DM468" s="160"/>
      <c r="DN468" s="160"/>
      <c r="DO468" s="160"/>
      <c r="DP468" s="160"/>
      <c r="DQ468" s="160"/>
      <c r="DR468" s="160"/>
      <c r="DS468" s="160"/>
      <c r="DT468" s="160"/>
      <c r="DU468" s="160"/>
      <c r="DV468" s="160"/>
      <c r="DW468" s="160"/>
      <c r="DX468" s="160"/>
      <c r="DY468" s="160"/>
      <c r="DZ468" s="160"/>
      <c r="EA468" s="160"/>
      <c r="EB468" s="160"/>
      <c r="EC468" s="160"/>
      <c r="ED468" s="160"/>
      <c r="EE468" s="160"/>
      <c r="EF468" s="160"/>
      <c r="EG468" s="160"/>
      <c r="EH468" s="160"/>
      <c r="EI468" s="160"/>
      <c r="EJ468" s="160"/>
      <c r="EK468" s="160"/>
      <c r="EL468" s="160"/>
      <c r="EM468" s="160"/>
      <c r="EN468" s="160"/>
      <c r="EO468" s="160"/>
      <c r="EP468" s="160"/>
      <c r="EQ468" s="160"/>
      <c r="ER468" s="160"/>
      <c r="ES468" s="160"/>
      <c r="ET468" s="160"/>
      <c r="EU468" s="160"/>
      <c r="EV468" s="160"/>
      <c r="EW468" s="160"/>
      <c r="EX468" s="160"/>
      <c r="EY468" s="160"/>
      <c r="EZ468" s="160"/>
      <c r="FA468" s="160"/>
      <c r="FB468" s="160"/>
      <c r="FC468" s="160"/>
      <c r="FD468" s="160"/>
      <c r="FE468" s="160"/>
      <c r="FF468" s="160"/>
      <c r="FG468" s="160"/>
      <c r="FH468" s="160"/>
      <c r="FI468" s="160"/>
      <c r="FJ468" s="160"/>
      <c r="FK468" s="160"/>
      <c r="FL468" s="160"/>
      <c r="FM468" s="160"/>
      <c r="FN468" s="160"/>
      <c r="FO468" s="160"/>
      <c r="FP468" s="160"/>
      <c r="FQ468" s="160"/>
      <c r="FR468" s="160"/>
      <c r="FS468" s="160"/>
      <c r="FT468" s="160"/>
      <c r="FU468" s="160"/>
      <c r="FV468" s="160"/>
      <c r="FW468" s="160"/>
      <c r="FX468" s="160"/>
      <c r="FY468" s="160"/>
      <c r="FZ468" s="160"/>
      <c r="GA468" s="160"/>
      <c r="GB468" s="160"/>
      <c r="GC468" s="160"/>
      <c r="GD468" s="160"/>
      <c r="GE468" s="160"/>
      <c r="GF468" s="160"/>
      <c r="GG468" s="160"/>
      <c r="GH468" s="160"/>
      <c r="GI468" s="160"/>
      <c r="GJ468" s="160"/>
      <c r="GK468" s="160"/>
      <c r="GL468" s="160"/>
      <c r="GM468" s="160"/>
      <c r="GN468" s="160"/>
      <c r="GO468" s="160"/>
      <c r="GP468" s="160"/>
      <c r="GQ468" s="160"/>
      <c r="GR468" s="160"/>
      <c r="GS468" s="160"/>
      <c r="GT468" s="160"/>
      <c r="GU468" s="160"/>
      <c r="GV468" s="160"/>
      <c r="GW468" s="160"/>
      <c r="GX468" s="160"/>
      <c r="GY468" s="160"/>
      <c r="GZ468" s="160"/>
      <c r="HA468" s="160"/>
      <c r="HB468" s="160"/>
      <c r="HC468" s="160"/>
      <c r="HD468" s="160"/>
      <c r="HE468" s="160"/>
      <c r="HF468" s="160"/>
      <c r="HG468" s="160"/>
      <c r="HH468" s="160"/>
      <c r="HI468" s="160"/>
      <c r="HJ468" s="160"/>
      <c r="HK468" s="160"/>
      <c r="HL468" s="160"/>
      <c r="HM468" s="160"/>
      <c r="HN468" s="160"/>
      <c r="HO468" s="160"/>
      <c r="HP468" s="160"/>
      <c r="HQ468" s="160"/>
      <c r="HR468" s="160"/>
      <c r="HS468" s="160"/>
      <c r="HT468" s="160"/>
      <c r="HU468" s="160"/>
      <c r="HV468" s="160"/>
      <c r="HW468" s="160"/>
      <c r="HX468" s="160"/>
      <c r="HY468" s="160"/>
      <c r="HZ468" s="160"/>
      <c r="IA468" s="160"/>
      <c r="IB468" s="160"/>
      <c r="IC468" s="160"/>
      <c r="ID468" s="160"/>
      <c r="IE468" s="160"/>
      <c r="IF468" s="160"/>
      <c r="IG468" s="160"/>
      <c r="IH468" s="160"/>
      <c r="II468" s="160"/>
      <c r="IJ468" s="160"/>
      <c r="IK468" s="160"/>
      <c r="IL468" s="160"/>
      <c r="IM468" s="160"/>
      <c r="IN468" s="160"/>
      <c r="IO468" s="160"/>
      <c r="IP468" s="160"/>
      <c r="IQ468" s="160"/>
      <c r="IR468" s="160"/>
    </row>
    <row r="469" spans="1:252" s="8" customFormat="1" ht="13.5" customHeight="1" x14ac:dyDescent="0.25">
      <c r="A469" s="213" t="s">
        <v>298</v>
      </c>
      <c r="B469" s="7" t="s">
        <v>1309</v>
      </c>
      <c r="C469" s="190"/>
      <c r="D469" s="60"/>
      <c r="E469" s="60"/>
      <c r="F469" s="60"/>
      <c r="G469" s="200" t="str">
        <f t="shared" si="26"/>
        <v/>
      </c>
      <c r="H469" s="192"/>
      <c r="I469" s="60"/>
      <c r="J469" s="60"/>
      <c r="K469" s="60"/>
      <c r="L469" s="200" t="str">
        <f t="shared" si="27"/>
        <v/>
      </c>
      <c r="M469" s="192"/>
      <c r="N469" s="60"/>
      <c r="O469" s="60"/>
      <c r="P469" s="60"/>
      <c r="Q469" s="200" t="str">
        <f t="shared" si="28"/>
        <v/>
      </c>
      <c r="R469" s="192"/>
      <c r="S469" s="60"/>
      <c r="T469" s="205"/>
      <c r="U469" s="160"/>
      <c r="V469" s="160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0"/>
      <c r="AG469" s="160"/>
      <c r="AH469" s="160"/>
      <c r="AI469" s="160"/>
      <c r="AJ469" s="160"/>
      <c r="AK469" s="160"/>
      <c r="AL469" s="160"/>
      <c r="AM469" s="160"/>
      <c r="AN469" s="160"/>
      <c r="AO469" s="160"/>
      <c r="AP469" s="160"/>
      <c r="AQ469" s="160"/>
      <c r="AR469" s="160"/>
      <c r="AS469" s="160"/>
      <c r="AT469" s="160"/>
      <c r="AU469" s="160"/>
      <c r="AV469" s="160"/>
      <c r="AW469" s="160"/>
      <c r="AX469" s="160"/>
      <c r="AY469" s="160"/>
      <c r="AZ469" s="160"/>
      <c r="BA469" s="160"/>
      <c r="BB469" s="160"/>
      <c r="BC469" s="160"/>
      <c r="BD469" s="160"/>
      <c r="BE469" s="160"/>
      <c r="BF469" s="160"/>
      <c r="BG469" s="160"/>
      <c r="BH469" s="160"/>
      <c r="BI469" s="160"/>
      <c r="BJ469" s="160"/>
      <c r="BK469" s="160"/>
      <c r="BL469" s="160"/>
      <c r="BM469" s="160"/>
      <c r="BN469" s="160"/>
      <c r="BO469" s="160"/>
      <c r="BP469" s="160"/>
      <c r="BQ469" s="160"/>
      <c r="BR469" s="160"/>
      <c r="BS469" s="160"/>
      <c r="BT469" s="160"/>
      <c r="BU469" s="160"/>
      <c r="BV469" s="160"/>
      <c r="BW469" s="160"/>
      <c r="BX469" s="160"/>
      <c r="BY469" s="160"/>
      <c r="BZ469" s="160"/>
      <c r="CA469" s="160"/>
      <c r="CB469" s="160"/>
      <c r="CC469" s="160"/>
      <c r="CD469" s="160"/>
      <c r="CE469" s="160"/>
      <c r="CF469" s="160"/>
      <c r="CG469" s="160"/>
      <c r="CH469" s="160"/>
      <c r="CI469" s="160"/>
      <c r="CJ469" s="160"/>
      <c r="CK469" s="160"/>
      <c r="CL469" s="160"/>
      <c r="CM469" s="160"/>
      <c r="CN469" s="160"/>
      <c r="CO469" s="160"/>
      <c r="CP469" s="160"/>
      <c r="CQ469" s="160"/>
      <c r="CR469" s="160"/>
      <c r="CS469" s="160"/>
      <c r="CT469" s="160"/>
      <c r="CU469" s="160"/>
      <c r="CV469" s="160"/>
      <c r="CW469" s="160"/>
      <c r="CX469" s="160"/>
      <c r="CY469" s="160"/>
      <c r="CZ469" s="160"/>
      <c r="DA469" s="160"/>
      <c r="DB469" s="160"/>
      <c r="DC469" s="160"/>
      <c r="DD469" s="160"/>
      <c r="DE469" s="160"/>
      <c r="DF469" s="160"/>
      <c r="DG469" s="160"/>
      <c r="DH469" s="160"/>
      <c r="DI469" s="160"/>
      <c r="DJ469" s="160"/>
      <c r="DK469" s="160"/>
      <c r="DL469" s="160"/>
      <c r="DM469" s="160"/>
      <c r="DN469" s="160"/>
      <c r="DO469" s="160"/>
      <c r="DP469" s="160"/>
      <c r="DQ469" s="160"/>
      <c r="DR469" s="160"/>
      <c r="DS469" s="160"/>
      <c r="DT469" s="160"/>
      <c r="DU469" s="160"/>
      <c r="DV469" s="160"/>
      <c r="DW469" s="160"/>
      <c r="DX469" s="160"/>
      <c r="DY469" s="160"/>
      <c r="DZ469" s="160"/>
      <c r="EA469" s="160"/>
      <c r="EB469" s="160"/>
      <c r="EC469" s="160"/>
      <c r="ED469" s="160"/>
      <c r="EE469" s="160"/>
      <c r="EF469" s="160"/>
      <c r="EG469" s="160"/>
      <c r="EH469" s="160"/>
      <c r="EI469" s="160"/>
      <c r="EJ469" s="160"/>
      <c r="EK469" s="160"/>
      <c r="EL469" s="160"/>
      <c r="EM469" s="160"/>
      <c r="EN469" s="160"/>
      <c r="EO469" s="160"/>
      <c r="EP469" s="160"/>
      <c r="EQ469" s="160"/>
      <c r="ER469" s="160"/>
      <c r="ES469" s="160"/>
      <c r="ET469" s="160"/>
      <c r="EU469" s="160"/>
      <c r="EV469" s="160"/>
      <c r="EW469" s="160"/>
      <c r="EX469" s="160"/>
      <c r="EY469" s="160"/>
      <c r="EZ469" s="160"/>
      <c r="FA469" s="160"/>
      <c r="FB469" s="160"/>
      <c r="FC469" s="160"/>
      <c r="FD469" s="160"/>
      <c r="FE469" s="160"/>
      <c r="FF469" s="160"/>
      <c r="FG469" s="160"/>
      <c r="FH469" s="160"/>
      <c r="FI469" s="160"/>
      <c r="FJ469" s="160"/>
      <c r="FK469" s="160"/>
      <c r="FL469" s="160"/>
      <c r="FM469" s="160"/>
      <c r="FN469" s="160"/>
      <c r="FO469" s="160"/>
      <c r="FP469" s="160"/>
      <c r="FQ469" s="160"/>
      <c r="FR469" s="160"/>
      <c r="FS469" s="160"/>
      <c r="FT469" s="160"/>
      <c r="FU469" s="160"/>
      <c r="FV469" s="160"/>
      <c r="FW469" s="160"/>
      <c r="FX469" s="160"/>
      <c r="FY469" s="160"/>
      <c r="FZ469" s="160"/>
      <c r="GA469" s="160"/>
      <c r="GB469" s="160"/>
      <c r="GC469" s="160"/>
      <c r="GD469" s="160"/>
      <c r="GE469" s="160"/>
      <c r="GF469" s="160"/>
      <c r="GG469" s="160"/>
      <c r="GH469" s="160"/>
      <c r="GI469" s="160"/>
      <c r="GJ469" s="160"/>
      <c r="GK469" s="160"/>
      <c r="GL469" s="160"/>
      <c r="GM469" s="160"/>
      <c r="GN469" s="160"/>
      <c r="GO469" s="160"/>
      <c r="GP469" s="160"/>
      <c r="GQ469" s="160"/>
      <c r="GR469" s="160"/>
      <c r="GS469" s="160"/>
      <c r="GT469" s="160"/>
      <c r="GU469" s="160"/>
      <c r="GV469" s="160"/>
      <c r="GW469" s="160"/>
      <c r="GX469" s="160"/>
      <c r="GY469" s="160"/>
      <c r="GZ469" s="160"/>
      <c r="HA469" s="160"/>
      <c r="HB469" s="160"/>
      <c r="HC469" s="160"/>
      <c r="HD469" s="160"/>
      <c r="HE469" s="160"/>
      <c r="HF469" s="160"/>
      <c r="HG469" s="160"/>
      <c r="HH469" s="160"/>
      <c r="HI469" s="160"/>
      <c r="HJ469" s="160"/>
      <c r="HK469" s="160"/>
      <c r="HL469" s="160"/>
      <c r="HM469" s="160"/>
      <c r="HN469" s="160"/>
      <c r="HO469" s="160"/>
      <c r="HP469" s="160"/>
      <c r="HQ469" s="160"/>
      <c r="HR469" s="160"/>
      <c r="HS469" s="160"/>
      <c r="HT469" s="160"/>
      <c r="HU469" s="160"/>
      <c r="HV469" s="160"/>
      <c r="HW469" s="160"/>
      <c r="HX469" s="160"/>
      <c r="HY469" s="160"/>
      <c r="HZ469" s="160"/>
      <c r="IA469" s="160"/>
      <c r="IB469" s="160"/>
      <c r="IC469" s="160"/>
      <c r="ID469" s="160"/>
      <c r="IE469" s="160"/>
      <c r="IF469" s="160"/>
      <c r="IG469" s="160"/>
      <c r="IH469" s="160"/>
      <c r="II469" s="160"/>
      <c r="IJ469" s="160"/>
      <c r="IK469" s="160"/>
      <c r="IL469" s="160"/>
      <c r="IM469" s="160"/>
      <c r="IN469" s="160"/>
      <c r="IO469" s="160"/>
      <c r="IP469" s="160"/>
      <c r="IQ469" s="160"/>
      <c r="IR469" s="160"/>
    </row>
    <row r="470" spans="1:252" s="8" customFormat="1" ht="13.5" customHeight="1" x14ac:dyDescent="0.25">
      <c r="A470" s="213" t="s">
        <v>298</v>
      </c>
      <c r="B470" s="7" t="s">
        <v>1311</v>
      </c>
      <c r="C470" s="190"/>
      <c r="D470" s="60"/>
      <c r="E470" s="60"/>
      <c r="F470" s="60"/>
      <c r="G470" s="200" t="str">
        <f t="shared" si="26"/>
        <v/>
      </c>
      <c r="H470" s="192"/>
      <c r="I470" s="60"/>
      <c r="J470" s="60"/>
      <c r="K470" s="60"/>
      <c r="L470" s="200" t="str">
        <f t="shared" si="27"/>
        <v/>
      </c>
      <c r="M470" s="192"/>
      <c r="N470" s="60"/>
      <c r="O470" s="60"/>
      <c r="P470" s="60"/>
      <c r="Q470" s="200" t="str">
        <f t="shared" si="28"/>
        <v/>
      </c>
      <c r="R470" s="192"/>
      <c r="S470" s="60"/>
      <c r="T470" s="205"/>
      <c r="U470" s="160"/>
      <c r="V470" s="160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160"/>
      <c r="AG470" s="160"/>
      <c r="AH470" s="160"/>
      <c r="AI470" s="160"/>
      <c r="AJ470" s="160"/>
      <c r="AK470" s="160"/>
      <c r="AL470" s="160"/>
      <c r="AM470" s="160"/>
      <c r="AN470" s="160"/>
      <c r="AO470" s="160"/>
      <c r="AP470" s="160"/>
      <c r="AQ470" s="160"/>
      <c r="AR470" s="160"/>
      <c r="AS470" s="160"/>
      <c r="AT470" s="160"/>
      <c r="AU470" s="160"/>
      <c r="AV470" s="160"/>
      <c r="AW470" s="160"/>
      <c r="AX470" s="160"/>
      <c r="AY470" s="160"/>
      <c r="AZ470" s="160"/>
      <c r="BA470" s="160"/>
      <c r="BB470" s="160"/>
      <c r="BC470" s="160"/>
      <c r="BD470" s="160"/>
      <c r="BE470" s="160"/>
      <c r="BF470" s="160"/>
      <c r="BG470" s="160"/>
      <c r="BH470" s="160"/>
      <c r="BI470" s="160"/>
      <c r="BJ470" s="160"/>
      <c r="BK470" s="160"/>
      <c r="BL470" s="160"/>
      <c r="BM470" s="160"/>
      <c r="BN470" s="160"/>
      <c r="BO470" s="160"/>
      <c r="BP470" s="160"/>
      <c r="BQ470" s="160"/>
      <c r="BR470" s="160"/>
      <c r="BS470" s="160"/>
      <c r="BT470" s="160"/>
      <c r="BU470" s="160"/>
      <c r="BV470" s="160"/>
      <c r="BW470" s="160"/>
      <c r="BX470" s="160"/>
      <c r="BY470" s="160"/>
      <c r="BZ470" s="160"/>
      <c r="CA470" s="160"/>
      <c r="CB470" s="160"/>
      <c r="CC470" s="160"/>
      <c r="CD470" s="160"/>
      <c r="CE470" s="160"/>
      <c r="CF470" s="160"/>
      <c r="CG470" s="160"/>
      <c r="CH470" s="160"/>
      <c r="CI470" s="160"/>
      <c r="CJ470" s="160"/>
      <c r="CK470" s="160"/>
      <c r="CL470" s="160"/>
      <c r="CM470" s="160"/>
      <c r="CN470" s="160"/>
      <c r="CO470" s="160"/>
      <c r="CP470" s="160"/>
      <c r="CQ470" s="160"/>
      <c r="CR470" s="160"/>
      <c r="CS470" s="160"/>
      <c r="CT470" s="160"/>
      <c r="CU470" s="160"/>
      <c r="CV470" s="160"/>
      <c r="CW470" s="160"/>
      <c r="CX470" s="160"/>
      <c r="CY470" s="160"/>
      <c r="CZ470" s="160"/>
      <c r="DA470" s="160"/>
      <c r="DB470" s="160"/>
      <c r="DC470" s="160"/>
      <c r="DD470" s="160"/>
      <c r="DE470" s="160"/>
      <c r="DF470" s="160"/>
      <c r="DG470" s="160"/>
      <c r="DH470" s="160"/>
      <c r="DI470" s="160"/>
      <c r="DJ470" s="160"/>
      <c r="DK470" s="160"/>
      <c r="DL470" s="160"/>
      <c r="DM470" s="160"/>
      <c r="DN470" s="160"/>
      <c r="DO470" s="160"/>
      <c r="DP470" s="160"/>
      <c r="DQ470" s="160"/>
      <c r="DR470" s="160"/>
      <c r="DS470" s="160"/>
      <c r="DT470" s="160"/>
      <c r="DU470" s="160"/>
      <c r="DV470" s="160"/>
      <c r="DW470" s="160"/>
      <c r="DX470" s="160"/>
      <c r="DY470" s="160"/>
      <c r="DZ470" s="160"/>
      <c r="EA470" s="160"/>
      <c r="EB470" s="160"/>
      <c r="EC470" s="160"/>
      <c r="ED470" s="160"/>
      <c r="EE470" s="160"/>
      <c r="EF470" s="160"/>
      <c r="EG470" s="160"/>
      <c r="EH470" s="160"/>
      <c r="EI470" s="160"/>
      <c r="EJ470" s="160"/>
      <c r="EK470" s="160"/>
      <c r="EL470" s="160"/>
      <c r="EM470" s="160"/>
      <c r="EN470" s="160"/>
      <c r="EO470" s="160"/>
      <c r="EP470" s="160"/>
      <c r="EQ470" s="160"/>
      <c r="ER470" s="160"/>
      <c r="ES470" s="160"/>
      <c r="ET470" s="160"/>
      <c r="EU470" s="160"/>
      <c r="EV470" s="160"/>
      <c r="EW470" s="160"/>
      <c r="EX470" s="160"/>
      <c r="EY470" s="160"/>
      <c r="EZ470" s="160"/>
      <c r="FA470" s="160"/>
      <c r="FB470" s="160"/>
      <c r="FC470" s="160"/>
      <c r="FD470" s="160"/>
      <c r="FE470" s="160"/>
      <c r="FF470" s="160"/>
      <c r="FG470" s="160"/>
      <c r="FH470" s="160"/>
      <c r="FI470" s="160"/>
      <c r="FJ470" s="160"/>
      <c r="FK470" s="160"/>
      <c r="FL470" s="160"/>
      <c r="FM470" s="160"/>
      <c r="FN470" s="160"/>
      <c r="FO470" s="160"/>
      <c r="FP470" s="160"/>
      <c r="FQ470" s="160"/>
      <c r="FR470" s="160"/>
      <c r="FS470" s="160"/>
      <c r="FT470" s="160"/>
      <c r="FU470" s="160"/>
      <c r="FV470" s="160"/>
      <c r="FW470" s="160"/>
      <c r="FX470" s="160"/>
      <c r="FY470" s="160"/>
      <c r="FZ470" s="160"/>
      <c r="GA470" s="160"/>
      <c r="GB470" s="160"/>
      <c r="GC470" s="160"/>
      <c r="GD470" s="160"/>
      <c r="GE470" s="160"/>
      <c r="GF470" s="160"/>
      <c r="GG470" s="160"/>
      <c r="GH470" s="160"/>
      <c r="GI470" s="160"/>
      <c r="GJ470" s="160"/>
      <c r="GK470" s="160"/>
      <c r="GL470" s="160"/>
      <c r="GM470" s="160"/>
      <c r="GN470" s="160"/>
      <c r="GO470" s="160"/>
      <c r="GP470" s="160"/>
      <c r="GQ470" s="160"/>
      <c r="GR470" s="160"/>
      <c r="GS470" s="160"/>
      <c r="GT470" s="160"/>
      <c r="GU470" s="160"/>
      <c r="GV470" s="160"/>
      <c r="GW470" s="160"/>
      <c r="GX470" s="160"/>
      <c r="GY470" s="160"/>
      <c r="GZ470" s="160"/>
      <c r="HA470" s="160"/>
      <c r="HB470" s="160"/>
      <c r="HC470" s="160"/>
      <c r="HD470" s="160"/>
      <c r="HE470" s="160"/>
      <c r="HF470" s="160"/>
      <c r="HG470" s="160"/>
      <c r="HH470" s="160"/>
      <c r="HI470" s="160"/>
      <c r="HJ470" s="160"/>
      <c r="HK470" s="160"/>
      <c r="HL470" s="160"/>
      <c r="HM470" s="160"/>
      <c r="HN470" s="160"/>
      <c r="HO470" s="160"/>
      <c r="HP470" s="160"/>
      <c r="HQ470" s="160"/>
      <c r="HR470" s="160"/>
      <c r="HS470" s="160"/>
      <c r="HT470" s="160"/>
      <c r="HU470" s="160"/>
      <c r="HV470" s="160"/>
      <c r="HW470" s="160"/>
      <c r="HX470" s="160"/>
      <c r="HY470" s="160"/>
      <c r="HZ470" s="160"/>
      <c r="IA470" s="160"/>
      <c r="IB470" s="160"/>
      <c r="IC470" s="160"/>
      <c r="ID470" s="160"/>
      <c r="IE470" s="160"/>
      <c r="IF470" s="160"/>
      <c r="IG470" s="160"/>
      <c r="IH470" s="160"/>
      <c r="II470" s="160"/>
      <c r="IJ470" s="160"/>
      <c r="IK470" s="160"/>
      <c r="IL470" s="160"/>
      <c r="IM470" s="160"/>
      <c r="IN470" s="160"/>
      <c r="IO470" s="160"/>
      <c r="IP470" s="160"/>
      <c r="IQ470" s="160"/>
      <c r="IR470" s="160"/>
    </row>
    <row r="471" spans="1:252" s="8" customFormat="1" ht="13.5" customHeight="1" x14ac:dyDescent="0.25">
      <c r="A471" s="213" t="s">
        <v>298</v>
      </c>
      <c r="B471" s="7" t="s">
        <v>1313</v>
      </c>
      <c r="C471" s="190"/>
      <c r="D471" s="60"/>
      <c r="E471" s="60"/>
      <c r="F471" s="60"/>
      <c r="G471" s="200" t="str">
        <f t="shared" si="26"/>
        <v/>
      </c>
      <c r="H471" s="192"/>
      <c r="I471" s="60"/>
      <c r="J471" s="60"/>
      <c r="K471" s="60"/>
      <c r="L471" s="200" t="str">
        <f t="shared" si="27"/>
        <v/>
      </c>
      <c r="M471" s="192"/>
      <c r="N471" s="60"/>
      <c r="O471" s="60"/>
      <c r="P471" s="60"/>
      <c r="Q471" s="200" t="str">
        <f t="shared" si="28"/>
        <v/>
      </c>
      <c r="R471" s="192"/>
      <c r="S471" s="60"/>
      <c r="T471" s="205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0"/>
      <c r="AG471" s="160"/>
      <c r="AH471" s="160"/>
      <c r="AI471" s="160"/>
      <c r="AJ471" s="160"/>
      <c r="AK471" s="160"/>
      <c r="AL471" s="160"/>
      <c r="AM471" s="160"/>
      <c r="AN471" s="160"/>
      <c r="AO471" s="160"/>
      <c r="AP471" s="160"/>
      <c r="AQ471" s="160"/>
      <c r="AR471" s="160"/>
      <c r="AS471" s="160"/>
      <c r="AT471" s="160"/>
      <c r="AU471" s="160"/>
      <c r="AV471" s="160"/>
      <c r="AW471" s="160"/>
      <c r="AX471" s="160"/>
      <c r="AY471" s="160"/>
      <c r="AZ471" s="160"/>
      <c r="BA471" s="160"/>
      <c r="BB471" s="160"/>
      <c r="BC471" s="160"/>
      <c r="BD471" s="160"/>
      <c r="BE471" s="160"/>
      <c r="BF471" s="160"/>
      <c r="BG471" s="160"/>
      <c r="BH471" s="160"/>
      <c r="BI471" s="160"/>
      <c r="BJ471" s="160"/>
      <c r="BK471" s="160"/>
      <c r="BL471" s="160"/>
      <c r="BM471" s="160"/>
      <c r="BN471" s="160"/>
      <c r="BO471" s="160"/>
      <c r="BP471" s="160"/>
      <c r="BQ471" s="160"/>
      <c r="BR471" s="160"/>
      <c r="BS471" s="160"/>
      <c r="BT471" s="160"/>
      <c r="BU471" s="160"/>
      <c r="BV471" s="160"/>
      <c r="BW471" s="160"/>
      <c r="BX471" s="160"/>
      <c r="BY471" s="160"/>
      <c r="BZ471" s="160"/>
      <c r="CA471" s="160"/>
      <c r="CB471" s="160"/>
      <c r="CC471" s="160"/>
      <c r="CD471" s="160"/>
      <c r="CE471" s="160"/>
      <c r="CF471" s="160"/>
      <c r="CG471" s="160"/>
      <c r="CH471" s="160"/>
      <c r="CI471" s="160"/>
      <c r="CJ471" s="160"/>
      <c r="CK471" s="160"/>
      <c r="CL471" s="160"/>
      <c r="CM471" s="160"/>
      <c r="CN471" s="160"/>
      <c r="CO471" s="160"/>
      <c r="CP471" s="160"/>
      <c r="CQ471" s="160"/>
      <c r="CR471" s="160"/>
      <c r="CS471" s="160"/>
      <c r="CT471" s="160"/>
      <c r="CU471" s="160"/>
      <c r="CV471" s="160"/>
      <c r="CW471" s="160"/>
      <c r="CX471" s="160"/>
      <c r="CY471" s="160"/>
      <c r="CZ471" s="160"/>
      <c r="DA471" s="160"/>
      <c r="DB471" s="160"/>
      <c r="DC471" s="160"/>
      <c r="DD471" s="160"/>
      <c r="DE471" s="160"/>
      <c r="DF471" s="160"/>
      <c r="DG471" s="160"/>
      <c r="DH471" s="160"/>
      <c r="DI471" s="160"/>
      <c r="DJ471" s="160"/>
      <c r="DK471" s="160"/>
      <c r="DL471" s="160"/>
      <c r="DM471" s="160"/>
      <c r="DN471" s="160"/>
      <c r="DO471" s="160"/>
      <c r="DP471" s="160"/>
      <c r="DQ471" s="160"/>
      <c r="DR471" s="160"/>
      <c r="DS471" s="160"/>
      <c r="DT471" s="160"/>
      <c r="DU471" s="160"/>
      <c r="DV471" s="160"/>
      <c r="DW471" s="160"/>
      <c r="DX471" s="160"/>
      <c r="DY471" s="160"/>
      <c r="DZ471" s="160"/>
      <c r="EA471" s="160"/>
      <c r="EB471" s="160"/>
      <c r="EC471" s="160"/>
      <c r="ED471" s="160"/>
      <c r="EE471" s="160"/>
      <c r="EF471" s="160"/>
      <c r="EG471" s="160"/>
      <c r="EH471" s="160"/>
      <c r="EI471" s="160"/>
      <c r="EJ471" s="160"/>
      <c r="EK471" s="160"/>
      <c r="EL471" s="160"/>
      <c r="EM471" s="160"/>
      <c r="EN471" s="160"/>
      <c r="EO471" s="160"/>
      <c r="EP471" s="160"/>
      <c r="EQ471" s="160"/>
      <c r="ER471" s="160"/>
      <c r="ES471" s="160"/>
      <c r="ET471" s="160"/>
      <c r="EU471" s="160"/>
      <c r="EV471" s="160"/>
      <c r="EW471" s="160"/>
      <c r="EX471" s="160"/>
      <c r="EY471" s="160"/>
      <c r="EZ471" s="160"/>
      <c r="FA471" s="160"/>
      <c r="FB471" s="160"/>
      <c r="FC471" s="160"/>
      <c r="FD471" s="160"/>
      <c r="FE471" s="160"/>
      <c r="FF471" s="160"/>
      <c r="FG471" s="160"/>
      <c r="FH471" s="160"/>
      <c r="FI471" s="160"/>
      <c r="FJ471" s="160"/>
      <c r="FK471" s="160"/>
      <c r="FL471" s="160"/>
      <c r="FM471" s="160"/>
      <c r="FN471" s="160"/>
      <c r="FO471" s="160"/>
      <c r="FP471" s="160"/>
      <c r="FQ471" s="160"/>
      <c r="FR471" s="160"/>
      <c r="FS471" s="160"/>
      <c r="FT471" s="160"/>
      <c r="FU471" s="160"/>
      <c r="FV471" s="160"/>
      <c r="FW471" s="160"/>
      <c r="FX471" s="160"/>
      <c r="FY471" s="160"/>
      <c r="FZ471" s="160"/>
      <c r="GA471" s="160"/>
      <c r="GB471" s="160"/>
      <c r="GC471" s="160"/>
      <c r="GD471" s="160"/>
      <c r="GE471" s="160"/>
      <c r="GF471" s="160"/>
      <c r="GG471" s="160"/>
      <c r="GH471" s="160"/>
      <c r="GI471" s="160"/>
      <c r="GJ471" s="160"/>
      <c r="GK471" s="160"/>
      <c r="GL471" s="160"/>
      <c r="GM471" s="160"/>
      <c r="GN471" s="160"/>
      <c r="GO471" s="160"/>
      <c r="GP471" s="160"/>
      <c r="GQ471" s="160"/>
      <c r="GR471" s="160"/>
      <c r="GS471" s="160"/>
      <c r="GT471" s="160"/>
      <c r="GU471" s="160"/>
      <c r="GV471" s="160"/>
      <c r="GW471" s="160"/>
      <c r="GX471" s="160"/>
      <c r="GY471" s="160"/>
      <c r="GZ471" s="160"/>
      <c r="HA471" s="160"/>
      <c r="HB471" s="160"/>
      <c r="HC471" s="160"/>
      <c r="HD471" s="160"/>
      <c r="HE471" s="160"/>
      <c r="HF471" s="160"/>
      <c r="HG471" s="160"/>
      <c r="HH471" s="160"/>
      <c r="HI471" s="160"/>
      <c r="HJ471" s="160"/>
      <c r="HK471" s="160"/>
      <c r="HL471" s="160"/>
      <c r="HM471" s="160"/>
      <c r="HN471" s="160"/>
      <c r="HO471" s="160"/>
      <c r="HP471" s="160"/>
      <c r="HQ471" s="160"/>
      <c r="HR471" s="160"/>
      <c r="HS471" s="160"/>
      <c r="HT471" s="160"/>
      <c r="HU471" s="160"/>
      <c r="HV471" s="160"/>
      <c r="HW471" s="160"/>
      <c r="HX471" s="160"/>
      <c r="HY471" s="160"/>
      <c r="HZ471" s="160"/>
      <c r="IA471" s="160"/>
      <c r="IB471" s="160"/>
      <c r="IC471" s="160"/>
      <c r="ID471" s="160"/>
      <c r="IE471" s="160"/>
      <c r="IF471" s="160"/>
      <c r="IG471" s="160"/>
      <c r="IH471" s="160"/>
      <c r="II471" s="160"/>
      <c r="IJ471" s="160"/>
      <c r="IK471" s="160"/>
      <c r="IL471" s="160"/>
      <c r="IM471" s="160"/>
      <c r="IN471" s="160"/>
      <c r="IO471" s="160"/>
      <c r="IP471" s="160"/>
      <c r="IQ471" s="160"/>
      <c r="IR471" s="160"/>
    </row>
    <row r="472" spans="1:252" s="8" customFormat="1" ht="13.5" customHeight="1" x14ac:dyDescent="0.25">
      <c r="A472" s="213" t="s">
        <v>298</v>
      </c>
      <c r="B472" s="7" t="s">
        <v>1315</v>
      </c>
      <c r="C472" s="190"/>
      <c r="D472" s="60"/>
      <c r="E472" s="60"/>
      <c r="F472" s="60"/>
      <c r="G472" s="200" t="str">
        <f t="shared" si="26"/>
        <v/>
      </c>
      <c r="H472" s="192"/>
      <c r="I472" s="60"/>
      <c r="J472" s="60"/>
      <c r="K472" s="60"/>
      <c r="L472" s="200" t="str">
        <f t="shared" si="27"/>
        <v/>
      </c>
      <c r="M472" s="192"/>
      <c r="N472" s="60"/>
      <c r="O472" s="60"/>
      <c r="P472" s="60"/>
      <c r="Q472" s="200" t="str">
        <f t="shared" si="28"/>
        <v/>
      </c>
      <c r="R472" s="192"/>
      <c r="S472" s="60"/>
      <c r="T472" s="205"/>
      <c r="U472" s="160"/>
      <c r="V472" s="160"/>
      <c r="W472" s="160"/>
      <c r="X472" s="160"/>
      <c r="Y472" s="160"/>
      <c r="Z472" s="160"/>
      <c r="AA472" s="160"/>
      <c r="AB472" s="160"/>
      <c r="AC472" s="160"/>
      <c r="AD472" s="160"/>
      <c r="AE472" s="160"/>
      <c r="AF472" s="160"/>
      <c r="AG472" s="160"/>
      <c r="AH472" s="160"/>
      <c r="AI472" s="160"/>
      <c r="AJ472" s="160"/>
      <c r="AK472" s="160"/>
      <c r="AL472" s="160"/>
      <c r="AM472" s="160"/>
      <c r="AN472" s="160"/>
      <c r="AO472" s="160"/>
      <c r="AP472" s="160"/>
      <c r="AQ472" s="160"/>
      <c r="AR472" s="160"/>
      <c r="AS472" s="160"/>
      <c r="AT472" s="160"/>
      <c r="AU472" s="160"/>
      <c r="AV472" s="160"/>
      <c r="AW472" s="160"/>
      <c r="AX472" s="160"/>
      <c r="AY472" s="160"/>
      <c r="AZ472" s="160"/>
      <c r="BA472" s="160"/>
      <c r="BB472" s="160"/>
      <c r="BC472" s="160"/>
      <c r="BD472" s="160"/>
      <c r="BE472" s="160"/>
      <c r="BF472" s="160"/>
      <c r="BG472" s="160"/>
      <c r="BH472" s="160"/>
      <c r="BI472" s="160"/>
      <c r="BJ472" s="160"/>
      <c r="BK472" s="160"/>
      <c r="BL472" s="160"/>
      <c r="BM472" s="160"/>
      <c r="BN472" s="160"/>
      <c r="BO472" s="160"/>
      <c r="BP472" s="160"/>
      <c r="BQ472" s="160"/>
      <c r="BR472" s="160"/>
      <c r="BS472" s="160"/>
      <c r="BT472" s="160"/>
      <c r="BU472" s="160"/>
      <c r="BV472" s="160"/>
      <c r="BW472" s="160"/>
      <c r="BX472" s="160"/>
      <c r="BY472" s="160"/>
      <c r="BZ472" s="160"/>
      <c r="CA472" s="160"/>
      <c r="CB472" s="160"/>
      <c r="CC472" s="160"/>
      <c r="CD472" s="160"/>
      <c r="CE472" s="160"/>
      <c r="CF472" s="160"/>
      <c r="CG472" s="160"/>
      <c r="CH472" s="160"/>
      <c r="CI472" s="160"/>
      <c r="CJ472" s="160"/>
      <c r="CK472" s="160"/>
      <c r="CL472" s="160"/>
      <c r="CM472" s="160"/>
      <c r="CN472" s="160"/>
      <c r="CO472" s="160"/>
      <c r="CP472" s="160"/>
      <c r="CQ472" s="160"/>
      <c r="CR472" s="160"/>
      <c r="CS472" s="160"/>
      <c r="CT472" s="160"/>
      <c r="CU472" s="160"/>
      <c r="CV472" s="160"/>
      <c r="CW472" s="160"/>
      <c r="CX472" s="160"/>
      <c r="CY472" s="160"/>
      <c r="CZ472" s="160"/>
      <c r="DA472" s="160"/>
      <c r="DB472" s="160"/>
      <c r="DC472" s="160"/>
      <c r="DD472" s="160"/>
      <c r="DE472" s="160"/>
      <c r="DF472" s="160"/>
      <c r="DG472" s="160"/>
      <c r="DH472" s="160"/>
      <c r="DI472" s="160"/>
      <c r="DJ472" s="160"/>
      <c r="DK472" s="160"/>
      <c r="DL472" s="160"/>
      <c r="DM472" s="160"/>
      <c r="DN472" s="160"/>
      <c r="DO472" s="160"/>
      <c r="DP472" s="160"/>
      <c r="DQ472" s="160"/>
      <c r="DR472" s="160"/>
      <c r="DS472" s="160"/>
      <c r="DT472" s="160"/>
      <c r="DU472" s="160"/>
      <c r="DV472" s="160"/>
      <c r="DW472" s="160"/>
      <c r="DX472" s="160"/>
      <c r="DY472" s="160"/>
      <c r="DZ472" s="160"/>
      <c r="EA472" s="160"/>
      <c r="EB472" s="160"/>
      <c r="EC472" s="160"/>
      <c r="ED472" s="160"/>
      <c r="EE472" s="160"/>
      <c r="EF472" s="160"/>
      <c r="EG472" s="160"/>
      <c r="EH472" s="160"/>
      <c r="EI472" s="160"/>
      <c r="EJ472" s="160"/>
      <c r="EK472" s="160"/>
      <c r="EL472" s="160"/>
      <c r="EM472" s="160"/>
      <c r="EN472" s="160"/>
      <c r="EO472" s="160"/>
      <c r="EP472" s="160"/>
      <c r="EQ472" s="160"/>
      <c r="ER472" s="160"/>
      <c r="ES472" s="160"/>
      <c r="ET472" s="160"/>
      <c r="EU472" s="160"/>
      <c r="EV472" s="160"/>
      <c r="EW472" s="160"/>
      <c r="EX472" s="160"/>
      <c r="EY472" s="160"/>
      <c r="EZ472" s="160"/>
      <c r="FA472" s="160"/>
      <c r="FB472" s="160"/>
      <c r="FC472" s="160"/>
      <c r="FD472" s="160"/>
      <c r="FE472" s="160"/>
      <c r="FF472" s="160"/>
      <c r="FG472" s="160"/>
      <c r="FH472" s="160"/>
      <c r="FI472" s="160"/>
      <c r="FJ472" s="160"/>
      <c r="FK472" s="160"/>
      <c r="FL472" s="160"/>
      <c r="FM472" s="160"/>
      <c r="FN472" s="160"/>
      <c r="FO472" s="160"/>
      <c r="FP472" s="160"/>
      <c r="FQ472" s="160"/>
      <c r="FR472" s="160"/>
      <c r="FS472" s="160"/>
      <c r="FT472" s="160"/>
      <c r="FU472" s="160"/>
      <c r="FV472" s="160"/>
      <c r="FW472" s="160"/>
      <c r="FX472" s="160"/>
      <c r="FY472" s="160"/>
      <c r="FZ472" s="160"/>
      <c r="GA472" s="160"/>
      <c r="GB472" s="160"/>
      <c r="GC472" s="160"/>
      <c r="GD472" s="160"/>
      <c r="GE472" s="160"/>
      <c r="GF472" s="160"/>
      <c r="GG472" s="160"/>
      <c r="GH472" s="160"/>
      <c r="GI472" s="160"/>
      <c r="GJ472" s="160"/>
      <c r="GK472" s="160"/>
      <c r="GL472" s="160"/>
      <c r="GM472" s="160"/>
      <c r="GN472" s="160"/>
      <c r="GO472" s="160"/>
      <c r="GP472" s="160"/>
      <c r="GQ472" s="160"/>
      <c r="GR472" s="160"/>
      <c r="GS472" s="160"/>
      <c r="GT472" s="160"/>
      <c r="GU472" s="160"/>
      <c r="GV472" s="160"/>
      <c r="GW472" s="160"/>
      <c r="GX472" s="160"/>
      <c r="GY472" s="160"/>
      <c r="GZ472" s="160"/>
      <c r="HA472" s="160"/>
      <c r="HB472" s="160"/>
      <c r="HC472" s="160"/>
      <c r="HD472" s="160"/>
      <c r="HE472" s="160"/>
      <c r="HF472" s="160"/>
      <c r="HG472" s="160"/>
      <c r="HH472" s="160"/>
      <c r="HI472" s="160"/>
      <c r="HJ472" s="160"/>
      <c r="HK472" s="160"/>
      <c r="HL472" s="160"/>
      <c r="HM472" s="160"/>
      <c r="HN472" s="160"/>
      <c r="HO472" s="160"/>
      <c r="HP472" s="160"/>
      <c r="HQ472" s="160"/>
      <c r="HR472" s="160"/>
      <c r="HS472" s="160"/>
      <c r="HT472" s="160"/>
      <c r="HU472" s="160"/>
      <c r="HV472" s="160"/>
      <c r="HW472" s="160"/>
      <c r="HX472" s="160"/>
      <c r="HY472" s="160"/>
      <c r="HZ472" s="160"/>
      <c r="IA472" s="160"/>
      <c r="IB472" s="160"/>
      <c r="IC472" s="160"/>
      <c r="ID472" s="160"/>
      <c r="IE472" s="160"/>
      <c r="IF472" s="160"/>
      <c r="IG472" s="160"/>
      <c r="IH472" s="160"/>
      <c r="II472" s="160"/>
      <c r="IJ472" s="160"/>
      <c r="IK472" s="160"/>
      <c r="IL472" s="160"/>
      <c r="IM472" s="160"/>
      <c r="IN472" s="160"/>
      <c r="IO472" s="160"/>
      <c r="IP472" s="160"/>
      <c r="IQ472" s="160"/>
      <c r="IR472" s="160"/>
    </row>
    <row r="473" spans="1:252" s="8" customFormat="1" ht="13.5" customHeight="1" x14ac:dyDescent="0.25">
      <c r="A473" s="213" t="s">
        <v>298</v>
      </c>
      <c r="B473" s="7" t="s">
        <v>1317</v>
      </c>
      <c r="C473" s="190"/>
      <c r="D473" s="60"/>
      <c r="E473" s="60"/>
      <c r="F473" s="60"/>
      <c r="G473" s="200" t="str">
        <f t="shared" si="26"/>
        <v/>
      </c>
      <c r="H473" s="192"/>
      <c r="I473" s="60"/>
      <c r="J473" s="60"/>
      <c r="K473" s="60"/>
      <c r="L473" s="200" t="str">
        <f t="shared" si="27"/>
        <v/>
      </c>
      <c r="M473" s="192"/>
      <c r="N473" s="60"/>
      <c r="O473" s="60"/>
      <c r="P473" s="60"/>
      <c r="Q473" s="200" t="str">
        <f t="shared" si="28"/>
        <v/>
      </c>
      <c r="R473" s="192"/>
      <c r="S473" s="60"/>
      <c r="T473" s="205"/>
      <c r="U473" s="160"/>
      <c r="V473" s="160"/>
      <c r="W473" s="160"/>
      <c r="X473" s="160"/>
      <c r="Y473" s="160"/>
      <c r="Z473" s="160"/>
      <c r="AA473" s="160"/>
      <c r="AB473" s="160"/>
      <c r="AC473" s="160"/>
      <c r="AD473" s="160"/>
      <c r="AE473" s="160"/>
      <c r="AF473" s="160"/>
      <c r="AG473" s="160"/>
      <c r="AH473" s="160"/>
      <c r="AI473" s="160"/>
      <c r="AJ473" s="160"/>
      <c r="AK473" s="160"/>
      <c r="AL473" s="160"/>
      <c r="AM473" s="160"/>
      <c r="AN473" s="160"/>
      <c r="AO473" s="160"/>
      <c r="AP473" s="160"/>
      <c r="AQ473" s="160"/>
      <c r="AR473" s="160"/>
      <c r="AS473" s="160"/>
      <c r="AT473" s="160"/>
      <c r="AU473" s="160"/>
      <c r="AV473" s="160"/>
      <c r="AW473" s="160"/>
      <c r="AX473" s="160"/>
      <c r="AY473" s="160"/>
      <c r="AZ473" s="160"/>
      <c r="BA473" s="160"/>
      <c r="BB473" s="160"/>
      <c r="BC473" s="160"/>
      <c r="BD473" s="160"/>
      <c r="BE473" s="160"/>
      <c r="BF473" s="160"/>
      <c r="BG473" s="160"/>
      <c r="BH473" s="160"/>
      <c r="BI473" s="160"/>
      <c r="BJ473" s="160"/>
      <c r="BK473" s="160"/>
      <c r="BL473" s="160"/>
      <c r="BM473" s="160"/>
      <c r="BN473" s="160"/>
      <c r="BO473" s="160"/>
      <c r="BP473" s="160"/>
      <c r="BQ473" s="160"/>
      <c r="BR473" s="160"/>
      <c r="BS473" s="160"/>
      <c r="BT473" s="160"/>
      <c r="BU473" s="160"/>
      <c r="BV473" s="160"/>
      <c r="BW473" s="160"/>
      <c r="BX473" s="160"/>
      <c r="BY473" s="160"/>
      <c r="BZ473" s="160"/>
      <c r="CA473" s="160"/>
      <c r="CB473" s="160"/>
      <c r="CC473" s="160"/>
      <c r="CD473" s="160"/>
      <c r="CE473" s="160"/>
      <c r="CF473" s="160"/>
      <c r="CG473" s="160"/>
      <c r="CH473" s="160"/>
      <c r="CI473" s="160"/>
      <c r="CJ473" s="160"/>
      <c r="CK473" s="160"/>
      <c r="CL473" s="160"/>
      <c r="CM473" s="160"/>
      <c r="CN473" s="160"/>
      <c r="CO473" s="160"/>
      <c r="CP473" s="160"/>
      <c r="CQ473" s="160"/>
      <c r="CR473" s="160"/>
      <c r="CS473" s="160"/>
      <c r="CT473" s="160"/>
      <c r="CU473" s="160"/>
      <c r="CV473" s="160"/>
      <c r="CW473" s="160"/>
      <c r="CX473" s="160"/>
      <c r="CY473" s="160"/>
      <c r="CZ473" s="160"/>
      <c r="DA473" s="160"/>
      <c r="DB473" s="160"/>
      <c r="DC473" s="160"/>
      <c r="DD473" s="160"/>
      <c r="DE473" s="160"/>
      <c r="DF473" s="160"/>
      <c r="DG473" s="160"/>
      <c r="DH473" s="160"/>
      <c r="DI473" s="160"/>
      <c r="DJ473" s="160"/>
      <c r="DK473" s="160"/>
      <c r="DL473" s="160"/>
      <c r="DM473" s="160"/>
      <c r="DN473" s="160"/>
      <c r="DO473" s="160"/>
      <c r="DP473" s="160"/>
      <c r="DQ473" s="160"/>
      <c r="DR473" s="160"/>
      <c r="DS473" s="160"/>
      <c r="DT473" s="160"/>
      <c r="DU473" s="160"/>
      <c r="DV473" s="160"/>
      <c r="DW473" s="160"/>
      <c r="DX473" s="160"/>
      <c r="DY473" s="160"/>
      <c r="DZ473" s="160"/>
      <c r="EA473" s="160"/>
      <c r="EB473" s="160"/>
      <c r="EC473" s="160"/>
      <c r="ED473" s="160"/>
      <c r="EE473" s="160"/>
      <c r="EF473" s="160"/>
      <c r="EG473" s="160"/>
      <c r="EH473" s="160"/>
      <c r="EI473" s="160"/>
      <c r="EJ473" s="160"/>
      <c r="EK473" s="160"/>
      <c r="EL473" s="160"/>
      <c r="EM473" s="160"/>
      <c r="EN473" s="160"/>
      <c r="EO473" s="160"/>
      <c r="EP473" s="160"/>
      <c r="EQ473" s="160"/>
      <c r="ER473" s="160"/>
      <c r="ES473" s="160"/>
      <c r="ET473" s="160"/>
      <c r="EU473" s="160"/>
      <c r="EV473" s="160"/>
      <c r="EW473" s="160"/>
      <c r="EX473" s="160"/>
      <c r="EY473" s="160"/>
      <c r="EZ473" s="160"/>
      <c r="FA473" s="160"/>
      <c r="FB473" s="160"/>
      <c r="FC473" s="160"/>
      <c r="FD473" s="160"/>
      <c r="FE473" s="160"/>
      <c r="FF473" s="160"/>
      <c r="FG473" s="160"/>
      <c r="FH473" s="160"/>
      <c r="FI473" s="160"/>
      <c r="FJ473" s="160"/>
      <c r="FK473" s="160"/>
      <c r="FL473" s="160"/>
      <c r="FM473" s="160"/>
      <c r="FN473" s="160"/>
      <c r="FO473" s="160"/>
      <c r="FP473" s="160"/>
      <c r="FQ473" s="160"/>
      <c r="FR473" s="160"/>
      <c r="FS473" s="160"/>
      <c r="FT473" s="160"/>
      <c r="FU473" s="160"/>
      <c r="FV473" s="160"/>
      <c r="FW473" s="160"/>
      <c r="FX473" s="160"/>
      <c r="FY473" s="160"/>
      <c r="FZ473" s="160"/>
      <c r="GA473" s="160"/>
      <c r="GB473" s="160"/>
      <c r="GC473" s="160"/>
      <c r="GD473" s="160"/>
      <c r="GE473" s="160"/>
      <c r="GF473" s="160"/>
      <c r="GG473" s="160"/>
      <c r="GH473" s="160"/>
      <c r="GI473" s="160"/>
      <c r="GJ473" s="160"/>
      <c r="GK473" s="160"/>
      <c r="GL473" s="160"/>
      <c r="GM473" s="160"/>
      <c r="GN473" s="160"/>
      <c r="GO473" s="160"/>
      <c r="GP473" s="160"/>
      <c r="GQ473" s="160"/>
      <c r="GR473" s="160"/>
      <c r="GS473" s="160"/>
      <c r="GT473" s="160"/>
      <c r="GU473" s="160"/>
      <c r="GV473" s="160"/>
      <c r="GW473" s="160"/>
      <c r="GX473" s="160"/>
      <c r="GY473" s="160"/>
      <c r="GZ473" s="160"/>
      <c r="HA473" s="160"/>
      <c r="HB473" s="160"/>
      <c r="HC473" s="160"/>
      <c r="HD473" s="160"/>
      <c r="HE473" s="160"/>
      <c r="HF473" s="160"/>
      <c r="HG473" s="160"/>
      <c r="HH473" s="160"/>
      <c r="HI473" s="160"/>
      <c r="HJ473" s="160"/>
      <c r="HK473" s="160"/>
      <c r="HL473" s="160"/>
      <c r="HM473" s="160"/>
      <c r="HN473" s="160"/>
      <c r="HO473" s="160"/>
      <c r="HP473" s="160"/>
      <c r="HQ473" s="160"/>
      <c r="HR473" s="160"/>
      <c r="HS473" s="160"/>
      <c r="HT473" s="160"/>
      <c r="HU473" s="160"/>
      <c r="HV473" s="160"/>
      <c r="HW473" s="160"/>
      <c r="HX473" s="160"/>
      <c r="HY473" s="160"/>
      <c r="HZ473" s="160"/>
      <c r="IA473" s="160"/>
      <c r="IB473" s="160"/>
      <c r="IC473" s="160"/>
      <c r="ID473" s="160"/>
      <c r="IE473" s="160"/>
      <c r="IF473" s="160"/>
      <c r="IG473" s="160"/>
      <c r="IH473" s="160"/>
      <c r="II473" s="160"/>
      <c r="IJ473" s="160"/>
      <c r="IK473" s="160"/>
      <c r="IL473" s="160"/>
      <c r="IM473" s="160"/>
      <c r="IN473" s="160"/>
      <c r="IO473" s="160"/>
      <c r="IP473" s="160"/>
      <c r="IQ473" s="160"/>
      <c r="IR473" s="160"/>
    </row>
    <row r="474" spans="1:252" s="8" customFormat="1" ht="13.5" customHeight="1" x14ac:dyDescent="0.25">
      <c r="A474" s="213" t="s">
        <v>298</v>
      </c>
      <c r="B474" s="7" t="s">
        <v>1319</v>
      </c>
      <c r="C474" s="190"/>
      <c r="D474" s="60"/>
      <c r="E474" s="60"/>
      <c r="F474" s="60"/>
      <c r="G474" s="200" t="str">
        <f t="shared" si="26"/>
        <v/>
      </c>
      <c r="H474" s="192"/>
      <c r="I474" s="60"/>
      <c r="J474" s="60"/>
      <c r="K474" s="60"/>
      <c r="L474" s="200" t="str">
        <f t="shared" si="27"/>
        <v/>
      </c>
      <c r="M474" s="192"/>
      <c r="N474" s="60"/>
      <c r="O474" s="60"/>
      <c r="P474" s="60"/>
      <c r="Q474" s="200" t="str">
        <f t="shared" si="28"/>
        <v/>
      </c>
      <c r="R474" s="192"/>
      <c r="S474" s="60"/>
      <c r="T474" s="205"/>
      <c r="U474" s="160"/>
      <c r="V474" s="160"/>
      <c r="W474" s="160"/>
      <c r="X474" s="160"/>
      <c r="Y474" s="160"/>
      <c r="Z474" s="160"/>
      <c r="AA474" s="160"/>
      <c r="AB474" s="160"/>
      <c r="AC474" s="160"/>
      <c r="AD474" s="160"/>
      <c r="AE474" s="160"/>
      <c r="AF474" s="160"/>
      <c r="AG474" s="160"/>
      <c r="AH474" s="160"/>
      <c r="AI474" s="160"/>
      <c r="AJ474" s="160"/>
      <c r="AK474" s="160"/>
      <c r="AL474" s="160"/>
      <c r="AM474" s="160"/>
      <c r="AN474" s="160"/>
      <c r="AO474" s="160"/>
      <c r="AP474" s="160"/>
      <c r="AQ474" s="160"/>
      <c r="AR474" s="160"/>
      <c r="AS474" s="160"/>
      <c r="AT474" s="160"/>
      <c r="AU474" s="160"/>
      <c r="AV474" s="160"/>
      <c r="AW474" s="160"/>
      <c r="AX474" s="160"/>
      <c r="AY474" s="160"/>
      <c r="AZ474" s="160"/>
      <c r="BA474" s="160"/>
      <c r="BB474" s="160"/>
      <c r="BC474" s="160"/>
      <c r="BD474" s="160"/>
      <c r="BE474" s="160"/>
      <c r="BF474" s="160"/>
      <c r="BG474" s="160"/>
      <c r="BH474" s="160"/>
      <c r="BI474" s="160"/>
      <c r="BJ474" s="160"/>
      <c r="BK474" s="160"/>
      <c r="BL474" s="160"/>
      <c r="BM474" s="160"/>
      <c r="BN474" s="160"/>
      <c r="BO474" s="160"/>
      <c r="BP474" s="160"/>
      <c r="BQ474" s="160"/>
      <c r="BR474" s="160"/>
      <c r="BS474" s="160"/>
      <c r="BT474" s="160"/>
      <c r="BU474" s="160"/>
      <c r="BV474" s="160"/>
      <c r="BW474" s="160"/>
      <c r="BX474" s="160"/>
      <c r="BY474" s="160"/>
      <c r="BZ474" s="160"/>
      <c r="CA474" s="160"/>
      <c r="CB474" s="160"/>
      <c r="CC474" s="160"/>
      <c r="CD474" s="160"/>
      <c r="CE474" s="160"/>
      <c r="CF474" s="160"/>
      <c r="CG474" s="160"/>
      <c r="CH474" s="160"/>
      <c r="CI474" s="160"/>
      <c r="CJ474" s="160"/>
      <c r="CK474" s="160"/>
      <c r="CL474" s="160"/>
      <c r="CM474" s="160"/>
      <c r="CN474" s="160"/>
      <c r="CO474" s="160"/>
      <c r="CP474" s="160"/>
      <c r="CQ474" s="160"/>
      <c r="CR474" s="160"/>
      <c r="CS474" s="160"/>
      <c r="CT474" s="160"/>
      <c r="CU474" s="160"/>
      <c r="CV474" s="160"/>
      <c r="CW474" s="160"/>
      <c r="CX474" s="160"/>
      <c r="CY474" s="160"/>
      <c r="CZ474" s="160"/>
      <c r="DA474" s="160"/>
      <c r="DB474" s="160"/>
      <c r="DC474" s="160"/>
      <c r="DD474" s="160"/>
      <c r="DE474" s="160"/>
      <c r="DF474" s="160"/>
      <c r="DG474" s="160"/>
      <c r="DH474" s="160"/>
      <c r="DI474" s="160"/>
      <c r="DJ474" s="160"/>
      <c r="DK474" s="160"/>
      <c r="DL474" s="160"/>
      <c r="DM474" s="160"/>
      <c r="DN474" s="160"/>
      <c r="DO474" s="160"/>
      <c r="DP474" s="160"/>
      <c r="DQ474" s="160"/>
      <c r="DR474" s="160"/>
      <c r="DS474" s="160"/>
      <c r="DT474" s="160"/>
      <c r="DU474" s="160"/>
      <c r="DV474" s="160"/>
      <c r="DW474" s="160"/>
      <c r="DX474" s="160"/>
      <c r="DY474" s="160"/>
      <c r="DZ474" s="160"/>
      <c r="EA474" s="160"/>
      <c r="EB474" s="160"/>
      <c r="EC474" s="160"/>
      <c r="ED474" s="160"/>
      <c r="EE474" s="160"/>
      <c r="EF474" s="160"/>
      <c r="EG474" s="160"/>
      <c r="EH474" s="160"/>
      <c r="EI474" s="160"/>
      <c r="EJ474" s="160"/>
      <c r="EK474" s="160"/>
      <c r="EL474" s="160"/>
      <c r="EM474" s="160"/>
      <c r="EN474" s="160"/>
      <c r="EO474" s="160"/>
      <c r="EP474" s="160"/>
      <c r="EQ474" s="160"/>
      <c r="ER474" s="160"/>
      <c r="ES474" s="160"/>
      <c r="ET474" s="160"/>
      <c r="EU474" s="160"/>
      <c r="EV474" s="160"/>
      <c r="EW474" s="160"/>
      <c r="EX474" s="160"/>
      <c r="EY474" s="160"/>
      <c r="EZ474" s="160"/>
      <c r="FA474" s="160"/>
      <c r="FB474" s="160"/>
      <c r="FC474" s="160"/>
      <c r="FD474" s="160"/>
      <c r="FE474" s="160"/>
      <c r="FF474" s="160"/>
      <c r="FG474" s="160"/>
      <c r="FH474" s="160"/>
      <c r="FI474" s="160"/>
      <c r="FJ474" s="160"/>
      <c r="FK474" s="160"/>
      <c r="FL474" s="160"/>
      <c r="FM474" s="160"/>
      <c r="FN474" s="160"/>
      <c r="FO474" s="160"/>
      <c r="FP474" s="160"/>
      <c r="FQ474" s="160"/>
      <c r="FR474" s="160"/>
      <c r="FS474" s="160"/>
      <c r="FT474" s="160"/>
      <c r="FU474" s="160"/>
      <c r="FV474" s="160"/>
      <c r="FW474" s="160"/>
      <c r="FX474" s="160"/>
      <c r="FY474" s="160"/>
      <c r="FZ474" s="160"/>
      <c r="GA474" s="160"/>
      <c r="GB474" s="160"/>
      <c r="GC474" s="160"/>
      <c r="GD474" s="160"/>
      <c r="GE474" s="160"/>
      <c r="GF474" s="160"/>
      <c r="GG474" s="160"/>
      <c r="GH474" s="160"/>
      <c r="GI474" s="160"/>
      <c r="GJ474" s="160"/>
      <c r="GK474" s="160"/>
      <c r="GL474" s="160"/>
      <c r="GM474" s="160"/>
      <c r="GN474" s="160"/>
      <c r="GO474" s="160"/>
      <c r="GP474" s="160"/>
      <c r="GQ474" s="160"/>
      <c r="GR474" s="160"/>
      <c r="GS474" s="160"/>
      <c r="GT474" s="160"/>
      <c r="GU474" s="160"/>
      <c r="GV474" s="160"/>
      <c r="GW474" s="160"/>
      <c r="GX474" s="160"/>
      <c r="GY474" s="160"/>
      <c r="GZ474" s="160"/>
      <c r="HA474" s="160"/>
      <c r="HB474" s="160"/>
      <c r="HC474" s="160"/>
      <c r="HD474" s="160"/>
      <c r="HE474" s="160"/>
      <c r="HF474" s="160"/>
      <c r="HG474" s="160"/>
      <c r="HH474" s="160"/>
      <c r="HI474" s="160"/>
      <c r="HJ474" s="160"/>
      <c r="HK474" s="160"/>
      <c r="HL474" s="160"/>
      <c r="HM474" s="160"/>
      <c r="HN474" s="160"/>
      <c r="HO474" s="160"/>
      <c r="HP474" s="160"/>
      <c r="HQ474" s="160"/>
      <c r="HR474" s="160"/>
      <c r="HS474" s="160"/>
      <c r="HT474" s="160"/>
      <c r="HU474" s="160"/>
      <c r="HV474" s="160"/>
      <c r="HW474" s="160"/>
      <c r="HX474" s="160"/>
      <c r="HY474" s="160"/>
      <c r="HZ474" s="160"/>
      <c r="IA474" s="160"/>
      <c r="IB474" s="160"/>
      <c r="IC474" s="160"/>
      <c r="ID474" s="160"/>
      <c r="IE474" s="160"/>
      <c r="IF474" s="160"/>
      <c r="IG474" s="160"/>
      <c r="IH474" s="160"/>
      <c r="II474" s="160"/>
      <c r="IJ474" s="160"/>
      <c r="IK474" s="160"/>
      <c r="IL474" s="160"/>
      <c r="IM474" s="160"/>
      <c r="IN474" s="160"/>
      <c r="IO474" s="160"/>
      <c r="IP474" s="160"/>
      <c r="IQ474" s="160"/>
      <c r="IR474" s="160"/>
    </row>
    <row r="475" spans="1:252" s="8" customFormat="1" ht="13.5" customHeight="1" x14ac:dyDescent="0.25">
      <c r="A475" s="213" t="s">
        <v>298</v>
      </c>
      <c r="B475" s="7" t="s">
        <v>1806</v>
      </c>
      <c r="C475" s="190" t="s">
        <v>310</v>
      </c>
      <c r="D475" s="60">
        <v>1</v>
      </c>
      <c r="E475" s="60">
        <v>1</v>
      </c>
      <c r="F475" s="60"/>
      <c r="G475" s="200" t="str">
        <f t="shared" si="26"/>
        <v/>
      </c>
      <c r="H475" s="192"/>
      <c r="I475" s="60"/>
      <c r="J475" s="60"/>
      <c r="K475" s="60"/>
      <c r="L475" s="200"/>
      <c r="M475" s="192"/>
      <c r="N475" s="60"/>
      <c r="O475" s="60"/>
      <c r="P475" s="60"/>
      <c r="Q475" s="200"/>
      <c r="R475" s="192"/>
      <c r="S475" s="60"/>
      <c r="T475" s="205"/>
      <c r="U475" s="160"/>
      <c r="V475" s="160"/>
      <c r="W475" s="160"/>
      <c r="X475" s="160"/>
      <c r="Y475" s="160"/>
      <c r="Z475" s="160"/>
      <c r="AA475" s="160"/>
      <c r="AB475" s="160"/>
      <c r="AC475" s="160"/>
      <c r="AD475" s="160"/>
      <c r="AE475" s="160"/>
      <c r="AF475" s="160"/>
      <c r="AG475" s="160"/>
      <c r="AH475" s="160"/>
      <c r="AI475" s="160"/>
      <c r="AJ475" s="160"/>
      <c r="AK475" s="160"/>
      <c r="AL475" s="160"/>
      <c r="AM475" s="160"/>
      <c r="AN475" s="160"/>
      <c r="AO475" s="160"/>
      <c r="AP475" s="160"/>
      <c r="AQ475" s="160"/>
      <c r="AR475" s="160"/>
      <c r="AS475" s="160"/>
      <c r="AT475" s="160"/>
      <c r="AU475" s="160"/>
      <c r="AV475" s="160"/>
      <c r="AW475" s="160"/>
      <c r="AX475" s="160"/>
      <c r="AY475" s="160"/>
      <c r="AZ475" s="160"/>
      <c r="BA475" s="160"/>
      <c r="BB475" s="160"/>
      <c r="BC475" s="160"/>
      <c r="BD475" s="160"/>
      <c r="BE475" s="160"/>
      <c r="BF475" s="160"/>
      <c r="BG475" s="160"/>
      <c r="BH475" s="160"/>
      <c r="BI475" s="160"/>
      <c r="BJ475" s="160"/>
      <c r="BK475" s="160"/>
      <c r="BL475" s="160"/>
      <c r="BM475" s="160"/>
      <c r="BN475" s="160"/>
      <c r="BO475" s="160"/>
      <c r="BP475" s="160"/>
      <c r="BQ475" s="160"/>
      <c r="BR475" s="160"/>
      <c r="BS475" s="160"/>
      <c r="BT475" s="160"/>
      <c r="BU475" s="160"/>
      <c r="BV475" s="160"/>
      <c r="BW475" s="160"/>
      <c r="BX475" s="160"/>
      <c r="BY475" s="160"/>
      <c r="BZ475" s="160"/>
      <c r="CA475" s="160"/>
      <c r="CB475" s="160"/>
      <c r="CC475" s="160"/>
      <c r="CD475" s="160"/>
      <c r="CE475" s="160"/>
      <c r="CF475" s="160"/>
      <c r="CG475" s="160"/>
      <c r="CH475" s="160"/>
      <c r="CI475" s="160"/>
      <c r="CJ475" s="160"/>
      <c r="CK475" s="160"/>
      <c r="CL475" s="160"/>
      <c r="CM475" s="160"/>
      <c r="CN475" s="160"/>
      <c r="CO475" s="160"/>
      <c r="CP475" s="160"/>
      <c r="CQ475" s="160"/>
      <c r="CR475" s="160"/>
      <c r="CS475" s="160"/>
      <c r="CT475" s="160"/>
      <c r="CU475" s="160"/>
      <c r="CV475" s="160"/>
      <c r="CW475" s="160"/>
      <c r="CX475" s="160"/>
      <c r="CY475" s="160"/>
      <c r="CZ475" s="160"/>
      <c r="DA475" s="160"/>
      <c r="DB475" s="160"/>
      <c r="DC475" s="160"/>
      <c r="DD475" s="160"/>
      <c r="DE475" s="160"/>
      <c r="DF475" s="160"/>
      <c r="DG475" s="160"/>
      <c r="DH475" s="160"/>
      <c r="DI475" s="160"/>
      <c r="DJ475" s="160"/>
      <c r="DK475" s="160"/>
      <c r="DL475" s="160"/>
      <c r="DM475" s="160"/>
      <c r="DN475" s="160"/>
      <c r="DO475" s="160"/>
      <c r="DP475" s="160"/>
      <c r="DQ475" s="160"/>
      <c r="DR475" s="160"/>
      <c r="DS475" s="160"/>
      <c r="DT475" s="160"/>
      <c r="DU475" s="160"/>
      <c r="DV475" s="160"/>
      <c r="DW475" s="160"/>
      <c r="DX475" s="160"/>
      <c r="DY475" s="160"/>
      <c r="DZ475" s="160"/>
      <c r="EA475" s="160"/>
      <c r="EB475" s="160"/>
      <c r="EC475" s="160"/>
      <c r="ED475" s="160"/>
      <c r="EE475" s="160"/>
      <c r="EF475" s="160"/>
      <c r="EG475" s="160"/>
      <c r="EH475" s="160"/>
      <c r="EI475" s="160"/>
      <c r="EJ475" s="160"/>
      <c r="EK475" s="160"/>
      <c r="EL475" s="160"/>
      <c r="EM475" s="160"/>
      <c r="EN475" s="160"/>
      <c r="EO475" s="160"/>
      <c r="EP475" s="160"/>
      <c r="EQ475" s="160"/>
      <c r="ER475" s="160"/>
      <c r="ES475" s="160"/>
      <c r="ET475" s="160"/>
      <c r="EU475" s="160"/>
      <c r="EV475" s="160"/>
      <c r="EW475" s="160"/>
      <c r="EX475" s="160"/>
      <c r="EY475" s="160"/>
      <c r="EZ475" s="160"/>
      <c r="FA475" s="160"/>
      <c r="FB475" s="160"/>
      <c r="FC475" s="160"/>
      <c r="FD475" s="160"/>
      <c r="FE475" s="160"/>
      <c r="FF475" s="160"/>
      <c r="FG475" s="160"/>
      <c r="FH475" s="160"/>
      <c r="FI475" s="160"/>
      <c r="FJ475" s="160"/>
      <c r="FK475" s="160"/>
      <c r="FL475" s="160"/>
      <c r="FM475" s="160"/>
      <c r="FN475" s="160"/>
      <c r="FO475" s="160"/>
      <c r="FP475" s="160"/>
      <c r="FQ475" s="160"/>
      <c r="FR475" s="160"/>
      <c r="FS475" s="160"/>
      <c r="FT475" s="160"/>
      <c r="FU475" s="160"/>
      <c r="FV475" s="160"/>
      <c r="FW475" s="160"/>
      <c r="FX475" s="160"/>
      <c r="FY475" s="160"/>
      <c r="FZ475" s="160"/>
      <c r="GA475" s="160"/>
      <c r="GB475" s="160"/>
      <c r="GC475" s="160"/>
      <c r="GD475" s="160"/>
      <c r="GE475" s="160"/>
      <c r="GF475" s="160"/>
      <c r="GG475" s="160"/>
      <c r="GH475" s="160"/>
      <c r="GI475" s="160"/>
      <c r="GJ475" s="160"/>
      <c r="GK475" s="160"/>
      <c r="GL475" s="160"/>
      <c r="GM475" s="160"/>
      <c r="GN475" s="160"/>
      <c r="GO475" s="160"/>
      <c r="GP475" s="160"/>
      <c r="GQ475" s="160"/>
      <c r="GR475" s="160"/>
      <c r="GS475" s="160"/>
      <c r="GT475" s="160"/>
      <c r="GU475" s="160"/>
      <c r="GV475" s="160"/>
      <c r="GW475" s="160"/>
      <c r="GX475" s="160"/>
      <c r="GY475" s="160"/>
      <c r="GZ475" s="160"/>
      <c r="HA475" s="160"/>
      <c r="HB475" s="160"/>
      <c r="HC475" s="160"/>
      <c r="HD475" s="160"/>
      <c r="HE475" s="160"/>
      <c r="HF475" s="160"/>
      <c r="HG475" s="160"/>
      <c r="HH475" s="160"/>
      <c r="HI475" s="160"/>
      <c r="HJ475" s="160"/>
      <c r="HK475" s="160"/>
      <c r="HL475" s="160"/>
      <c r="HM475" s="160"/>
      <c r="HN475" s="160"/>
      <c r="HO475" s="160"/>
      <c r="HP475" s="160"/>
      <c r="HQ475" s="160"/>
      <c r="HR475" s="160"/>
      <c r="HS475" s="160"/>
      <c r="HT475" s="160"/>
      <c r="HU475" s="160"/>
      <c r="HV475" s="160"/>
      <c r="HW475" s="160"/>
      <c r="HX475" s="160"/>
      <c r="HY475" s="160"/>
      <c r="HZ475" s="160"/>
      <c r="IA475" s="160"/>
      <c r="IB475" s="160"/>
      <c r="IC475" s="160"/>
      <c r="ID475" s="160"/>
      <c r="IE475" s="160"/>
      <c r="IF475" s="160"/>
      <c r="IG475" s="160"/>
      <c r="IH475" s="160"/>
      <c r="II475" s="160"/>
      <c r="IJ475" s="160"/>
      <c r="IK475" s="160"/>
      <c r="IL475" s="160"/>
      <c r="IM475" s="160"/>
      <c r="IN475" s="160"/>
      <c r="IO475" s="160"/>
      <c r="IP475" s="160"/>
      <c r="IQ475" s="160"/>
      <c r="IR475" s="160"/>
    </row>
    <row r="476" spans="1:252" s="8" customFormat="1" ht="13.5" customHeight="1" x14ac:dyDescent="0.25">
      <c r="A476" s="213" t="s">
        <v>298</v>
      </c>
      <c r="B476" s="7" t="s">
        <v>1321</v>
      </c>
      <c r="C476" s="190"/>
      <c r="D476" s="60"/>
      <c r="E476" s="60"/>
      <c r="F476" s="60"/>
      <c r="G476" s="200" t="str">
        <f t="shared" si="26"/>
        <v/>
      </c>
      <c r="H476" s="192"/>
      <c r="I476" s="60"/>
      <c r="J476" s="60"/>
      <c r="K476" s="60"/>
      <c r="L476" s="200" t="str">
        <f t="shared" si="27"/>
        <v/>
      </c>
      <c r="M476" s="192"/>
      <c r="N476" s="60"/>
      <c r="O476" s="60"/>
      <c r="P476" s="60"/>
      <c r="Q476" s="200" t="str">
        <f t="shared" si="28"/>
        <v/>
      </c>
      <c r="R476" s="192"/>
      <c r="S476" s="60"/>
      <c r="T476" s="205"/>
      <c r="U476" s="160"/>
      <c r="V476" s="160"/>
      <c r="W476" s="160"/>
      <c r="X476" s="160"/>
      <c r="Y476" s="160"/>
      <c r="Z476" s="160"/>
      <c r="AA476" s="160"/>
      <c r="AB476" s="160"/>
      <c r="AC476" s="160"/>
      <c r="AD476" s="160"/>
      <c r="AE476" s="160"/>
      <c r="AF476" s="160"/>
      <c r="AG476" s="160"/>
      <c r="AH476" s="160"/>
      <c r="AI476" s="160"/>
      <c r="AJ476" s="160"/>
      <c r="AK476" s="160"/>
      <c r="AL476" s="160"/>
      <c r="AM476" s="160"/>
      <c r="AN476" s="160"/>
      <c r="AO476" s="160"/>
      <c r="AP476" s="160"/>
      <c r="AQ476" s="160"/>
      <c r="AR476" s="160"/>
      <c r="AS476" s="160"/>
      <c r="AT476" s="160"/>
      <c r="AU476" s="160"/>
      <c r="AV476" s="160"/>
      <c r="AW476" s="160"/>
      <c r="AX476" s="160"/>
      <c r="AY476" s="160"/>
      <c r="AZ476" s="160"/>
      <c r="BA476" s="160"/>
      <c r="BB476" s="160"/>
      <c r="BC476" s="160"/>
      <c r="BD476" s="160"/>
      <c r="BE476" s="160"/>
      <c r="BF476" s="160"/>
      <c r="BG476" s="160"/>
      <c r="BH476" s="160"/>
      <c r="BI476" s="160"/>
      <c r="BJ476" s="160"/>
      <c r="BK476" s="160"/>
      <c r="BL476" s="160"/>
      <c r="BM476" s="160"/>
      <c r="BN476" s="160"/>
      <c r="BO476" s="160"/>
      <c r="BP476" s="160"/>
      <c r="BQ476" s="160"/>
      <c r="BR476" s="160"/>
      <c r="BS476" s="160"/>
      <c r="BT476" s="160"/>
      <c r="BU476" s="160"/>
      <c r="BV476" s="160"/>
      <c r="BW476" s="160"/>
      <c r="BX476" s="160"/>
      <c r="BY476" s="160"/>
      <c r="BZ476" s="160"/>
      <c r="CA476" s="160"/>
      <c r="CB476" s="160"/>
      <c r="CC476" s="160"/>
      <c r="CD476" s="160"/>
      <c r="CE476" s="160"/>
      <c r="CF476" s="160"/>
      <c r="CG476" s="160"/>
      <c r="CH476" s="160"/>
      <c r="CI476" s="160"/>
      <c r="CJ476" s="160"/>
      <c r="CK476" s="160"/>
      <c r="CL476" s="160"/>
      <c r="CM476" s="160"/>
      <c r="CN476" s="160"/>
      <c r="CO476" s="160"/>
      <c r="CP476" s="160"/>
      <c r="CQ476" s="160"/>
      <c r="CR476" s="160"/>
      <c r="CS476" s="160"/>
      <c r="CT476" s="160"/>
      <c r="CU476" s="160"/>
      <c r="CV476" s="160"/>
      <c r="CW476" s="160"/>
      <c r="CX476" s="160"/>
      <c r="CY476" s="160"/>
      <c r="CZ476" s="160"/>
      <c r="DA476" s="160"/>
      <c r="DB476" s="160"/>
      <c r="DC476" s="160"/>
      <c r="DD476" s="160"/>
      <c r="DE476" s="160"/>
      <c r="DF476" s="160"/>
      <c r="DG476" s="160"/>
      <c r="DH476" s="160"/>
      <c r="DI476" s="160"/>
      <c r="DJ476" s="160"/>
      <c r="DK476" s="160"/>
      <c r="DL476" s="160"/>
      <c r="DM476" s="160"/>
      <c r="DN476" s="160"/>
      <c r="DO476" s="160"/>
      <c r="DP476" s="160"/>
      <c r="DQ476" s="160"/>
      <c r="DR476" s="160"/>
      <c r="DS476" s="160"/>
      <c r="DT476" s="160"/>
      <c r="DU476" s="160"/>
      <c r="DV476" s="160"/>
      <c r="DW476" s="160"/>
      <c r="DX476" s="160"/>
      <c r="DY476" s="160"/>
      <c r="DZ476" s="160"/>
      <c r="EA476" s="160"/>
      <c r="EB476" s="160"/>
      <c r="EC476" s="160"/>
      <c r="ED476" s="160"/>
      <c r="EE476" s="160"/>
      <c r="EF476" s="160"/>
      <c r="EG476" s="160"/>
      <c r="EH476" s="160"/>
      <c r="EI476" s="160"/>
      <c r="EJ476" s="160"/>
      <c r="EK476" s="160"/>
      <c r="EL476" s="160"/>
      <c r="EM476" s="160"/>
      <c r="EN476" s="160"/>
      <c r="EO476" s="160"/>
      <c r="EP476" s="160"/>
      <c r="EQ476" s="160"/>
      <c r="ER476" s="160"/>
      <c r="ES476" s="160"/>
      <c r="ET476" s="160"/>
      <c r="EU476" s="160"/>
      <c r="EV476" s="160"/>
      <c r="EW476" s="160"/>
      <c r="EX476" s="160"/>
      <c r="EY476" s="160"/>
      <c r="EZ476" s="160"/>
      <c r="FA476" s="160"/>
      <c r="FB476" s="160"/>
      <c r="FC476" s="160"/>
      <c r="FD476" s="160"/>
      <c r="FE476" s="160"/>
      <c r="FF476" s="160"/>
      <c r="FG476" s="160"/>
      <c r="FH476" s="160"/>
      <c r="FI476" s="160"/>
      <c r="FJ476" s="160"/>
      <c r="FK476" s="160"/>
      <c r="FL476" s="160"/>
      <c r="FM476" s="160"/>
      <c r="FN476" s="160"/>
      <c r="FO476" s="160"/>
      <c r="FP476" s="160"/>
      <c r="FQ476" s="160"/>
      <c r="FR476" s="160"/>
      <c r="FS476" s="160"/>
      <c r="FT476" s="160"/>
      <c r="FU476" s="160"/>
      <c r="FV476" s="160"/>
      <c r="FW476" s="160"/>
      <c r="FX476" s="160"/>
      <c r="FY476" s="160"/>
      <c r="FZ476" s="160"/>
      <c r="GA476" s="160"/>
      <c r="GB476" s="160"/>
      <c r="GC476" s="160"/>
      <c r="GD476" s="160"/>
      <c r="GE476" s="160"/>
      <c r="GF476" s="160"/>
      <c r="GG476" s="160"/>
      <c r="GH476" s="160"/>
      <c r="GI476" s="160"/>
      <c r="GJ476" s="160"/>
      <c r="GK476" s="160"/>
      <c r="GL476" s="160"/>
      <c r="GM476" s="160"/>
      <c r="GN476" s="160"/>
      <c r="GO476" s="160"/>
      <c r="GP476" s="160"/>
      <c r="GQ476" s="160"/>
      <c r="GR476" s="160"/>
      <c r="GS476" s="160"/>
      <c r="GT476" s="160"/>
      <c r="GU476" s="160"/>
      <c r="GV476" s="160"/>
      <c r="GW476" s="160"/>
      <c r="GX476" s="160"/>
      <c r="GY476" s="160"/>
      <c r="GZ476" s="160"/>
      <c r="HA476" s="160"/>
      <c r="HB476" s="160"/>
      <c r="HC476" s="160"/>
      <c r="HD476" s="160"/>
      <c r="HE476" s="160"/>
      <c r="HF476" s="160"/>
      <c r="HG476" s="160"/>
      <c r="HH476" s="160"/>
      <c r="HI476" s="160"/>
      <c r="HJ476" s="160"/>
      <c r="HK476" s="160"/>
      <c r="HL476" s="160"/>
      <c r="HM476" s="160"/>
      <c r="HN476" s="160"/>
      <c r="HO476" s="160"/>
      <c r="HP476" s="160"/>
      <c r="HQ476" s="160"/>
      <c r="HR476" s="160"/>
      <c r="HS476" s="160"/>
      <c r="HT476" s="160"/>
      <c r="HU476" s="160"/>
      <c r="HV476" s="160"/>
      <c r="HW476" s="160"/>
      <c r="HX476" s="160"/>
      <c r="HY476" s="160"/>
      <c r="HZ476" s="160"/>
      <c r="IA476" s="160"/>
      <c r="IB476" s="160"/>
      <c r="IC476" s="160"/>
      <c r="ID476" s="160"/>
      <c r="IE476" s="160"/>
      <c r="IF476" s="160"/>
      <c r="IG476" s="160"/>
      <c r="IH476" s="160"/>
      <c r="II476" s="160"/>
      <c r="IJ476" s="160"/>
      <c r="IK476" s="160"/>
      <c r="IL476" s="160"/>
      <c r="IM476" s="160"/>
      <c r="IN476" s="160"/>
      <c r="IO476" s="160"/>
      <c r="IP476" s="160"/>
      <c r="IQ476" s="160"/>
      <c r="IR476" s="160"/>
    </row>
    <row r="477" spans="1:252" s="9" customFormat="1" ht="13.5" customHeight="1" x14ac:dyDescent="0.25">
      <c r="A477" s="213" t="s">
        <v>298</v>
      </c>
      <c r="B477" s="7" t="s">
        <v>1322</v>
      </c>
      <c r="C477" s="190"/>
      <c r="D477" s="60"/>
      <c r="E477" s="60"/>
      <c r="F477" s="60"/>
      <c r="G477" s="200" t="str">
        <f t="shared" si="26"/>
        <v/>
      </c>
      <c r="H477" s="192"/>
      <c r="I477" s="60"/>
      <c r="J477" s="60"/>
      <c r="K477" s="60"/>
      <c r="L477" s="200" t="str">
        <f t="shared" si="27"/>
        <v/>
      </c>
      <c r="M477" s="192"/>
      <c r="N477" s="60"/>
      <c r="O477" s="60"/>
      <c r="P477" s="60"/>
      <c r="Q477" s="200" t="str">
        <f t="shared" si="28"/>
        <v/>
      </c>
      <c r="R477" s="192"/>
      <c r="S477" s="60"/>
      <c r="T477" s="205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  <c r="AG477" s="160"/>
      <c r="AH477" s="160"/>
      <c r="AI477" s="160"/>
      <c r="AJ477" s="160"/>
      <c r="AK477" s="160"/>
      <c r="AL477" s="160"/>
      <c r="AM477" s="160"/>
      <c r="AN477" s="160"/>
      <c r="AO477" s="160"/>
      <c r="AP477" s="160"/>
      <c r="AQ477" s="160"/>
      <c r="AR477" s="160"/>
      <c r="AS477" s="160"/>
      <c r="AT477" s="160"/>
      <c r="AU477" s="160"/>
      <c r="AV477" s="160"/>
      <c r="AW477" s="160"/>
      <c r="AX477" s="160"/>
      <c r="AY477" s="160"/>
      <c r="AZ477" s="160"/>
      <c r="BA477" s="160"/>
      <c r="BB477" s="160"/>
      <c r="BC477" s="160"/>
      <c r="BD477" s="160"/>
      <c r="BE477" s="160"/>
      <c r="BF477" s="160"/>
      <c r="BG477" s="160"/>
      <c r="BH477" s="160"/>
      <c r="BI477" s="160"/>
      <c r="BJ477" s="160"/>
      <c r="BK477" s="160"/>
      <c r="BL477" s="160"/>
      <c r="BM477" s="160"/>
      <c r="BN477" s="160"/>
      <c r="BO477" s="160"/>
      <c r="BP477" s="160"/>
      <c r="BQ477" s="160"/>
      <c r="BR477" s="160"/>
      <c r="BS477" s="160"/>
      <c r="BT477" s="160"/>
      <c r="BU477" s="160"/>
      <c r="BV477" s="160"/>
      <c r="BW477" s="160"/>
      <c r="BX477" s="160"/>
      <c r="BY477" s="160"/>
      <c r="BZ477" s="160"/>
      <c r="CA477" s="160"/>
      <c r="CB477" s="160"/>
      <c r="CC477" s="160"/>
      <c r="CD477" s="160"/>
      <c r="CE477" s="160"/>
      <c r="CF477" s="160"/>
      <c r="CG477" s="160"/>
      <c r="CH477" s="160"/>
      <c r="CI477" s="160"/>
      <c r="CJ477" s="160"/>
      <c r="CK477" s="160"/>
      <c r="CL477" s="160"/>
      <c r="CM477" s="160"/>
      <c r="CN477" s="160"/>
      <c r="CO477" s="160"/>
      <c r="CP477" s="160"/>
      <c r="CQ477" s="160"/>
      <c r="CR477" s="160"/>
      <c r="CS477" s="160"/>
      <c r="CT477" s="160"/>
      <c r="CU477" s="160"/>
      <c r="CV477" s="160"/>
      <c r="CW477" s="160"/>
      <c r="CX477" s="160"/>
      <c r="CY477" s="160"/>
      <c r="CZ477" s="160"/>
      <c r="DA477" s="160"/>
      <c r="DB477" s="160"/>
      <c r="DC477" s="160"/>
      <c r="DD477" s="160"/>
      <c r="DE477" s="160"/>
      <c r="DF477" s="160"/>
      <c r="DG477" s="160"/>
      <c r="DH477" s="160"/>
      <c r="DI477" s="160"/>
      <c r="DJ477" s="160"/>
      <c r="DK477" s="160"/>
      <c r="DL477" s="160"/>
      <c r="DM477" s="160"/>
      <c r="DN477" s="160"/>
      <c r="DO477" s="160"/>
      <c r="DP477" s="160"/>
      <c r="DQ477" s="160"/>
      <c r="DR477" s="160"/>
      <c r="DS477" s="160"/>
      <c r="DT477" s="160"/>
      <c r="DU477" s="160"/>
      <c r="DV477" s="160"/>
      <c r="DW477" s="160"/>
      <c r="DX477" s="160"/>
      <c r="DY477" s="160"/>
      <c r="DZ477" s="160"/>
      <c r="EA477" s="160"/>
      <c r="EB477" s="160"/>
      <c r="EC477" s="160"/>
      <c r="ED477" s="160"/>
      <c r="EE477" s="160"/>
      <c r="EF477" s="160"/>
      <c r="EG477" s="160"/>
      <c r="EH477" s="160"/>
      <c r="EI477" s="160"/>
      <c r="EJ477" s="160"/>
      <c r="EK477" s="160"/>
      <c r="EL477" s="160"/>
      <c r="EM477" s="160"/>
      <c r="EN477" s="160"/>
      <c r="EO477" s="160"/>
      <c r="EP477" s="160"/>
      <c r="EQ477" s="160"/>
      <c r="ER477" s="160"/>
      <c r="ES477" s="160"/>
      <c r="ET477" s="160"/>
      <c r="EU477" s="160"/>
      <c r="EV477" s="160"/>
      <c r="EW477" s="160"/>
      <c r="EX477" s="160"/>
      <c r="EY477" s="160"/>
      <c r="EZ477" s="160"/>
      <c r="FA477" s="160"/>
      <c r="FB477" s="160"/>
      <c r="FC477" s="160"/>
      <c r="FD477" s="160"/>
      <c r="FE477" s="160"/>
      <c r="FF477" s="160"/>
      <c r="FG477" s="160"/>
      <c r="FH477" s="160"/>
      <c r="FI477" s="160"/>
      <c r="FJ477" s="160"/>
      <c r="FK477" s="160"/>
      <c r="FL477" s="160"/>
      <c r="FM477" s="160"/>
      <c r="FN477" s="160"/>
      <c r="FO477" s="160"/>
      <c r="FP477" s="160"/>
      <c r="FQ477" s="160"/>
      <c r="FR477" s="160"/>
      <c r="FS477" s="160"/>
      <c r="FT477" s="160"/>
      <c r="FU477" s="160"/>
      <c r="FV477" s="160"/>
      <c r="FW477" s="160"/>
      <c r="FX477" s="160"/>
      <c r="FY477" s="160"/>
      <c r="FZ477" s="160"/>
      <c r="GA477" s="160"/>
      <c r="GB477" s="160"/>
      <c r="GC477" s="160"/>
      <c r="GD477" s="160"/>
      <c r="GE477" s="160"/>
      <c r="GF477" s="160"/>
      <c r="GG477" s="160"/>
      <c r="GH477" s="160"/>
      <c r="GI477" s="160"/>
      <c r="GJ477" s="160"/>
      <c r="GK477" s="160"/>
      <c r="GL477" s="160"/>
      <c r="GM477" s="160"/>
      <c r="GN477" s="160"/>
      <c r="GO477" s="160"/>
      <c r="GP477" s="160"/>
      <c r="GQ477" s="160"/>
      <c r="GR477" s="160"/>
      <c r="GS477" s="160"/>
      <c r="GT477" s="160"/>
      <c r="GU477" s="160"/>
      <c r="GV477" s="160"/>
      <c r="GW477" s="160"/>
      <c r="GX477" s="160"/>
      <c r="GY477" s="160"/>
      <c r="GZ477" s="160"/>
      <c r="HA477" s="160"/>
      <c r="HB477" s="160"/>
      <c r="HC477" s="160"/>
      <c r="HD477" s="160"/>
      <c r="HE477" s="160"/>
      <c r="HF477" s="160"/>
      <c r="HG477" s="160"/>
      <c r="HH477" s="160"/>
      <c r="HI477" s="160"/>
      <c r="HJ477" s="160"/>
      <c r="HK477" s="160"/>
      <c r="HL477" s="160"/>
      <c r="HM477" s="160"/>
      <c r="HN477" s="160"/>
      <c r="HO477" s="160"/>
      <c r="HP477" s="160"/>
      <c r="HQ477" s="160"/>
      <c r="HR477" s="160"/>
      <c r="HS477" s="160"/>
      <c r="HT477" s="160"/>
      <c r="HU477" s="160"/>
      <c r="HV477" s="160"/>
      <c r="HW477" s="160"/>
      <c r="HX477" s="160"/>
      <c r="HY477" s="160"/>
      <c r="HZ477" s="160"/>
      <c r="IA477" s="160"/>
      <c r="IB477" s="160"/>
      <c r="IC477" s="160"/>
      <c r="ID477" s="160"/>
      <c r="IE477" s="160"/>
      <c r="IF477" s="160"/>
      <c r="IG477" s="160"/>
      <c r="IH477" s="160"/>
      <c r="II477" s="160"/>
      <c r="IJ477" s="160"/>
      <c r="IK477" s="160"/>
      <c r="IL477" s="160"/>
      <c r="IM477" s="160"/>
      <c r="IN477" s="160"/>
      <c r="IO477" s="160"/>
      <c r="IP477" s="160"/>
      <c r="IQ477" s="160"/>
      <c r="IR477" s="160"/>
    </row>
    <row r="478" spans="1:252" s="8" customFormat="1" ht="13.5" customHeight="1" x14ac:dyDescent="0.25">
      <c r="A478" s="213" t="s">
        <v>298</v>
      </c>
      <c r="B478" s="7" t="s">
        <v>86</v>
      </c>
      <c r="C478" s="190"/>
      <c r="D478" s="191"/>
      <c r="E478" s="191"/>
      <c r="F478" s="191"/>
      <c r="G478" s="200" t="str">
        <f t="shared" si="26"/>
        <v/>
      </c>
      <c r="H478" s="190"/>
      <c r="I478" s="191"/>
      <c r="J478" s="191"/>
      <c r="K478" s="191"/>
      <c r="L478" s="200" t="str">
        <f t="shared" si="27"/>
        <v/>
      </c>
      <c r="M478" s="190"/>
      <c r="N478" s="191"/>
      <c r="O478" s="191"/>
      <c r="P478" s="191"/>
      <c r="Q478" s="200" t="str">
        <f t="shared" si="28"/>
        <v/>
      </c>
      <c r="R478" s="190">
        <v>30</v>
      </c>
      <c r="S478" s="191"/>
      <c r="T478" s="200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  <c r="AG478" s="160"/>
      <c r="AH478" s="160"/>
      <c r="AI478" s="160"/>
      <c r="AJ478" s="160"/>
      <c r="AK478" s="160"/>
      <c r="AL478" s="160"/>
      <c r="AM478" s="160"/>
      <c r="AN478" s="160"/>
      <c r="AO478" s="160"/>
      <c r="AP478" s="160"/>
      <c r="AQ478" s="160"/>
      <c r="AR478" s="160"/>
      <c r="AS478" s="160"/>
      <c r="AT478" s="160"/>
      <c r="AU478" s="160"/>
      <c r="AV478" s="160"/>
      <c r="AW478" s="160"/>
      <c r="AX478" s="160"/>
      <c r="AY478" s="160"/>
      <c r="AZ478" s="160"/>
      <c r="BA478" s="160"/>
      <c r="BB478" s="160"/>
      <c r="BC478" s="160"/>
      <c r="BD478" s="160"/>
      <c r="BE478" s="160"/>
      <c r="BF478" s="160"/>
      <c r="BG478" s="160"/>
      <c r="BH478" s="160"/>
      <c r="BI478" s="160"/>
      <c r="BJ478" s="160"/>
      <c r="BK478" s="160"/>
      <c r="BL478" s="160"/>
      <c r="BM478" s="160"/>
      <c r="BN478" s="160"/>
      <c r="BO478" s="160"/>
      <c r="BP478" s="160"/>
      <c r="BQ478" s="160"/>
      <c r="BR478" s="160"/>
      <c r="BS478" s="160"/>
      <c r="BT478" s="160"/>
      <c r="BU478" s="160"/>
      <c r="BV478" s="160"/>
      <c r="BW478" s="160"/>
      <c r="BX478" s="160"/>
      <c r="BY478" s="160"/>
      <c r="BZ478" s="160"/>
      <c r="CA478" s="160"/>
      <c r="CB478" s="160"/>
      <c r="CC478" s="160"/>
      <c r="CD478" s="160"/>
      <c r="CE478" s="160"/>
      <c r="CF478" s="160"/>
      <c r="CG478" s="160"/>
      <c r="CH478" s="160"/>
      <c r="CI478" s="160"/>
      <c r="CJ478" s="160"/>
      <c r="CK478" s="160"/>
      <c r="CL478" s="160"/>
      <c r="CM478" s="160"/>
      <c r="CN478" s="160"/>
      <c r="CO478" s="160"/>
      <c r="CP478" s="160"/>
      <c r="CQ478" s="160"/>
      <c r="CR478" s="160"/>
      <c r="CS478" s="160"/>
      <c r="CT478" s="160"/>
      <c r="CU478" s="160"/>
      <c r="CV478" s="160"/>
      <c r="CW478" s="160"/>
      <c r="CX478" s="160"/>
      <c r="CY478" s="160"/>
      <c r="CZ478" s="160"/>
      <c r="DA478" s="160"/>
      <c r="DB478" s="160"/>
      <c r="DC478" s="160"/>
      <c r="DD478" s="160"/>
      <c r="DE478" s="160"/>
      <c r="DF478" s="160"/>
      <c r="DG478" s="160"/>
      <c r="DH478" s="160"/>
      <c r="DI478" s="160"/>
      <c r="DJ478" s="160"/>
      <c r="DK478" s="160"/>
      <c r="DL478" s="160"/>
      <c r="DM478" s="160"/>
      <c r="DN478" s="160"/>
      <c r="DO478" s="160"/>
      <c r="DP478" s="160"/>
      <c r="DQ478" s="160"/>
      <c r="DR478" s="160"/>
      <c r="DS478" s="160"/>
      <c r="DT478" s="160"/>
      <c r="DU478" s="160"/>
      <c r="DV478" s="160"/>
      <c r="DW478" s="160"/>
      <c r="DX478" s="160"/>
      <c r="DY478" s="160"/>
      <c r="DZ478" s="160"/>
      <c r="EA478" s="160"/>
      <c r="EB478" s="160"/>
      <c r="EC478" s="160"/>
      <c r="ED478" s="160"/>
      <c r="EE478" s="160"/>
      <c r="EF478" s="160"/>
      <c r="EG478" s="160"/>
      <c r="EH478" s="160"/>
      <c r="EI478" s="160"/>
      <c r="EJ478" s="160"/>
      <c r="EK478" s="160"/>
      <c r="EL478" s="160"/>
      <c r="EM478" s="160"/>
      <c r="EN478" s="160"/>
      <c r="EO478" s="160"/>
      <c r="EP478" s="160"/>
      <c r="EQ478" s="160"/>
      <c r="ER478" s="160"/>
      <c r="ES478" s="160"/>
      <c r="ET478" s="160"/>
      <c r="EU478" s="160"/>
      <c r="EV478" s="160"/>
      <c r="EW478" s="160"/>
      <c r="EX478" s="160"/>
      <c r="EY478" s="160"/>
      <c r="EZ478" s="160"/>
      <c r="FA478" s="160"/>
      <c r="FB478" s="160"/>
      <c r="FC478" s="160"/>
      <c r="FD478" s="160"/>
      <c r="FE478" s="160"/>
      <c r="FF478" s="160"/>
      <c r="FG478" s="160"/>
      <c r="FH478" s="160"/>
      <c r="FI478" s="160"/>
      <c r="FJ478" s="160"/>
      <c r="FK478" s="160"/>
      <c r="FL478" s="160"/>
      <c r="FM478" s="160"/>
      <c r="FN478" s="160"/>
      <c r="FO478" s="160"/>
      <c r="FP478" s="160"/>
      <c r="FQ478" s="160"/>
      <c r="FR478" s="160"/>
      <c r="FS478" s="160"/>
      <c r="FT478" s="160"/>
      <c r="FU478" s="160"/>
      <c r="FV478" s="160"/>
      <c r="FW478" s="160"/>
      <c r="FX478" s="160"/>
      <c r="FY478" s="160"/>
      <c r="FZ478" s="160"/>
      <c r="GA478" s="160"/>
      <c r="GB478" s="160"/>
      <c r="GC478" s="160"/>
      <c r="GD478" s="160"/>
      <c r="GE478" s="160"/>
      <c r="GF478" s="160"/>
      <c r="GG478" s="160"/>
      <c r="GH478" s="160"/>
      <c r="GI478" s="160"/>
      <c r="GJ478" s="160"/>
      <c r="GK478" s="160"/>
      <c r="GL478" s="160"/>
      <c r="GM478" s="160"/>
      <c r="GN478" s="160"/>
      <c r="GO478" s="160"/>
      <c r="GP478" s="160"/>
      <c r="GQ478" s="160"/>
      <c r="GR478" s="160"/>
      <c r="GS478" s="160"/>
      <c r="GT478" s="160"/>
      <c r="GU478" s="160"/>
      <c r="GV478" s="160"/>
      <c r="GW478" s="160"/>
      <c r="GX478" s="160"/>
      <c r="GY478" s="160"/>
      <c r="GZ478" s="160"/>
      <c r="HA478" s="160"/>
      <c r="HB478" s="160"/>
      <c r="HC478" s="160"/>
      <c r="HD478" s="160"/>
      <c r="HE478" s="160"/>
      <c r="HF478" s="160"/>
      <c r="HG478" s="160"/>
      <c r="HH478" s="160"/>
      <c r="HI478" s="160"/>
      <c r="HJ478" s="160"/>
      <c r="HK478" s="160"/>
      <c r="HL478" s="160"/>
      <c r="HM478" s="160"/>
      <c r="HN478" s="160"/>
      <c r="HO478" s="160"/>
      <c r="HP478" s="160"/>
      <c r="HQ478" s="160"/>
      <c r="HR478" s="160"/>
      <c r="HS478" s="160"/>
      <c r="HT478" s="160"/>
      <c r="HU478" s="160"/>
      <c r="HV478" s="160"/>
      <c r="HW478" s="160"/>
      <c r="HX478" s="160"/>
      <c r="HY478" s="160"/>
      <c r="HZ478" s="160"/>
      <c r="IA478" s="160"/>
      <c r="IB478" s="160"/>
      <c r="IC478" s="160"/>
      <c r="ID478" s="160"/>
      <c r="IE478" s="160"/>
      <c r="IF478" s="160"/>
      <c r="IG478" s="160"/>
      <c r="IH478" s="160"/>
      <c r="II478" s="160"/>
      <c r="IJ478" s="160"/>
      <c r="IK478" s="160"/>
      <c r="IL478" s="160"/>
      <c r="IM478" s="160"/>
      <c r="IN478" s="160"/>
      <c r="IO478" s="160"/>
      <c r="IP478" s="160"/>
      <c r="IQ478" s="160"/>
      <c r="IR478" s="160"/>
    </row>
    <row r="479" spans="1:252" s="8" customFormat="1" ht="13.5" customHeight="1" x14ac:dyDescent="0.25">
      <c r="A479" s="213" t="s">
        <v>298</v>
      </c>
      <c r="B479" s="7" t="s">
        <v>1325</v>
      </c>
      <c r="C479" s="190"/>
      <c r="D479" s="60"/>
      <c r="E479" s="60"/>
      <c r="F479" s="60"/>
      <c r="G479" s="200" t="str">
        <f t="shared" si="26"/>
        <v/>
      </c>
      <c r="H479" s="192"/>
      <c r="I479" s="60"/>
      <c r="J479" s="60"/>
      <c r="K479" s="60"/>
      <c r="L479" s="200" t="str">
        <f t="shared" si="27"/>
        <v/>
      </c>
      <c r="M479" s="192"/>
      <c r="N479" s="60"/>
      <c r="O479" s="60"/>
      <c r="P479" s="60"/>
      <c r="Q479" s="200" t="str">
        <f t="shared" si="28"/>
        <v/>
      </c>
      <c r="R479" s="192"/>
      <c r="S479" s="60"/>
      <c r="T479" s="205"/>
      <c r="U479" s="160"/>
      <c r="V479" s="160"/>
      <c r="W479" s="160"/>
      <c r="X479" s="160"/>
      <c r="Y479" s="160"/>
      <c r="Z479" s="160"/>
      <c r="AA479" s="160"/>
      <c r="AB479" s="160"/>
      <c r="AC479" s="160"/>
      <c r="AD479" s="160"/>
      <c r="AE479" s="160"/>
      <c r="AF479" s="160"/>
      <c r="AG479" s="160"/>
      <c r="AH479" s="160"/>
      <c r="AI479" s="160"/>
      <c r="AJ479" s="160"/>
      <c r="AK479" s="160"/>
      <c r="AL479" s="160"/>
      <c r="AM479" s="160"/>
      <c r="AN479" s="160"/>
      <c r="AO479" s="160"/>
      <c r="AP479" s="160"/>
      <c r="AQ479" s="160"/>
      <c r="AR479" s="160"/>
      <c r="AS479" s="160"/>
      <c r="AT479" s="160"/>
      <c r="AU479" s="160"/>
      <c r="AV479" s="160"/>
      <c r="AW479" s="160"/>
      <c r="AX479" s="160"/>
      <c r="AY479" s="160"/>
      <c r="AZ479" s="160"/>
      <c r="BA479" s="160"/>
      <c r="BB479" s="160"/>
      <c r="BC479" s="160"/>
      <c r="BD479" s="160"/>
      <c r="BE479" s="160"/>
      <c r="BF479" s="160"/>
      <c r="BG479" s="160"/>
      <c r="BH479" s="160"/>
      <c r="BI479" s="160"/>
      <c r="BJ479" s="160"/>
      <c r="BK479" s="160"/>
      <c r="BL479" s="160"/>
      <c r="BM479" s="160"/>
      <c r="BN479" s="160"/>
      <c r="BO479" s="160"/>
      <c r="BP479" s="160"/>
      <c r="BQ479" s="160"/>
      <c r="BR479" s="160"/>
      <c r="BS479" s="160"/>
      <c r="BT479" s="160"/>
      <c r="BU479" s="160"/>
      <c r="BV479" s="160"/>
      <c r="BW479" s="160"/>
      <c r="BX479" s="160"/>
      <c r="BY479" s="160"/>
      <c r="BZ479" s="160"/>
      <c r="CA479" s="160"/>
      <c r="CB479" s="160"/>
      <c r="CC479" s="160"/>
      <c r="CD479" s="160"/>
      <c r="CE479" s="160"/>
      <c r="CF479" s="160"/>
      <c r="CG479" s="160"/>
      <c r="CH479" s="160"/>
      <c r="CI479" s="160"/>
      <c r="CJ479" s="160"/>
      <c r="CK479" s="160"/>
      <c r="CL479" s="160"/>
      <c r="CM479" s="160"/>
      <c r="CN479" s="160"/>
      <c r="CO479" s="160"/>
      <c r="CP479" s="160"/>
      <c r="CQ479" s="160"/>
      <c r="CR479" s="160"/>
      <c r="CS479" s="160"/>
      <c r="CT479" s="160"/>
      <c r="CU479" s="160"/>
      <c r="CV479" s="160"/>
      <c r="CW479" s="160"/>
      <c r="CX479" s="160"/>
      <c r="CY479" s="160"/>
      <c r="CZ479" s="160"/>
      <c r="DA479" s="160"/>
      <c r="DB479" s="160"/>
      <c r="DC479" s="160"/>
      <c r="DD479" s="160"/>
      <c r="DE479" s="160"/>
      <c r="DF479" s="160"/>
      <c r="DG479" s="160"/>
      <c r="DH479" s="160"/>
      <c r="DI479" s="160"/>
      <c r="DJ479" s="160"/>
      <c r="DK479" s="160"/>
      <c r="DL479" s="160"/>
      <c r="DM479" s="160"/>
      <c r="DN479" s="160"/>
      <c r="DO479" s="160"/>
      <c r="DP479" s="160"/>
      <c r="DQ479" s="160"/>
      <c r="DR479" s="160"/>
      <c r="DS479" s="160"/>
      <c r="DT479" s="160"/>
      <c r="DU479" s="160"/>
      <c r="DV479" s="160"/>
      <c r="DW479" s="160"/>
      <c r="DX479" s="160"/>
      <c r="DY479" s="160"/>
      <c r="DZ479" s="160"/>
      <c r="EA479" s="160"/>
      <c r="EB479" s="160"/>
      <c r="EC479" s="160"/>
      <c r="ED479" s="160"/>
      <c r="EE479" s="160"/>
      <c r="EF479" s="160"/>
      <c r="EG479" s="160"/>
      <c r="EH479" s="160"/>
      <c r="EI479" s="160"/>
      <c r="EJ479" s="160"/>
      <c r="EK479" s="160"/>
      <c r="EL479" s="160"/>
      <c r="EM479" s="160"/>
      <c r="EN479" s="160"/>
      <c r="EO479" s="160"/>
      <c r="EP479" s="160"/>
      <c r="EQ479" s="160"/>
      <c r="ER479" s="160"/>
      <c r="ES479" s="160"/>
      <c r="ET479" s="160"/>
      <c r="EU479" s="160"/>
      <c r="EV479" s="160"/>
      <c r="EW479" s="160"/>
      <c r="EX479" s="160"/>
      <c r="EY479" s="160"/>
      <c r="EZ479" s="160"/>
      <c r="FA479" s="160"/>
      <c r="FB479" s="160"/>
      <c r="FC479" s="160"/>
      <c r="FD479" s="160"/>
      <c r="FE479" s="160"/>
      <c r="FF479" s="160"/>
      <c r="FG479" s="160"/>
      <c r="FH479" s="160"/>
      <c r="FI479" s="160"/>
      <c r="FJ479" s="160"/>
      <c r="FK479" s="160"/>
      <c r="FL479" s="160"/>
      <c r="FM479" s="160"/>
      <c r="FN479" s="160"/>
      <c r="FO479" s="160"/>
      <c r="FP479" s="160"/>
      <c r="FQ479" s="160"/>
      <c r="FR479" s="160"/>
      <c r="FS479" s="160"/>
      <c r="FT479" s="160"/>
      <c r="FU479" s="160"/>
      <c r="FV479" s="160"/>
      <c r="FW479" s="160"/>
      <c r="FX479" s="160"/>
      <c r="FY479" s="160"/>
      <c r="FZ479" s="160"/>
      <c r="GA479" s="160"/>
      <c r="GB479" s="160"/>
      <c r="GC479" s="160"/>
      <c r="GD479" s="160"/>
      <c r="GE479" s="160"/>
      <c r="GF479" s="160"/>
      <c r="GG479" s="160"/>
      <c r="GH479" s="160"/>
      <c r="GI479" s="160"/>
      <c r="GJ479" s="160"/>
      <c r="GK479" s="160"/>
      <c r="GL479" s="160"/>
      <c r="GM479" s="160"/>
      <c r="GN479" s="160"/>
      <c r="GO479" s="160"/>
      <c r="GP479" s="160"/>
      <c r="GQ479" s="160"/>
      <c r="GR479" s="160"/>
      <c r="GS479" s="160"/>
      <c r="GT479" s="160"/>
      <c r="GU479" s="160"/>
      <c r="GV479" s="160"/>
      <c r="GW479" s="160"/>
      <c r="GX479" s="160"/>
      <c r="GY479" s="160"/>
      <c r="GZ479" s="160"/>
      <c r="HA479" s="160"/>
      <c r="HB479" s="160"/>
      <c r="HC479" s="160"/>
      <c r="HD479" s="160"/>
      <c r="HE479" s="160"/>
      <c r="HF479" s="160"/>
      <c r="HG479" s="160"/>
      <c r="HH479" s="160"/>
      <c r="HI479" s="160"/>
      <c r="HJ479" s="160"/>
      <c r="HK479" s="160"/>
      <c r="HL479" s="160"/>
      <c r="HM479" s="160"/>
      <c r="HN479" s="160"/>
      <c r="HO479" s="160"/>
      <c r="HP479" s="160"/>
      <c r="HQ479" s="160"/>
      <c r="HR479" s="160"/>
      <c r="HS479" s="160"/>
      <c r="HT479" s="160"/>
      <c r="HU479" s="160"/>
      <c r="HV479" s="160"/>
      <c r="HW479" s="160"/>
      <c r="HX479" s="160"/>
      <c r="HY479" s="160"/>
      <c r="HZ479" s="160"/>
      <c r="IA479" s="160"/>
      <c r="IB479" s="160"/>
      <c r="IC479" s="160"/>
      <c r="ID479" s="160"/>
      <c r="IE479" s="160"/>
      <c r="IF479" s="160"/>
      <c r="IG479" s="160"/>
      <c r="IH479" s="160"/>
      <c r="II479" s="160"/>
      <c r="IJ479" s="160"/>
      <c r="IK479" s="160"/>
      <c r="IL479" s="160"/>
      <c r="IM479" s="160"/>
      <c r="IN479" s="160"/>
      <c r="IO479" s="160"/>
      <c r="IP479" s="160"/>
      <c r="IQ479" s="160"/>
      <c r="IR479" s="160"/>
    </row>
    <row r="480" spans="1:252" s="8" customFormat="1" ht="13.5" customHeight="1" x14ac:dyDescent="0.25">
      <c r="A480" s="213" t="s">
        <v>298</v>
      </c>
      <c r="B480" s="7" t="s">
        <v>1327</v>
      </c>
      <c r="C480" s="190"/>
      <c r="D480" s="60"/>
      <c r="E480" s="60"/>
      <c r="F480" s="60"/>
      <c r="G480" s="200" t="str">
        <f t="shared" si="26"/>
        <v/>
      </c>
      <c r="H480" s="192"/>
      <c r="I480" s="60"/>
      <c r="J480" s="60"/>
      <c r="K480" s="60"/>
      <c r="L480" s="200" t="str">
        <f t="shared" si="27"/>
        <v/>
      </c>
      <c r="M480" s="192"/>
      <c r="N480" s="60"/>
      <c r="O480" s="60"/>
      <c r="P480" s="60"/>
      <c r="Q480" s="200" t="str">
        <f t="shared" si="28"/>
        <v/>
      </c>
      <c r="R480" s="192"/>
      <c r="S480" s="60"/>
      <c r="T480" s="205"/>
      <c r="U480" s="160"/>
      <c r="V480" s="160"/>
      <c r="W480" s="160"/>
      <c r="X480" s="160"/>
      <c r="Y480" s="160"/>
      <c r="Z480" s="160"/>
      <c r="AA480" s="160"/>
      <c r="AB480" s="160"/>
      <c r="AC480" s="160"/>
      <c r="AD480" s="160"/>
      <c r="AE480" s="160"/>
      <c r="AF480" s="160"/>
      <c r="AG480" s="160"/>
      <c r="AH480" s="160"/>
      <c r="AI480" s="160"/>
      <c r="AJ480" s="160"/>
      <c r="AK480" s="160"/>
      <c r="AL480" s="160"/>
      <c r="AM480" s="160"/>
      <c r="AN480" s="160"/>
      <c r="AO480" s="160"/>
      <c r="AP480" s="160"/>
      <c r="AQ480" s="160"/>
      <c r="AR480" s="160"/>
      <c r="AS480" s="160"/>
      <c r="AT480" s="160"/>
      <c r="AU480" s="160"/>
      <c r="AV480" s="160"/>
      <c r="AW480" s="160"/>
      <c r="AX480" s="160"/>
      <c r="AY480" s="160"/>
      <c r="AZ480" s="160"/>
      <c r="BA480" s="160"/>
      <c r="BB480" s="160"/>
      <c r="BC480" s="160"/>
      <c r="BD480" s="160"/>
      <c r="BE480" s="160"/>
      <c r="BF480" s="160"/>
      <c r="BG480" s="160"/>
      <c r="BH480" s="160"/>
      <c r="BI480" s="160"/>
      <c r="BJ480" s="160"/>
      <c r="BK480" s="160"/>
      <c r="BL480" s="160"/>
      <c r="BM480" s="160"/>
      <c r="BN480" s="160"/>
      <c r="BO480" s="160"/>
      <c r="BP480" s="160"/>
      <c r="BQ480" s="160"/>
      <c r="BR480" s="160"/>
      <c r="BS480" s="160"/>
      <c r="BT480" s="160"/>
      <c r="BU480" s="160"/>
      <c r="BV480" s="160"/>
      <c r="BW480" s="160"/>
      <c r="BX480" s="160"/>
      <c r="BY480" s="160"/>
      <c r="BZ480" s="160"/>
      <c r="CA480" s="160"/>
      <c r="CB480" s="160"/>
      <c r="CC480" s="160"/>
      <c r="CD480" s="160"/>
      <c r="CE480" s="160"/>
      <c r="CF480" s="160"/>
      <c r="CG480" s="160"/>
      <c r="CH480" s="160"/>
      <c r="CI480" s="160"/>
      <c r="CJ480" s="160"/>
      <c r="CK480" s="160"/>
      <c r="CL480" s="160"/>
      <c r="CM480" s="160"/>
      <c r="CN480" s="160"/>
      <c r="CO480" s="160"/>
      <c r="CP480" s="160"/>
      <c r="CQ480" s="160"/>
      <c r="CR480" s="160"/>
      <c r="CS480" s="160"/>
      <c r="CT480" s="160"/>
      <c r="CU480" s="160"/>
      <c r="CV480" s="160"/>
      <c r="CW480" s="160"/>
      <c r="CX480" s="160"/>
      <c r="CY480" s="160"/>
      <c r="CZ480" s="160"/>
      <c r="DA480" s="160"/>
      <c r="DB480" s="160"/>
      <c r="DC480" s="160"/>
      <c r="DD480" s="160"/>
      <c r="DE480" s="160"/>
      <c r="DF480" s="160"/>
      <c r="DG480" s="160"/>
      <c r="DH480" s="160"/>
      <c r="DI480" s="160"/>
      <c r="DJ480" s="160"/>
      <c r="DK480" s="160"/>
      <c r="DL480" s="160"/>
      <c r="DM480" s="160"/>
      <c r="DN480" s="160"/>
      <c r="DO480" s="160"/>
      <c r="DP480" s="160"/>
      <c r="DQ480" s="160"/>
      <c r="DR480" s="160"/>
      <c r="DS480" s="160"/>
      <c r="DT480" s="160"/>
      <c r="DU480" s="160"/>
      <c r="DV480" s="160"/>
      <c r="DW480" s="160"/>
      <c r="DX480" s="160"/>
      <c r="DY480" s="160"/>
      <c r="DZ480" s="160"/>
      <c r="EA480" s="160"/>
      <c r="EB480" s="160"/>
      <c r="EC480" s="160"/>
      <c r="ED480" s="160"/>
      <c r="EE480" s="160"/>
      <c r="EF480" s="160"/>
      <c r="EG480" s="160"/>
      <c r="EH480" s="160"/>
      <c r="EI480" s="160"/>
      <c r="EJ480" s="160"/>
      <c r="EK480" s="160"/>
      <c r="EL480" s="160"/>
      <c r="EM480" s="160"/>
      <c r="EN480" s="160"/>
      <c r="EO480" s="160"/>
      <c r="EP480" s="160"/>
      <c r="EQ480" s="160"/>
      <c r="ER480" s="160"/>
      <c r="ES480" s="160"/>
      <c r="ET480" s="160"/>
      <c r="EU480" s="160"/>
      <c r="EV480" s="160"/>
      <c r="EW480" s="160"/>
      <c r="EX480" s="160"/>
      <c r="EY480" s="160"/>
      <c r="EZ480" s="160"/>
      <c r="FA480" s="160"/>
      <c r="FB480" s="160"/>
      <c r="FC480" s="160"/>
      <c r="FD480" s="160"/>
      <c r="FE480" s="160"/>
      <c r="FF480" s="160"/>
      <c r="FG480" s="160"/>
      <c r="FH480" s="160"/>
      <c r="FI480" s="160"/>
      <c r="FJ480" s="160"/>
      <c r="FK480" s="160"/>
      <c r="FL480" s="160"/>
      <c r="FM480" s="160"/>
      <c r="FN480" s="160"/>
      <c r="FO480" s="160"/>
      <c r="FP480" s="160"/>
      <c r="FQ480" s="160"/>
      <c r="FR480" s="160"/>
      <c r="FS480" s="160"/>
      <c r="FT480" s="160"/>
      <c r="FU480" s="160"/>
      <c r="FV480" s="160"/>
      <c r="FW480" s="160"/>
      <c r="FX480" s="160"/>
      <c r="FY480" s="160"/>
      <c r="FZ480" s="160"/>
      <c r="GA480" s="160"/>
      <c r="GB480" s="160"/>
      <c r="GC480" s="160"/>
      <c r="GD480" s="160"/>
      <c r="GE480" s="160"/>
      <c r="GF480" s="160"/>
      <c r="GG480" s="160"/>
      <c r="GH480" s="160"/>
      <c r="GI480" s="160"/>
      <c r="GJ480" s="160"/>
      <c r="GK480" s="160"/>
      <c r="GL480" s="160"/>
      <c r="GM480" s="160"/>
      <c r="GN480" s="160"/>
      <c r="GO480" s="160"/>
      <c r="GP480" s="160"/>
      <c r="GQ480" s="160"/>
      <c r="GR480" s="160"/>
      <c r="GS480" s="160"/>
      <c r="GT480" s="160"/>
      <c r="GU480" s="160"/>
      <c r="GV480" s="160"/>
      <c r="GW480" s="160"/>
      <c r="GX480" s="160"/>
      <c r="GY480" s="160"/>
      <c r="GZ480" s="160"/>
      <c r="HA480" s="160"/>
      <c r="HB480" s="160"/>
      <c r="HC480" s="160"/>
      <c r="HD480" s="160"/>
      <c r="HE480" s="160"/>
      <c r="HF480" s="160"/>
      <c r="HG480" s="160"/>
      <c r="HH480" s="160"/>
      <c r="HI480" s="160"/>
      <c r="HJ480" s="160"/>
      <c r="HK480" s="160"/>
      <c r="HL480" s="160"/>
      <c r="HM480" s="160"/>
      <c r="HN480" s="160"/>
      <c r="HO480" s="160"/>
      <c r="HP480" s="160"/>
      <c r="HQ480" s="160"/>
      <c r="HR480" s="160"/>
      <c r="HS480" s="160"/>
      <c r="HT480" s="160"/>
      <c r="HU480" s="160"/>
      <c r="HV480" s="160"/>
      <c r="HW480" s="160"/>
      <c r="HX480" s="160"/>
      <c r="HY480" s="160"/>
      <c r="HZ480" s="160"/>
      <c r="IA480" s="160"/>
      <c r="IB480" s="160"/>
      <c r="IC480" s="160"/>
      <c r="ID480" s="160"/>
      <c r="IE480" s="160"/>
      <c r="IF480" s="160"/>
      <c r="IG480" s="160"/>
      <c r="IH480" s="160"/>
      <c r="II480" s="160"/>
      <c r="IJ480" s="160"/>
      <c r="IK480" s="160"/>
      <c r="IL480" s="160"/>
      <c r="IM480" s="160"/>
      <c r="IN480" s="160"/>
      <c r="IO480" s="160"/>
      <c r="IP480" s="160"/>
      <c r="IQ480" s="160"/>
      <c r="IR480" s="160"/>
    </row>
    <row r="481" spans="1:252" s="8" customFormat="1" ht="13.5" customHeight="1" x14ac:dyDescent="0.25">
      <c r="A481" s="213" t="s">
        <v>298</v>
      </c>
      <c r="B481" s="7" t="s">
        <v>1330</v>
      </c>
      <c r="C481" s="190"/>
      <c r="D481" s="60"/>
      <c r="E481" s="60"/>
      <c r="F481" s="60"/>
      <c r="G481" s="200" t="str">
        <f t="shared" si="26"/>
        <v/>
      </c>
      <c r="H481" s="192"/>
      <c r="I481" s="60"/>
      <c r="J481" s="60"/>
      <c r="K481" s="60"/>
      <c r="L481" s="200" t="str">
        <f t="shared" si="27"/>
        <v/>
      </c>
      <c r="M481" s="192"/>
      <c r="N481" s="60"/>
      <c r="O481" s="60"/>
      <c r="P481" s="60"/>
      <c r="Q481" s="200" t="str">
        <f t="shared" si="28"/>
        <v/>
      </c>
      <c r="R481" s="192"/>
      <c r="S481" s="60"/>
      <c r="T481" s="205"/>
      <c r="U481" s="160"/>
      <c r="V481" s="160"/>
      <c r="W481" s="160"/>
      <c r="X481" s="160"/>
      <c r="Y481" s="160"/>
      <c r="Z481" s="160"/>
      <c r="AA481" s="160"/>
      <c r="AB481" s="160"/>
      <c r="AC481" s="160"/>
      <c r="AD481" s="160"/>
      <c r="AE481" s="160"/>
      <c r="AF481" s="160"/>
      <c r="AG481" s="160"/>
      <c r="AH481" s="160"/>
      <c r="AI481" s="160"/>
      <c r="AJ481" s="160"/>
      <c r="AK481" s="160"/>
      <c r="AL481" s="160"/>
      <c r="AM481" s="160"/>
      <c r="AN481" s="160"/>
      <c r="AO481" s="160"/>
      <c r="AP481" s="160"/>
      <c r="AQ481" s="160"/>
      <c r="AR481" s="160"/>
      <c r="AS481" s="160"/>
      <c r="AT481" s="160"/>
      <c r="AU481" s="160"/>
      <c r="AV481" s="160"/>
      <c r="AW481" s="160"/>
      <c r="AX481" s="160"/>
      <c r="AY481" s="160"/>
      <c r="AZ481" s="160"/>
      <c r="BA481" s="160"/>
      <c r="BB481" s="160"/>
      <c r="BC481" s="160"/>
      <c r="BD481" s="160"/>
      <c r="BE481" s="160"/>
      <c r="BF481" s="160"/>
      <c r="BG481" s="160"/>
      <c r="BH481" s="160"/>
      <c r="BI481" s="160"/>
      <c r="BJ481" s="160"/>
      <c r="BK481" s="160"/>
      <c r="BL481" s="160"/>
      <c r="BM481" s="160"/>
      <c r="BN481" s="160"/>
      <c r="BO481" s="160"/>
      <c r="BP481" s="160"/>
      <c r="BQ481" s="160"/>
      <c r="BR481" s="160"/>
      <c r="BS481" s="160"/>
      <c r="BT481" s="160"/>
      <c r="BU481" s="160"/>
      <c r="BV481" s="160"/>
      <c r="BW481" s="160"/>
      <c r="BX481" s="160"/>
      <c r="BY481" s="160"/>
      <c r="BZ481" s="160"/>
      <c r="CA481" s="160"/>
      <c r="CB481" s="160"/>
      <c r="CC481" s="160"/>
      <c r="CD481" s="160"/>
      <c r="CE481" s="160"/>
      <c r="CF481" s="160"/>
      <c r="CG481" s="160"/>
      <c r="CH481" s="160"/>
      <c r="CI481" s="160"/>
      <c r="CJ481" s="160"/>
      <c r="CK481" s="160"/>
      <c r="CL481" s="160"/>
      <c r="CM481" s="160"/>
      <c r="CN481" s="160"/>
      <c r="CO481" s="160"/>
      <c r="CP481" s="160"/>
      <c r="CQ481" s="160"/>
      <c r="CR481" s="160"/>
      <c r="CS481" s="160"/>
      <c r="CT481" s="160"/>
      <c r="CU481" s="160"/>
      <c r="CV481" s="160"/>
      <c r="CW481" s="160"/>
      <c r="CX481" s="160"/>
      <c r="CY481" s="160"/>
      <c r="CZ481" s="160"/>
      <c r="DA481" s="160"/>
      <c r="DB481" s="160"/>
      <c r="DC481" s="160"/>
      <c r="DD481" s="160"/>
      <c r="DE481" s="160"/>
      <c r="DF481" s="160"/>
      <c r="DG481" s="160"/>
      <c r="DH481" s="160"/>
      <c r="DI481" s="160"/>
      <c r="DJ481" s="160"/>
      <c r="DK481" s="160"/>
      <c r="DL481" s="160"/>
      <c r="DM481" s="160"/>
      <c r="DN481" s="160"/>
      <c r="DO481" s="160"/>
      <c r="DP481" s="160"/>
      <c r="DQ481" s="160"/>
      <c r="DR481" s="160"/>
      <c r="DS481" s="160"/>
      <c r="DT481" s="160"/>
      <c r="DU481" s="160"/>
      <c r="DV481" s="160"/>
      <c r="DW481" s="160"/>
      <c r="DX481" s="160"/>
      <c r="DY481" s="160"/>
      <c r="DZ481" s="160"/>
      <c r="EA481" s="160"/>
      <c r="EB481" s="160"/>
      <c r="EC481" s="160"/>
      <c r="ED481" s="160"/>
      <c r="EE481" s="160"/>
      <c r="EF481" s="160"/>
      <c r="EG481" s="160"/>
      <c r="EH481" s="160"/>
      <c r="EI481" s="160"/>
      <c r="EJ481" s="160"/>
      <c r="EK481" s="160"/>
      <c r="EL481" s="160"/>
      <c r="EM481" s="160"/>
      <c r="EN481" s="160"/>
      <c r="EO481" s="160"/>
      <c r="EP481" s="160"/>
      <c r="EQ481" s="160"/>
      <c r="ER481" s="160"/>
      <c r="ES481" s="160"/>
      <c r="ET481" s="160"/>
      <c r="EU481" s="160"/>
      <c r="EV481" s="160"/>
      <c r="EW481" s="160"/>
      <c r="EX481" s="160"/>
      <c r="EY481" s="160"/>
      <c r="EZ481" s="160"/>
      <c r="FA481" s="160"/>
      <c r="FB481" s="160"/>
      <c r="FC481" s="160"/>
      <c r="FD481" s="160"/>
      <c r="FE481" s="160"/>
      <c r="FF481" s="160"/>
      <c r="FG481" s="160"/>
      <c r="FH481" s="160"/>
      <c r="FI481" s="160"/>
      <c r="FJ481" s="160"/>
      <c r="FK481" s="160"/>
      <c r="FL481" s="160"/>
      <c r="FM481" s="160"/>
      <c r="FN481" s="160"/>
      <c r="FO481" s="160"/>
      <c r="FP481" s="160"/>
      <c r="FQ481" s="160"/>
      <c r="FR481" s="160"/>
      <c r="FS481" s="160"/>
      <c r="FT481" s="160"/>
      <c r="FU481" s="160"/>
      <c r="FV481" s="160"/>
      <c r="FW481" s="160"/>
      <c r="FX481" s="160"/>
      <c r="FY481" s="160"/>
      <c r="FZ481" s="160"/>
      <c r="GA481" s="160"/>
      <c r="GB481" s="160"/>
      <c r="GC481" s="160"/>
      <c r="GD481" s="160"/>
      <c r="GE481" s="160"/>
      <c r="GF481" s="160"/>
      <c r="GG481" s="160"/>
      <c r="GH481" s="160"/>
      <c r="GI481" s="160"/>
      <c r="GJ481" s="160"/>
      <c r="GK481" s="160"/>
      <c r="GL481" s="160"/>
      <c r="GM481" s="160"/>
      <c r="GN481" s="160"/>
      <c r="GO481" s="160"/>
      <c r="GP481" s="160"/>
      <c r="GQ481" s="160"/>
      <c r="GR481" s="160"/>
      <c r="GS481" s="160"/>
      <c r="GT481" s="160"/>
      <c r="GU481" s="160"/>
      <c r="GV481" s="160"/>
      <c r="GW481" s="160"/>
      <c r="GX481" s="160"/>
      <c r="GY481" s="160"/>
      <c r="GZ481" s="160"/>
      <c r="HA481" s="160"/>
      <c r="HB481" s="160"/>
      <c r="HC481" s="160"/>
      <c r="HD481" s="160"/>
      <c r="HE481" s="160"/>
      <c r="HF481" s="160"/>
      <c r="HG481" s="160"/>
      <c r="HH481" s="160"/>
      <c r="HI481" s="160"/>
      <c r="HJ481" s="160"/>
      <c r="HK481" s="160"/>
      <c r="HL481" s="160"/>
      <c r="HM481" s="160"/>
      <c r="HN481" s="160"/>
      <c r="HO481" s="160"/>
      <c r="HP481" s="160"/>
      <c r="HQ481" s="160"/>
      <c r="HR481" s="160"/>
      <c r="HS481" s="160"/>
      <c r="HT481" s="160"/>
      <c r="HU481" s="160"/>
      <c r="HV481" s="160"/>
      <c r="HW481" s="160"/>
      <c r="HX481" s="160"/>
      <c r="HY481" s="160"/>
      <c r="HZ481" s="160"/>
      <c r="IA481" s="160"/>
      <c r="IB481" s="160"/>
      <c r="IC481" s="160"/>
      <c r="ID481" s="160"/>
      <c r="IE481" s="160"/>
      <c r="IF481" s="160"/>
      <c r="IG481" s="160"/>
      <c r="IH481" s="160"/>
      <c r="II481" s="160"/>
      <c r="IJ481" s="160"/>
      <c r="IK481" s="160"/>
      <c r="IL481" s="160"/>
      <c r="IM481" s="160"/>
      <c r="IN481" s="160"/>
      <c r="IO481" s="160"/>
      <c r="IP481" s="160"/>
      <c r="IQ481" s="160"/>
      <c r="IR481" s="160"/>
    </row>
    <row r="482" spans="1:252" s="8" customFormat="1" ht="13.5" customHeight="1" x14ac:dyDescent="0.25">
      <c r="A482" s="213" t="s">
        <v>298</v>
      </c>
      <c r="B482" s="7" t="s">
        <v>1330</v>
      </c>
      <c r="C482" s="190"/>
      <c r="D482" s="60"/>
      <c r="E482" s="60"/>
      <c r="F482" s="60"/>
      <c r="G482" s="200" t="str">
        <f t="shared" si="26"/>
        <v/>
      </c>
      <c r="H482" s="192"/>
      <c r="I482" s="60"/>
      <c r="J482" s="60"/>
      <c r="K482" s="60"/>
      <c r="L482" s="200" t="str">
        <f t="shared" si="27"/>
        <v/>
      </c>
      <c r="M482" s="192"/>
      <c r="N482" s="60"/>
      <c r="O482" s="60"/>
      <c r="P482" s="60"/>
      <c r="Q482" s="200" t="str">
        <f t="shared" si="28"/>
        <v/>
      </c>
      <c r="R482" s="192"/>
      <c r="S482" s="60"/>
      <c r="T482" s="205"/>
      <c r="U482" s="160"/>
      <c r="V482" s="160"/>
      <c r="W482" s="160"/>
      <c r="X482" s="160"/>
      <c r="Y482" s="160"/>
      <c r="Z482" s="160"/>
      <c r="AA482" s="160"/>
      <c r="AB482" s="160"/>
      <c r="AC482" s="160"/>
      <c r="AD482" s="160"/>
      <c r="AE482" s="160"/>
      <c r="AF482" s="160"/>
      <c r="AG482" s="160"/>
      <c r="AH482" s="160"/>
      <c r="AI482" s="160"/>
      <c r="AJ482" s="160"/>
      <c r="AK482" s="160"/>
      <c r="AL482" s="160"/>
      <c r="AM482" s="160"/>
      <c r="AN482" s="160"/>
      <c r="AO482" s="160"/>
      <c r="AP482" s="160"/>
      <c r="AQ482" s="160"/>
      <c r="AR482" s="160"/>
      <c r="AS482" s="160"/>
      <c r="AT482" s="160"/>
      <c r="AU482" s="160"/>
      <c r="AV482" s="160"/>
      <c r="AW482" s="160"/>
      <c r="AX482" s="160"/>
      <c r="AY482" s="160"/>
      <c r="AZ482" s="160"/>
      <c r="BA482" s="160"/>
      <c r="BB482" s="160"/>
      <c r="BC482" s="160"/>
      <c r="BD482" s="160"/>
      <c r="BE482" s="160"/>
      <c r="BF482" s="160"/>
      <c r="BG482" s="160"/>
      <c r="BH482" s="160"/>
      <c r="BI482" s="160"/>
      <c r="BJ482" s="160"/>
      <c r="BK482" s="160"/>
      <c r="BL482" s="160"/>
      <c r="BM482" s="160"/>
      <c r="BN482" s="160"/>
      <c r="BO482" s="160"/>
      <c r="BP482" s="160"/>
      <c r="BQ482" s="160"/>
      <c r="BR482" s="160"/>
      <c r="BS482" s="160"/>
      <c r="BT482" s="160"/>
      <c r="BU482" s="160"/>
      <c r="BV482" s="160"/>
      <c r="BW482" s="160"/>
      <c r="BX482" s="160"/>
      <c r="BY482" s="160"/>
      <c r="BZ482" s="160"/>
      <c r="CA482" s="160"/>
      <c r="CB482" s="160"/>
      <c r="CC482" s="160"/>
      <c r="CD482" s="160"/>
      <c r="CE482" s="160"/>
      <c r="CF482" s="160"/>
      <c r="CG482" s="160"/>
      <c r="CH482" s="160"/>
      <c r="CI482" s="160"/>
      <c r="CJ482" s="160"/>
      <c r="CK482" s="160"/>
      <c r="CL482" s="160"/>
      <c r="CM482" s="160"/>
      <c r="CN482" s="160"/>
      <c r="CO482" s="160"/>
      <c r="CP482" s="160"/>
      <c r="CQ482" s="160"/>
      <c r="CR482" s="160"/>
      <c r="CS482" s="160"/>
      <c r="CT482" s="160"/>
      <c r="CU482" s="160"/>
      <c r="CV482" s="160"/>
      <c r="CW482" s="160"/>
      <c r="CX482" s="160"/>
      <c r="CY482" s="160"/>
      <c r="CZ482" s="160"/>
      <c r="DA482" s="160"/>
      <c r="DB482" s="160"/>
      <c r="DC482" s="160"/>
      <c r="DD482" s="160"/>
      <c r="DE482" s="160"/>
      <c r="DF482" s="160"/>
      <c r="DG482" s="160"/>
      <c r="DH482" s="160"/>
      <c r="DI482" s="160"/>
      <c r="DJ482" s="160"/>
      <c r="DK482" s="160"/>
      <c r="DL482" s="160"/>
      <c r="DM482" s="160"/>
      <c r="DN482" s="160"/>
      <c r="DO482" s="160"/>
      <c r="DP482" s="160"/>
      <c r="DQ482" s="160"/>
      <c r="DR482" s="160"/>
      <c r="DS482" s="160"/>
      <c r="DT482" s="160"/>
      <c r="DU482" s="160"/>
      <c r="DV482" s="160"/>
      <c r="DW482" s="160"/>
      <c r="DX482" s="160"/>
      <c r="DY482" s="160"/>
      <c r="DZ482" s="160"/>
      <c r="EA482" s="160"/>
      <c r="EB482" s="160"/>
      <c r="EC482" s="160"/>
      <c r="ED482" s="160"/>
      <c r="EE482" s="160"/>
      <c r="EF482" s="160"/>
      <c r="EG482" s="160"/>
      <c r="EH482" s="160"/>
      <c r="EI482" s="160"/>
      <c r="EJ482" s="160"/>
      <c r="EK482" s="160"/>
      <c r="EL482" s="160"/>
      <c r="EM482" s="160"/>
      <c r="EN482" s="160"/>
      <c r="EO482" s="160"/>
      <c r="EP482" s="160"/>
      <c r="EQ482" s="160"/>
      <c r="ER482" s="160"/>
      <c r="ES482" s="160"/>
      <c r="ET482" s="160"/>
      <c r="EU482" s="160"/>
      <c r="EV482" s="160"/>
      <c r="EW482" s="160"/>
      <c r="EX482" s="160"/>
      <c r="EY482" s="160"/>
      <c r="EZ482" s="160"/>
      <c r="FA482" s="160"/>
      <c r="FB482" s="160"/>
      <c r="FC482" s="160"/>
      <c r="FD482" s="160"/>
      <c r="FE482" s="160"/>
      <c r="FF482" s="160"/>
      <c r="FG482" s="160"/>
      <c r="FH482" s="160"/>
      <c r="FI482" s="160"/>
      <c r="FJ482" s="160"/>
      <c r="FK482" s="160"/>
      <c r="FL482" s="160"/>
      <c r="FM482" s="160"/>
      <c r="FN482" s="160"/>
      <c r="FO482" s="160"/>
      <c r="FP482" s="160"/>
      <c r="FQ482" s="160"/>
      <c r="FR482" s="160"/>
      <c r="FS482" s="160"/>
      <c r="FT482" s="160"/>
      <c r="FU482" s="160"/>
      <c r="FV482" s="160"/>
      <c r="FW482" s="160"/>
      <c r="FX482" s="160"/>
      <c r="FY482" s="160"/>
      <c r="FZ482" s="160"/>
      <c r="GA482" s="160"/>
      <c r="GB482" s="160"/>
      <c r="GC482" s="160"/>
      <c r="GD482" s="160"/>
      <c r="GE482" s="160"/>
      <c r="GF482" s="160"/>
      <c r="GG482" s="160"/>
      <c r="GH482" s="160"/>
      <c r="GI482" s="160"/>
      <c r="GJ482" s="160"/>
      <c r="GK482" s="160"/>
      <c r="GL482" s="160"/>
      <c r="GM482" s="160"/>
      <c r="GN482" s="160"/>
      <c r="GO482" s="160"/>
      <c r="GP482" s="160"/>
      <c r="GQ482" s="160"/>
      <c r="GR482" s="160"/>
      <c r="GS482" s="160"/>
      <c r="GT482" s="160"/>
      <c r="GU482" s="160"/>
      <c r="GV482" s="160"/>
      <c r="GW482" s="160"/>
      <c r="GX482" s="160"/>
      <c r="GY482" s="160"/>
      <c r="GZ482" s="160"/>
      <c r="HA482" s="160"/>
      <c r="HB482" s="160"/>
      <c r="HC482" s="160"/>
      <c r="HD482" s="160"/>
      <c r="HE482" s="160"/>
      <c r="HF482" s="160"/>
      <c r="HG482" s="160"/>
      <c r="HH482" s="160"/>
      <c r="HI482" s="160"/>
      <c r="HJ482" s="160"/>
      <c r="HK482" s="160"/>
      <c r="HL482" s="160"/>
      <c r="HM482" s="160"/>
      <c r="HN482" s="160"/>
      <c r="HO482" s="160"/>
      <c r="HP482" s="160"/>
      <c r="HQ482" s="160"/>
      <c r="HR482" s="160"/>
      <c r="HS482" s="160"/>
      <c r="HT482" s="160"/>
      <c r="HU482" s="160"/>
      <c r="HV482" s="160"/>
      <c r="HW482" s="160"/>
      <c r="HX482" s="160"/>
      <c r="HY482" s="160"/>
      <c r="HZ482" s="160"/>
      <c r="IA482" s="160"/>
      <c r="IB482" s="160"/>
      <c r="IC482" s="160"/>
      <c r="ID482" s="160"/>
      <c r="IE482" s="160"/>
      <c r="IF482" s="160"/>
      <c r="IG482" s="160"/>
      <c r="IH482" s="160"/>
      <c r="II482" s="160"/>
      <c r="IJ482" s="160"/>
      <c r="IK482" s="160"/>
      <c r="IL482" s="160"/>
      <c r="IM482" s="160"/>
      <c r="IN482" s="160"/>
      <c r="IO482" s="160"/>
      <c r="IP482" s="160"/>
      <c r="IQ482" s="160"/>
      <c r="IR482" s="160"/>
    </row>
    <row r="483" spans="1:252" s="8" customFormat="1" ht="13.5" customHeight="1" x14ac:dyDescent="0.25">
      <c r="A483" s="213" t="s">
        <v>298</v>
      </c>
      <c r="B483" s="7" t="s">
        <v>1333</v>
      </c>
      <c r="C483" s="192"/>
      <c r="D483" s="60"/>
      <c r="E483" s="60"/>
      <c r="F483" s="60"/>
      <c r="G483" s="200" t="str">
        <f t="shared" si="26"/>
        <v/>
      </c>
      <c r="H483" s="192"/>
      <c r="I483" s="60"/>
      <c r="J483" s="60"/>
      <c r="K483" s="60"/>
      <c r="L483" s="200" t="str">
        <f t="shared" si="27"/>
        <v/>
      </c>
      <c r="M483" s="192"/>
      <c r="N483" s="60"/>
      <c r="O483" s="60"/>
      <c r="P483" s="60"/>
      <c r="Q483" s="200" t="str">
        <f t="shared" si="28"/>
        <v/>
      </c>
      <c r="R483" s="192"/>
      <c r="S483" s="60"/>
      <c r="T483" s="205"/>
      <c r="U483" s="160"/>
      <c r="V483" s="160"/>
      <c r="W483" s="160"/>
      <c r="X483" s="160"/>
      <c r="Y483" s="160"/>
      <c r="Z483" s="160"/>
      <c r="AA483" s="160"/>
      <c r="AB483" s="160"/>
      <c r="AC483" s="160"/>
      <c r="AD483" s="160"/>
      <c r="AE483" s="160"/>
      <c r="AF483" s="160"/>
      <c r="AG483" s="160"/>
      <c r="AH483" s="160"/>
      <c r="AI483" s="160"/>
      <c r="AJ483" s="160"/>
      <c r="AK483" s="160"/>
      <c r="AL483" s="160"/>
      <c r="AM483" s="160"/>
      <c r="AN483" s="160"/>
      <c r="AO483" s="160"/>
      <c r="AP483" s="160"/>
      <c r="AQ483" s="160"/>
      <c r="AR483" s="160"/>
      <c r="AS483" s="160"/>
      <c r="AT483" s="160"/>
      <c r="AU483" s="160"/>
      <c r="AV483" s="160"/>
      <c r="AW483" s="160"/>
      <c r="AX483" s="160"/>
      <c r="AY483" s="160"/>
      <c r="AZ483" s="160"/>
      <c r="BA483" s="160"/>
      <c r="BB483" s="160"/>
      <c r="BC483" s="160"/>
      <c r="BD483" s="160"/>
      <c r="BE483" s="160"/>
      <c r="BF483" s="160"/>
      <c r="BG483" s="160"/>
      <c r="BH483" s="160"/>
      <c r="BI483" s="160"/>
      <c r="BJ483" s="160"/>
      <c r="BK483" s="160"/>
      <c r="BL483" s="160"/>
      <c r="BM483" s="160"/>
      <c r="BN483" s="160"/>
      <c r="BO483" s="160"/>
      <c r="BP483" s="160"/>
      <c r="BQ483" s="160"/>
      <c r="BR483" s="160"/>
      <c r="BS483" s="160"/>
      <c r="BT483" s="160"/>
      <c r="BU483" s="160"/>
      <c r="BV483" s="160"/>
      <c r="BW483" s="160"/>
      <c r="BX483" s="160"/>
      <c r="BY483" s="160"/>
      <c r="BZ483" s="160"/>
      <c r="CA483" s="160"/>
      <c r="CB483" s="160"/>
      <c r="CC483" s="160"/>
      <c r="CD483" s="160"/>
      <c r="CE483" s="160"/>
      <c r="CF483" s="160"/>
      <c r="CG483" s="160"/>
      <c r="CH483" s="160"/>
      <c r="CI483" s="160"/>
      <c r="CJ483" s="160"/>
      <c r="CK483" s="160"/>
      <c r="CL483" s="160"/>
      <c r="CM483" s="160"/>
      <c r="CN483" s="160"/>
      <c r="CO483" s="160"/>
      <c r="CP483" s="160"/>
      <c r="CQ483" s="160"/>
      <c r="CR483" s="160"/>
      <c r="CS483" s="160"/>
      <c r="CT483" s="160"/>
      <c r="CU483" s="160"/>
      <c r="CV483" s="160"/>
      <c r="CW483" s="160"/>
      <c r="CX483" s="160"/>
      <c r="CY483" s="160"/>
      <c r="CZ483" s="160"/>
      <c r="DA483" s="160"/>
      <c r="DB483" s="160"/>
      <c r="DC483" s="160"/>
      <c r="DD483" s="160"/>
      <c r="DE483" s="160"/>
      <c r="DF483" s="160"/>
      <c r="DG483" s="160"/>
      <c r="DH483" s="160"/>
      <c r="DI483" s="160"/>
      <c r="DJ483" s="160"/>
      <c r="DK483" s="160"/>
      <c r="DL483" s="160"/>
      <c r="DM483" s="160"/>
      <c r="DN483" s="160"/>
      <c r="DO483" s="160"/>
      <c r="DP483" s="160"/>
      <c r="DQ483" s="160"/>
      <c r="DR483" s="160"/>
      <c r="DS483" s="160"/>
      <c r="DT483" s="160"/>
      <c r="DU483" s="160"/>
      <c r="DV483" s="160"/>
      <c r="DW483" s="160"/>
      <c r="DX483" s="160"/>
      <c r="DY483" s="160"/>
      <c r="DZ483" s="160"/>
      <c r="EA483" s="160"/>
      <c r="EB483" s="160"/>
      <c r="EC483" s="160"/>
      <c r="ED483" s="160"/>
      <c r="EE483" s="160"/>
      <c r="EF483" s="160"/>
      <c r="EG483" s="160"/>
      <c r="EH483" s="160"/>
      <c r="EI483" s="160"/>
      <c r="EJ483" s="160"/>
      <c r="EK483" s="160"/>
      <c r="EL483" s="160"/>
      <c r="EM483" s="160"/>
      <c r="EN483" s="160"/>
      <c r="EO483" s="160"/>
      <c r="EP483" s="160"/>
      <c r="EQ483" s="160"/>
      <c r="ER483" s="160"/>
      <c r="ES483" s="160"/>
      <c r="ET483" s="160"/>
      <c r="EU483" s="160"/>
      <c r="EV483" s="160"/>
      <c r="EW483" s="160"/>
      <c r="EX483" s="160"/>
      <c r="EY483" s="160"/>
      <c r="EZ483" s="160"/>
      <c r="FA483" s="160"/>
      <c r="FB483" s="160"/>
      <c r="FC483" s="160"/>
      <c r="FD483" s="160"/>
      <c r="FE483" s="160"/>
      <c r="FF483" s="160"/>
      <c r="FG483" s="160"/>
      <c r="FH483" s="160"/>
      <c r="FI483" s="160"/>
      <c r="FJ483" s="160"/>
      <c r="FK483" s="160"/>
      <c r="FL483" s="160"/>
      <c r="FM483" s="160"/>
      <c r="FN483" s="160"/>
      <c r="FO483" s="160"/>
      <c r="FP483" s="160"/>
      <c r="FQ483" s="160"/>
      <c r="FR483" s="160"/>
      <c r="FS483" s="160"/>
      <c r="FT483" s="160"/>
      <c r="FU483" s="160"/>
      <c r="FV483" s="160"/>
      <c r="FW483" s="160"/>
      <c r="FX483" s="160"/>
      <c r="FY483" s="160"/>
      <c r="FZ483" s="160"/>
      <c r="GA483" s="160"/>
      <c r="GB483" s="160"/>
      <c r="GC483" s="160"/>
      <c r="GD483" s="160"/>
      <c r="GE483" s="160"/>
      <c r="GF483" s="160"/>
      <c r="GG483" s="160"/>
      <c r="GH483" s="160"/>
      <c r="GI483" s="160"/>
      <c r="GJ483" s="160"/>
      <c r="GK483" s="160"/>
      <c r="GL483" s="160"/>
      <c r="GM483" s="160"/>
      <c r="GN483" s="160"/>
      <c r="GO483" s="160"/>
      <c r="GP483" s="160"/>
      <c r="GQ483" s="160"/>
      <c r="GR483" s="160"/>
      <c r="GS483" s="160"/>
      <c r="GT483" s="160"/>
      <c r="GU483" s="160"/>
      <c r="GV483" s="160"/>
      <c r="GW483" s="160"/>
      <c r="GX483" s="160"/>
      <c r="GY483" s="160"/>
      <c r="GZ483" s="160"/>
      <c r="HA483" s="160"/>
      <c r="HB483" s="160"/>
      <c r="HC483" s="160"/>
      <c r="HD483" s="160"/>
      <c r="HE483" s="160"/>
      <c r="HF483" s="160"/>
      <c r="HG483" s="160"/>
      <c r="HH483" s="160"/>
      <c r="HI483" s="160"/>
      <c r="HJ483" s="160"/>
      <c r="HK483" s="160"/>
      <c r="HL483" s="160"/>
      <c r="HM483" s="160"/>
      <c r="HN483" s="160"/>
      <c r="HO483" s="160"/>
      <c r="HP483" s="160"/>
      <c r="HQ483" s="160"/>
      <c r="HR483" s="160"/>
      <c r="HS483" s="160"/>
      <c r="HT483" s="160"/>
      <c r="HU483" s="160"/>
      <c r="HV483" s="160"/>
      <c r="HW483" s="160"/>
      <c r="HX483" s="160"/>
      <c r="HY483" s="160"/>
      <c r="HZ483" s="160"/>
      <c r="IA483" s="160"/>
      <c r="IB483" s="160"/>
      <c r="IC483" s="160"/>
      <c r="ID483" s="160"/>
      <c r="IE483" s="160"/>
      <c r="IF483" s="160"/>
      <c r="IG483" s="160"/>
      <c r="IH483" s="160"/>
      <c r="II483" s="160"/>
      <c r="IJ483" s="160"/>
      <c r="IK483" s="160"/>
      <c r="IL483" s="160"/>
      <c r="IM483" s="160"/>
      <c r="IN483" s="160"/>
      <c r="IO483" s="160"/>
      <c r="IP483" s="160"/>
      <c r="IQ483" s="160"/>
      <c r="IR483" s="160"/>
    </row>
    <row r="484" spans="1:252" s="8" customFormat="1" ht="13.5" customHeight="1" x14ac:dyDescent="0.25">
      <c r="A484" s="213" t="s">
        <v>298</v>
      </c>
      <c r="B484" s="7" t="s">
        <v>1336</v>
      </c>
      <c r="C484" s="190"/>
      <c r="D484" s="60"/>
      <c r="E484" s="60"/>
      <c r="F484" s="60"/>
      <c r="G484" s="200" t="str">
        <f t="shared" si="26"/>
        <v/>
      </c>
      <c r="H484" s="192"/>
      <c r="I484" s="60"/>
      <c r="J484" s="60"/>
      <c r="K484" s="60"/>
      <c r="L484" s="200" t="str">
        <f t="shared" si="27"/>
        <v/>
      </c>
      <c r="M484" s="192"/>
      <c r="N484" s="60"/>
      <c r="O484" s="60"/>
      <c r="P484" s="60"/>
      <c r="Q484" s="200" t="str">
        <f t="shared" si="28"/>
        <v/>
      </c>
      <c r="R484" s="192"/>
      <c r="S484" s="60"/>
      <c r="T484" s="205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0"/>
      <c r="AE484" s="160"/>
      <c r="AF484" s="160"/>
      <c r="AG484" s="160"/>
      <c r="AH484" s="160"/>
      <c r="AI484" s="160"/>
      <c r="AJ484" s="160"/>
      <c r="AK484" s="160"/>
      <c r="AL484" s="160"/>
      <c r="AM484" s="160"/>
      <c r="AN484" s="160"/>
      <c r="AO484" s="160"/>
      <c r="AP484" s="160"/>
      <c r="AQ484" s="160"/>
      <c r="AR484" s="160"/>
      <c r="AS484" s="160"/>
      <c r="AT484" s="160"/>
      <c r="AU484" s="160"/>
      <c r="AV484" s="160"/>
      <c r="AW484" s="160"/>
      <c r="AX484" s="160"/>
      <c r="AY484" s="160"/>
      <c r="AZ484" s="160"/>
      <c r="BA484" s="160"/>
      <c r="BB484" s="160"/>
      <c r="BC484" s="160"/>
      <c r="BD484" s="160"/>
      <c r="BE484" s="160"/>
      <c r="BF484" s="160"/>
      <c r="BG484" s="160"/>
      <c r="BH484" s="160"/>
      <c r="BI484" s="160"/>
      <c r="BJ484" s="160"/>
      <c r="BK484" s="160"/>
      <c r="BL484" s="160"/>
      <c r="BM484" s="160"/>
      <c r="BN484" s="160"/>
      <c r="BO484" s="160"/>
      <c r="BP484" s="160"/>
      <c r="BQ484" s="160"/>
      <c r="BR484" s="160"/>
      <c r="BS484" s="160"/>
      <c r="BT484" s="160"/>
      <c r="BU484" s="160"/>
      <c r="BV484" s="160"/>
      <c r="BW484" s="160"/>
      <c r="BX484" s="160"/>
      <c r="BY484" s="160"/>
      <c r="BZ484" s="160"/>
      <c r="CA484" s="160"/>
      <c r="CB484" s="160"/>
      <c r="CC484" s="160"/>
      <c r="CD484" s="160"/>
      <c r="CE484" s="160"/>
      <c r="CF484" s="160"/>
      <c r="CG484" s="160"/>
      <c r="CH484" s="160"/>
      <c r="CI484" s="160"/>
      <c r="CJ484" s="160"/>
      <c r="CK484" s="160"/>
      <c r="CL484" s="160"/>
      <c r="CM484" s="160"/>
      <c r="CN484" s="160"/>
      <c r="CO484" s="160"/>
      <c r="CP484" s="160"/>
      <c r="CQ484" s="160"/>
      <c r="CR484" s="160"/>
      <c r="CS484" s="160"/>
      <c r="CT484" s="160"/>
      <c r="CU484" s="160"/>
      <c r="CV484" s="160"/>
      <c r="CW484" s="160"/>
      <c r="CX484" s="160"/>
      <c r="CY484" s="160"/>
      <c r="CZ484" s="160"/>
      <c r="DA484" s="160"/>
      <c r="DB484" s="160"/>
      <c r="DC484" s="160"/>
      <c r="DD484" s="160"/>
      <c r="DE484" s="160"/>
      <c r="DF484" s="160"/>
      <c r="DG484" s="160"/>
      <c r="DH484" s="160"/>
      <c r="DI484" s="160"/>
      <c r="DJ484" s="160"/>
      <c r="DK484" s="160"/>
      <c r="DL484" s="160"/>
      <c r="DM484" s="160"/>
      <c r="DN484" s="160"/>
      <c r="DO484" s="160"/>
      <c r="DP484" s="160"/>
      <c r="DQ484" s="160"/>
      <c r="DR484" s="160"/>
      <c r="DS484" s="160"/>
      <c r="DT484" s="160"/>
      <c r="DU484" s="160"/>
      <c r="DV484" s="160"/>
      <c r="DW484" s="160"/>
      <c r="DX484" s="160"/>
      <c r="DY484" s="160"/>
      <c r="DZ484" s="160"/>
      <c r="EA484" s="160"/>
      <c r="EB484" s="160"/>
      <c r="EC484" s="160"/>
      <c r="ED484" s="160"/>
      <c r="EE484" s="160"/>
      <c r="EF484" s="160"/>
      <c r="EG484" s="160"/>
      <c r="EH484" s="160"/>
      <c r="EI484" s="160"/>
      <c r="EJ484" s="160"/>
      <c r="EK484" s="160"/>
      <c r="EL484" s="160"/>
      <c r="EM484" s="160"/>
      <c r="EN484" s="160"/>
      <c r="EO484" s="160"/>
      <c r="EP484" s="160"/>
      <c r="EQ484" s="160"/>
      <c r="ER484" s="160"/>
      <c r="ES484" s="160"/>
      <c r="ET484" s="160"/>
      <c r="EU484" s="160"/>
      <c r="EV484" s="160"/>
      <c r="EW484" s="160"/>
      <c r="EX484" s="160"/>
      <c r="EY484" s="160"/>
      <c r="EZ484" s="160"/>
      <c r="FA484" s="160"/>
      <c r="FB484" s="160"/>
      <c r="FC484" s="160"/>
      <c r="FD484" s="160"/>
      <c r="FE484" s="160"/>
      <c r="FF484" s="160"/>
      <c r="FG484" s="160"/>
      <c r="FH484" s="160"/>
      <c r="FI484" s="160"/>
      <c r="FJ484" s="160"/>
      <c r="FK484" s="160"/>
      <c r="FL484" s="160"/>
      <c r="FM484" s="160"/>
      <c r="FN484" s="160"/>
      <c r="FO484" s="160"/>
      <c r="FP484" s="160"/>
      <c r="FQ484" s="160"/>
      <c r="FR484" s="160"/>
      <c r="FS484" s="160"/>
      <c r="FT484" s="160"/>
      <c r="FU484" s="160"/>
      <c r="FV484" s="160"/>
      <c r="FW484" s="160"/>
      <c r="FX484" s="160"/>
      <c r="FY484" s="160"/>
      <c r="FZ484" s="160"/>
      <c r="GA484" s="160"/>
      <c r="GB484" s="160"/>
      <c r="GC484" s="160"/>
      <c r="GD484" s="160"/>
      <c r="GE484" s="160"/>
      <c r="GF484" s="160"/>
      <c r="GG484" s="160"/>
      <c r="GH484" s="160"/>
      <c r="GI484" s="160"/>
      <c r="GJ484" s="160"/>
      <c r="GK484" s="160"/>
      <c r="GL484" s="160"/>
      <c r="GM484" s="160"/>
      <c r="GN484" s="160"/>
      <c r="GO484" s="160"/>
      <c r="GP484" s="160"/>
      <c r="GQ484" s="160"/>
      <c r="GR484" s="160"/>
      <c r="GS484" s="160"/>
      <c r="GT484" s="160"/>
      <c r="GU484" s="160"/>
      <c r="GV484" s="160"/>
      <c r="GW484" s="160"/>
      <c r="GX484" s="160"/>
      <c r="GY484" s="160"/>
      <c r="GZ484" s="160"/>
      <c r="HA484" s="160"/>
      <c r="HB484" s="160"/>
      <c r="HC484" s="160"/>
      <c r="HD484" s="160"/>
      <c r="HE484" s="160"/>
      <c r="HF484" s="160"/>
      <c r="HG484" s="160"/>
      <c r="HH484" s="160"/>
      <c r="HI484" s="160"/>
      <c r="HJ484" s="160"/>
      <c r="HK484" s="160"/>
      <c r="HL484" s="160"/>
      <c r="HM484" s="160"/>
      <c r="HN484" s="160"/>
      <c r="HO484" s="160"/>
      <c r="HP484" s="160"/>
      <c r="HQ484" s="160"/>
      <c r="HR484" s="160"/>
      <c r="HS484" s="160"/>
      <c r="HT484" s="160"/>
      <c r="HU484" s="160"/>
      <c r="HV484" s="160"/>
      <c r="HW484" s="160"/>
      <c r="HX484" s="160"/>
      <c r="HY484" s="160"/>
      <c r="HZ484" s="160"/>
      <c r="IA484" s="160"/>
      <c r="IB484" s="160"/>
      <c r="IC484" s="160"/>
      <c r="ID484" s="160"/>
      <c r="IE484" s="160"/>
      <c r="IF484" s="160"/>
      <c r="IG484" s="160"/>
      <c r="IH484" s="160"/>
      <c r="II484" s="160"/>
      <c r="IJ484" s="160"/>
      <c r="IK484" s="160"/>
      <c r="IL484" s="160"/>
      <c r="IM484" s="160"/>
      <c r="IN484" s="160"/>
      <c r="IO484" s="160"/>
      <c r="IP484" s="160"/>
      <c r="IQ484" s="160"/>
      <c r="IR484" s="160"/>
    </row>
    <row r="485" spans="1:252" s="8" customFormat="1" ht="13.5" customHeight="1" x14ac:dyDescent="0.25">
      <c r="A485" s="213" t="s">
        <v>298</v>
      </c>
      <c r="B485" s="7" t="s">
        <v>1341</v>
      </c>
      <c r="C485" s="192"/>
      <c r="D485" s="60"/>
      <c r="E485" s="60"/>
      <c r="F485" s="60"/>
      <c r="G485" s="200" t="str">
        <f t="shared" si="26"/>
        <v/>
      </c>
      <c r="H485" s="192"/>
      <c r="I485" s="60"/>
      <c r="J485" s="60"/>
      <c r="K485" s="60"/>
      <c r="L485" s="200" t="str">
        <f t="shared" si="27"/>
        <v/>
      </c>
      <c r="M485" s="192"/>
      <c r="N485" s="60"/>
      <c r="O485" s="60"/>
      <c r="P485" s="60"/>
      <c r="Q485" s="200" t="str">
        <f t="shared" si="28"/>
        <v/>
      </c>
      <c r="R485" s="192"/>
      <c r="S485" s="60"/>
      <c r="T485" s="205"/>
      <c r="U485" s="160"/>
      <c r="V485" s="160"/>
      <c r="W485" s="160"/>
      <c r="X485" s="160"/>
      <c r="Y485" s="160"/>
      <c r="Z485" s="160"/>
      <c r="AA485" s="160"/>
      <c r="AB485" s="160"/>
      <c r="AC485" s="160"/>
      <c r="AD485" s="160"/>
      <c r="AE485" s="160"/>
      <c r="AF485" s="160"/>
      <c r="AG485" s="160"/>
      <c r="AH485" s="160"/>
      <c r="AI485" s="160"/>
      <c r="AJ485" s="160"/>
      <c r="AK485" s="160"/>
      <c r="AL485" s="160"/>
      <c r="AM485" s="160"/>
      <c r="AN485" s="160"/>
      <c r="AO485" s="160"/>
      <c r="AP485" s="160"/>
      <c r="AQ485" s="160"/>
      <c r="AR485" s="160"/>
      <c r="AS485" s="160"/>
      <c r="AT485" s="160"/>
      <c r="AU485" s="160"/>
      <c r="AV485" s="160"/>
      <c r="AW485" s="160"/>
      <c r="AX485" s="160"/>
      <c r="AY485" s="160"/>
      <c r="AZ485" s="160"/>
      <c r="BA485" s="160"/>
      <c r="BB485" s="160"/>
      <c r="BC485" s="160"/>
      <c r="BD485" s="160"/>
      <c r="BE485" s="160"/>
      <c r="BF485" s="160"/>
      <c r="BG485" s="160"/>
      <c r="BH485" s="160"/>
      <c r="BI485" s="160"/>
      <c r="BJ485" s="160"/>
      <c r="BK485" s="160"/>
      <c r="BL485" s="160"/>
      <c r="BM485" s="160"/>
      <c r="BN485" s="160"/>
      <c r="BO485" s="160"/>
      <c r="BP485" s="160"/>
      <c r="BQ485" s="160"/>
      <c r="BR485" s="160"/>
      <c r="BS485" s="160"/>
      <c r="BT485" s="160"/>
      <c r="BU485" s="160"/>
      <c r="BV485" s="160"/>
      <c r="BW485" s="160"/>
      <c r="BX485" s="160"/>
      <c r="BY485" s="160"/>
      <c r="BZ485" s="160"/>
      <c r="CA485" s="160"/>
      <c r="CB485" s="160"/>
      <c r="CC485" s="160"/>
      <c r="CD485" s="160"/>
      <c r="CE485" s="160"/>
      <c r="CF485" s="160"/>
      <c r="CG485" s="160"/>
      <c r="CH485" s="160"/>
      <c r="CI485" s="160"/>
      <c r="CJ485" s="160"/>
      <c r="CK485" s="160"/>
      <c r="CL485" s="160"/>
      <c r="CM485" s="160"/>
      <c r="CN485" s="160"/>
      <c r="CO485" s="160"/>
      <c r="CP485" s="160"/>
      <c r="CQ485" s="160"/>
      <c r="CR485" s="160"/>
      <c r="CS485" s="160"/>
      <c r="CT485" s="160"/>
      <c r="CU485" s="160"/>
      <c r="CV485" s="160"/>
      <c r="CW485" s="160"/>
      <c r="CX485" s="160"/>
      <c r="CY485" s="160"/>
      <c r="CZ485" s="160"/>
      <c r="DA485" s="160"/>
      <c r="DB485" s="160"/>
      <c r="DC485" s="160"/>
      <c r="DD485" s="160"/>
      <c r="DE485" s="160"/>
      <c r="DF485" s="160"/>
      <c r="DG485" s="160"/>
      <c r="DH485" s="160"/>
      <c r="DI485" s="160"/>
      <c r="DJ485" s="160"/>
      <c r="DK485" s="160"/>
      <c r="DL485" s="160"/>
      <c r="DM485" s="160"/>
      <c r="DN485" s="160"/>
      <c r="DO485" s="160"/>
      <c r="DP485" s="160"/>
      <c r="DQ485" s="160"/>
      <c r="DR485" s="160"/>
      <c r="DS485" s="160"/>
      <c r="DT485" s="160"/>
      <c r="DU485" s="160"/>
      <c r="DV485" s="160"/>
      <c r="DW485" s="160"/>
      <c r="DX485" s="160"/>
      <c r="DY485" s="160"/>
      <c r="DZ485" s="160"/>
      <c r="EA485" s="160"/>
      <c r="EB485" s="160"/>
      <c r="EC485" s="160"/>
      <c r="ED485" s="160"/>
      <c r="EE485" s="160"/>
      <c r="EF485" s="160"/>
      <c r="EG485" s="160"/>
      <c r="EH485" s="160"/>
      <c r="EI485" s="160"/>
      <c r="EJ485" s="160"/>
      <c r="EK485" s="160"/>
      <c r="EL485" s="160"/>
      <c r="EM485" s="160"/>
      <c r="EN485" s="160"/>
      <c r="EO485" s="160"/>
      <c r="EP485" s="160"/>
      <c r="EQ485" s="160"/>
      <c r="ER485" s="160"/>
      <c r="ES485" s="160"/>
      <c r="ET485" s="160"/>
      <c r="EU485" s="160"/>
      <c r="EV485" s="160"/>
      <c r="EW485" s="160"/>
      <c r="EX485" s="160"/>
      <c r="EY485" s="160"/>
      <c r="EZ485" s="160"/>
      <c r="FA485" s="160"/>
      <c r="FB485" s="160"/>
      <c r="FC485" s="160"/>
      <c r="FD485" s="160"/>
      <c r="FE485" s="160"/>
      <c r="FF485" s="160"/>
      <c r="FG485" s="160"/>
      <c r="FH485" s="160"/>
      <c r="FI485" s="160"/>
      <c r="FJ485" s="160"/>
      <c r="FK485" s="160"/>
      <c r="FL485" s="160"/>
      <c r="FM485" s="160"/>
      <c r="FN485" s="160"/>
      <c r="FO485" s="160"/>
      <c r="FP485" s="160"/>
      <c r="FQ485" s="160"/>
      <c r="FR485" s="160"/>
      <c r="FS485" s="160"/>
      <c r="FT485" s="160"/>
      <c r="FU485" s="160"/>
      <c r="FV485" s="160"/>
      <c r="FW485" s="160"/>
      <c r="FX485" s="160"/>
      <c r="FY485" s="160"/>
      <c r="FZ485" s="160"/>
      <c r="GA485" s="160"/>
      <c r="GB485" s="160"/>
      <c r="GC485" s="160"/>
      <c r="GD485" s="160"/>
      <c r="GE485" s="160"/>
      <c r="GF485" s="160"/>
      <c r="GG485" s="160"/>
      <c r="GH485" s="160"/>
      <c r="GI485" s="160"/>
      <c r="GJ485" s="160"/>
      <c r="GK485" s="160"/>
      <c r="GL485" s="160"/>
      <c r="GM485" s="160"/>
      <c r="GN485" s="160"/>
      <c r="GO485" s="160"/>
      <c r="GP485" s="160"/>
      <c r="GQ485" s="160"/>
      <c r="GR485" s="160"/>
      <c r="GS485" s="160"/>
      <c r="GT485" s="160"/>
      <c r="GU485" s="160"/>
      <c r="GV485" s="160"/>
      <c r="GW485" s="160"/>
      <c r="GX485" s="160"/>
      <c r="GY485" s="160"/>
      <c r="GZ485" s="160"/>
      <c r="HA485" s="160"/>
      <c r="HB485" s="160"/>
      <c r="HC485" s="160"/>
      <c r="HD485" s="160"/>
      <c r="HE485" s="160"/>
      <c r="HF485" s="160"/>
      <c r="HG485" s="160"/>
      <c r="HH485" s="160"/>
      <c r="HI485" s="160"/>
      <c r="HJ485" s="160"/>
      <c r="HK485" s="160"/>
      <c r="HL485" s="160"/>
      <c r="HM485" s="160"/>
      <c r="HN485" s="160"/>
      <c r="HO485" s="160"/>
      <c r="HP485" s="160"/>
      <c r="HQ485" s="160"/>
      <c r="HR485" s="160"/>
      <c r="HS485" s="160"/>
      <c r="HT485" s="160"/>
      <c r="HU485" s="160"/>
      <c r="HV485" s="160"/>
      <c r="HW485" s="160"/>
      <c r="HX485" s="160"/>
      <c r="HY485" s="160"/>
      <c r="HZ485" s="160"/>
      <c r="IA485" s="160"/>
      <c r="IB485" s="160"/>
      <c r="IC485" s="160"/>
      <c r="ID485" s="160"/>
      <c r="IE485" s="160"/>
      <c r="IF485" s="160"/>
      <c r="IG485" s="160"/>
      <c r="IH485" s="160"/>
      <c r="II485" s="160"/>
      <c r="IJ485" s="160"/>
      <c r="IK485" s="160"/>
      <c r="IL485" s="160"/>
      <c r="IM485" s="160"/>
      <c r="IN485" s="160"/>
      <c r="IO485" s="160"/>
      <c r="IP485" s="160"/>
      <c r="IQ485" s="160"/>
      <c r="IR485" s="160"/>
    </row>
    <row r="486" spans="1:252" s="8" customFormat="1" ht="13.5" customHeight="1" x14ac:dyDescent="0.25">
      <c r="A486" s="213" t="s">
        <v>298</v>
      </c>
      <c r="B486" s="7" t="s">
        <v>1343</v>
      </c>
      <c r="C486" s="190"/>
      <c r="D486" s="60"/>
      <c r="E486" s="60"/>
      <c r="F486" s="60"/>
      <c r="G486" s="200" t="str">
        <f t="shared" si="26"/>
        <v/>
      </c>
      <c r="H486" s="192"/>
      <c r="I486" s="60"/>
      <c r="J486" s="60"/>
      <c r="K486" s="60"/>
      <c r="L486" s="200" t="str">
        <f t="shared" si="27"/>
        <v/>
      </c>
      <c r="M486" s="192"/>
      <c r="N486" s="60"/>
      <c r="O486" s="60"/>
      <c r="P486" s="60"/>
      <c r="Q486" s="200" t="str">
        <f t="shared" si="28"/>
        <v/>
      </c>
      <c r="R486" s="192"/>
      <c r="S486" s="60"/>
      <c r="T486" s="205"/>
      <c r="U486" s="160"/>
      <c r="V486" s="160"/>
      <c r="W486" s="160"/>
      <c r="X486" s="160"/>
      <c r="Y486" s="160"/>
      <c r="Z486" s="160"/>
      <c r="AA486" s="160"/>
      <c r="AB486" s="160"/>
      <c r="AC486" s="160"/>
      <c r="AD486" s="160"/>
      <c r="AE486" s="160"/>
      <c r="AF486" s="160"/>
      <c r="AG486" s="160"/>
      <c r="AH486" s="160"/>
      <c r="AI486" s="160"/>
      <c r="AJ486" s="160"/>
      <c r="AK486" s="160"/>
      <c r="AL486" s="160"/>
      <c r="AM486" s="160"/>
      <c r="AN486" s="160"/>
      <c r="AO486" s="160"/>
      <c r="AP486" s="160"/>
      <c r="AQ486" s="160"/>
      <c r="AR486" s="160"/>
      <c r="AS486" s="160"/>
      <c r="AT486" s="160"/>
      <c r="AU486" s="160"/>
      <c r="AV486" s="160"/>
      <c r="AW486" s="160"/>
      <c r="AX486" s="160"/>
      <c r="AY486" s="160"/>
      <c r="AZ486" s="160"/>
      <c r="BA486" s="160"/>
      <c r="BB486" s="160"/>
      <c r="BC486" s="160"/>
      <c r="BD486" s="160"/>
      <c r="BE486" s="160"/>
      <c r="BF486" s="160"/>
      <c r="BG486" s="160"/>
      <c r="BH486" s="160"/>
      <c r="BI486" s="160"/>
      <c r="BJ486" s="160"/>
      <c r="BK486" s="160"/>
      <c r="BL486" s="160"/>
      <c r="BM486" s="160"/>
      <c r="BN486" s="160"/>
      <c r="BO486" s="160"/>
      <c r="BP486" s="160"/>
      <c r="BQ486" s="160"/>
      <c r="BR486" s="160"/>
      <c r="BS486" s="160"/>
      <c r="BT486" s="160"/>
      <c r="BU486" s="160"/>
      <c r="BV486" s="160"/>
      <c r="BW486" s="160"/>
      <c r="BX486" s="160"/>
      <c r="BY486" s="160"/>
      <c r="BZ486" s="160"/>
      <c r="CA486" s="160"/>
      <c r="CB486" s="160"/>
      <c r="CC486" s="160"/>
      <c r="CD486" s="160"/>
      <c r="CE486" s="160"/>
      <c r="CF486" s="160"/>
      <c r="CG486" s="160"/>
      <c r="CH486" s="160"/>
      <c r="CI486" s="160"/>
      <c r="CJ486" s="160"/>
      <c r="CK486" s="160"/>
      <c r="CL486" s="160"/>
      <c r="CM486" s="160"/>
      <c r="CN486" s="160"/>
      <c r="CO486" s="160"/>
      <c r="CP486" s="160"/>
      <c r="CQ486" s="160"/>
      <c r="CR486" s="160"/>
      <c r="CS486" s="160"/>
      <c r="CT486" s="160"/>
      <c r="CU486" s="160"/>
      <c r="CV486" s="160"/>
      <c r="CW486" s="160"/>
      <c r="CX486" s="160"/>
      <c r="CY486" s="160"/>
      <c r="CZ486" s="160"/>
      <c r="DA486" s="160"/>
      <c r="DB486" s="160"/>
      <c r="DC486" s="160"/>
      <c r="DD486" s="160"/>
      <c r="DE486" s="160"/>
      <c r="DF486" s="160"/>
      <c r="DG486" s="160"/>
      <c r="DH486" s="160"/>
      <c r="DI486" s="160"/>
      <c r="DJ486" s="160"/>
      <c r="DK486" s="160"/>
      <c r="DL486" s="160"/>
      <c r="DM486" s="160"/>
      <c r="DN486" s="160"/>
      <c r="DO486" s="160"/>
      <c r="DP486" s="160"/>
      <c r="DQ486" s="160"/>
      <c r="DR486" s="160"/>
      <c r="DS486" s="160"/>
      <c r="DT486" s="160"/>
      <c r="DU486" s="160"/>
      <c r="DV486" s="160"/>
      <c r="DW486" s="160"/>
      <c r="DX486" s="160"/>
      <c r="DY486" s="160"/>
      <c r="DZ486" s="160"/>
      <c r="EA486" s="160"/>
      <c r="EB486" s="160"/>
      <c r="EC486" s="160"/>
      <c r="ED486" s="160"/>
      <c r="EE486" s="160"/>
      <c r="EF486" s="160"/>
      <c r="EG486" s="160"/>
      <c r="EH486" s="160"/>
      <c r="EI486" s="160"/>
      <c r="EJ486" s="160"/>
      <c r="EK486" s="160"/>
      <c r="EL486" s="160"/>
      <c r="EM486" s="160"/>
      <c r="EN486" s="160"/>
      <c r="EO486" s="160"/>
      <c r="EP486" s="160"/>
      <c r="EQ486" s="160"/>
      <c r="ER486" s="160"/>
      <c r="ES486" s="160"/>
      <c r="ET486" s="160"/>
      <c r="EU486" s="160"/>
      <c r="EV486" s="160"/>
      <c r="EW486" s="160"/>
      <c r="EX486" s="160"/>
      <c r="EY486" s="160"/>
      <c r="EZ486" s="160"/>
      <c r="FA486" s="160"/>
      <c r="FB486" s="160"/>
      <c r="FC486" s="160"/>
      <c r="FD486" s="160"/>
      <c r="FE486" s="160"/>
      <c r="FF486" s="160"/>
      <c r="FG486" s="160"/>
      <c r="FH486" s="160"/>
      <c r="FI486" s="160"/>
      <c r="FJ486" s="160"/>
      <c r="FK486" s="160"/>
      <c r="FL486" s="160"/>
      <c r="FM486" s="160"/>
      <c r="FN486" s="160"/>
      <c r="FO486" s="160"/>
      <c r="FP486" s="160"/>
      <c r="FQ486" s="160"/>
      <c r="FR486" s="160"/>
      <c r="FS486" s="160"/>
      <c r="FT486" s="160"/>
      <c r="FU486" s="160"/>
      <c r="FV486" s="160"/>
      <c r="FW486" s="160"/>
      <c r="FX486" s="160"/>
      <c r="FY486" s="160"/>
      <c r="FZ486" s="160"/>
      <c r="GA486" s="160"/>
      <c r="GB486" s="160"/>
      <c r="GC486" s="160"/>
      <c r="GD486" s="160"/>
      <c r="GE486" s="160"/>
      <c r="GF486" s="160"/>
      <c r="GG486" s="160"/>
      <c r="GH486" s="160"/>
      <c r="GI486" s="160"/>
      <c r="GJ486" s="160"/>
      <c r="GK486" s="160"/>
      <c r="GL486" s="160"/>
      <c r="GM486" s="160"/>
      <c r="GN486" s="160"/>
      <c r="GO486" s="160"/>
      <c r="GP486" s="160"/>
      <c r="GQ486" s="160"/>
      <c r="GR486" s="160"/>
      <c r="GS486" s="160"/>
      <c r="GT486" s="160"/>
      <c r="GU486" s="160"/>
      <c r="GV486" s="160"/>
      <c r="GW486" s="160"/>
      <c r="GX486" s="160"/>
      <c r="GY486" s="160"/>
      <c r="GZ486" s="160"/>
      <c r="HA486" s="160"/>
      <c r="HB486" s="160"/>
      <c r="HC486" s="160"/>
      <c r="HD486" s="160"/>
      <c r="HE486" s="160"/>
      <c r="HF486" s="160"/>
      <c r="HG486" s="160"/>
      <c r="HH486" s="160"/>
      <c r="HI486" s="160"/>
      <c r="HJ486" s="160"/>
      <c r="HK486" s="160"/>
      <c r="HL486" s="160"/>
      <c r="HM486" s="160"/>
      <c r="HN486" s="160"/>
      <c r="HO486" s="160"/>
      <c r="HP486" s="160"/>
      <c r="HQ486" s="160"/>
      <c r="HR486" s="160"/>
      <c r="HS486" s="160"/>
      <c r="HT486" s="160"/>
      <c r="HU486" s="160"/>
      <c r="HV486" s="160"/>
      <c r="HW486" s="160"/>
      <c r="HX486" s="160"/>
      <c r="HY486" s="160"/>
      <c r="HZ486" s="160"/>
      <c r="IA486" s="160"/>
      <c r="IB486" s="160"/>
      <c r="IC486" s="160"/>
      <c r="ID486" s="160"/>
      <c r="IE486" s="160"/>
      <c r="IF486" s="160"/>
      <c r="IG486" s="160"/>
      <c r="IH486" s="160"/>
      <c r="II486" s="160"/>
      <c r="IJ486" s="160"/>
      <c r="IK486" s="160"/>
      <c r="IL486" s="160"/>
      <c r="IM486" s="160"/>
      <c r="IN486" s="160"/>
      <c r="IO486" s="160"/>
      <c r="IP486" s="160"/>
      <c r="IQ486" s="160"/>
      <c r="IR486" s="160"/>
    </row>
    <row r="487" spans="1:252" s="8" customFormat="1" ht="13.5" customHeight="1" x14ac:dyDescent="0.25">
      <c r="A487" s="213" t="s">
        <v>298</v>
      </c>
      <c r="B487" s="7" t="s">
        <v>1346</v>
      </c>
      <c r="C487" s="190"/>
      <c r="D487" s="60"/>
      <c r="E487" s="60"/>
      <c r="F487" s="60"/>
      <c r="G487" s="200" t="str">
        <f t="shared" si="26"/>
        <v/>
      </c>
      <c r="H487" s="192"/>
      <c r="I487" s="60"/>
      <c r="J487" s="60"/>
      <c r="K487" s="60"/>
      <c r="L487" s="200" t="str">
        <f t="shared" si="27"/>
        <v/>
      </c>
      <c r="M487" s="192"/>
      <c r="N487" s="60"/>
      <c r="O487" s="60"/>
      <c r="P487" s="60"/>
      <c r="Q487" s="200" t="str">
        <f t="shared" si="28"/>
        <v/>
      </c>
      <c r="R487" s="192"/>
      <c r="S487" s="60"/>
      <c r="T487" s="205"/>
      <c r="U487" s="160"/>
      <c r="V487" s="160"/>
      <c r="W487" s="160"/>
      <c r="X487" s="160"/>
      <c r="Y487" s="160"/>
      <c r="Z487" s="160"/>
      <c r="AA487" s="160"/>
      <c r="AB487" s="160"/>
      <c r="AC487" s="160"/>
      <c r="AD487" s="160"/>
      <c r="AE487" s="160"/>
      <c r="AF487" s="160"/>
      <c r="AG487" s="160"/>
      <c r="AH487" s="160"/>
      <c r="AI487" s="160"/>
      <c r="AJ487" s="160"/>
      <c r="AK487" s="160"/>
      <c r="AL487" s="160"/>
      <c r="AM487" s="160"/>
      <c r="AN487" s="160"/>
      <c r="AO487" s="160"/>
      <c r="AP487" s="160"/>
      <c r="AQ487" s="160"/>
      <c r="AR487" s="160"/>
      <c r="AS487" s="160"/>
      <c r="AT487" s="160"/>
      <c r="AU487" s="160"/>
      <c r="AV487" s="160"/>
      <c r="AW487" s="160"/>
      <c r="AX487" s="160"/>
      <c r="AY487" s="160"/>
      <c r="AZ487" s="160"/>
      <c r="BA487" s="160"/>
      <c r="BB487" s="160"/>
      <c r="BC487" s="160"/>
      <c r="BD487" s="160"/>
      <c r="BE487" s="160"/>
      <c r="BF487" s="160"/>
      <c r="BG487" s="160"/>
      <c r="BH487" s="160"/>
      <c r="BI487" s="160"/>
      <c r="BJ487" s="160"/>
      <c r="BK487" s="160"/>
      <c r="BL487" s="160"/>
      <c r="BM487" s="160"/>
      <c r="BN487" s="160"/>
      <c r="BO487" s="160"/>
      <c r="BP487" s="160"/>
      <c r="BQ487" s="160"/>
      <c r="BR487" s="160"/>
      <c r="BS487" s="160"/>
      <c r="BT487" s="160"/>
      <c r="BU487" s="160"/>
      <c r="BV487" s="160"/>
      <c r="BW487" s="160"/>
      <c r="BX487" s="160"/>
      <c r="BY487" s="160"/>
      <c r="BZ487" s="160"/>
      <c r="CA487" s="160"/>
      <c r="CB487" s="160"/>
      <c r="CC487" s="160"/>
      <c r="CD487" s="160"/>
      <c r="CE487" s="160"/>
      <c r="CF487" s="160"/>
      <c r="CG487" s="160"/>
      <c r="CH487" s="160"/>
      <c r="CI487" s="160"/>
      <c r="CJ487" s="160"/>
      <c r="CK487" s="160"/>
      <c r="CL487" s="160"/>
      <c r="CM487" s="160"/>
      <c r="CN487" s="160"/>
      <c r="CO487" s="160"/>
      <c r="CP487" s="160"/>
      <c r="CQ487" s="160"/>
      <c r="CR487" s="160"/>
      <c r="CS487" s="160"/>
      <c r="CT487" s="160"/>
      <c r="CU487" s="160"/>
      <c r="CV487" s="160"/>
      <c r="CW487" s="160"/>
      <c r="CX487" s="160"/>
      <c r="CY487" s="160"/>
      <c r="CZ487" s="160"/>
      <c r="DA487" s="160"/>
      <c r="DB487" s="160"/>
      <c r="DC487" s="160"/>
      <c r="DD487" s="160"/>
      <c r="DE487" s="160"/>
      <c r="DF487" s="160"/>
      <c r="DG487" s="160"/>
      <c r="DH487" s="160"/>
      <c r="DI487" s="160"/>
      <c r="DJ487" s="160"/>
      <c r="DK487" s="160"/>
      <c r="DL487" s="160"/>
      <c r="DM487" s="160"/>
      <c r="DN487" s="160"/>
      <c r="DO487" s="160"/>
      <c r="DP487" s="160"/>
      <c r="DQ487" s="160"/>
      <c r="DR487" s="160"/>
      <c r="DS487" s="160"/>
      <c r="DT487" s="160"/>
      <c r="DU487" s="160"/>
      <c r="DV487" s="160"/>
      <c r="DW487" s="160"/>
      <c r="DX487" s="160"/>
      <c r="DY487" s="160"/>
      <c r="DZ487" s="160"/>
      <c r="EA487" s="160"/>
      <c r="EB487" s="160"/>
      <c r="EC487" s="160"/>
      <c r="ED487" s="160"/>
      <c r="EE487" s="160"/>
      <c r="EF487" s="160"/>
      <c r="EG487" s="160"/>
      <c r="EH487" s="160"/>
      <c r="EI487" s="160"/>
      <c r="EJ487" s="160"/>
      <c r="EK487" s="160"/>
      <c r="EL487" s="160"/>
      <c r="EM487" s="160"/>
      <c r="EN487" s="160"/>
      <c r="EO487" s="160"/>
      <c r="EP487" s="160"/>
      <c r="EQ487" s="160"/>
      <c r="ER487" s="160"/>
      <c r="ES487" s="160"/>
      <c r="ET487" s="160"/>
      <c r="EU487" s="160"/>
      <c r="EV487" s="160"/>
      <c r="EW487" s="160"/>
      <c r="EX487" s="160"/>
      <c r="EY487" s="160"/>
      <c r="EZ487" s="160"/>
      <c r="FA487" s="160"/>
      <c r="FB487" s="160"/>
      <c r="FC487" s="160"/>
      <c r="FD487" s="160"/>
      <c r="FE487" s="160"/>
      <c r="FF487" s="160"/>
      <c r="FG487" s="160"/>
      <c r="FH487" s="160"/>
      <c r="FI487" s="160"/>
      <c r="FJ487" s="160"/>
      <c r="FK487" s="160"/>
      <c r="FL487" s="160"/>
      <c r="FM487" s="160"/>
      <c r="FN487" s="160"/>
      <c r="FO487" s="160"/>
      <c r="FP487" s="160"/>
      <c r="FQ487" s="160"/>
      <c r="FR487" s="160"/>
      <c r="FS487" s="160"/>
      <c r="FT487" s="160"/>
      <c r="FU487" s="160"/>
      <c r="FV487" s="160"/>
      <c r="FW487" s="160"/>
      <c r="FX487" s="160"/>
      <c r="FY487" s="160"/>
      <c r="FZ487" s="160"/>
      <c r="GA487" s="160"/>
      <c r="GB487" s="160"/>
      <c r="GC487" s="160"/>
      <c r="GD487" s="160"/>
      <c r="GE487" s="160"/>
      <c r="GF487" s="160"/>
      <c r="GG487" s="160"/>
      <c r="GH487" s="160"/>
      <c r="GI487" s="160"/>
      <c r="GJ487" s="160"/>
      <c r="GK487" s="160"/>
      <c r="GL487" s="160"/>
      <c r="GM487" s="160"/>
      <c r="GN487" s="160"/>
      <c r="GO487" s="160"/>
      <c r="GP487" s="160"/>
      <c r="GQ487" s="160"/>
      <c r="GR487" s="160"/>
      <c r="GS487" s="160"/>
      <c r="GT487" s="160"/>
      <c r="GU487" s="160"/>
      <c r="GV487" s="160"/>
      <c r="GW487" s="160"/>
      <c r="GX487" s="160"/>
      <c r="GY487" s="160"/>
      <c r="GZ487" s="160"/>
      <c r="HA487" s="160"/>
      <c r="HB487" s="160"/>
      <c r="HC487" s="160"/>
      <c r="HD487" s="160"/>
      <c r="HE487" s="160"/>
      <c r="HF487" s="160"/>
      <c r="HG487" s="160"/>
      <c r="HH487" s="160"/>
      <c r="HI487" s="160"/>
      <c r="HJ487" s="160"/>
      <c r="HK487" s="160"/>
      <c r="HL487" s="160"/>
      <c r="HM487" s="160"/>
      <c r="HN487" s="160"/>
      <c r="HO487" s="160"/>
      <c r="HP487" s="160"/>
      <c r="HQ487" s="160"/>
      <c r="HR487" s="160"/>
      <c r="HS487" s="160"/>
      <c r="HT487" s="160"/>
      <c r="HU487" s="160"/>
      <c r="HV487" s="160"/>
      <c r="HW487" s="160"/>
      <c r="HX487" s="160"/>
      <c r="HY487" s="160"/>
      <c r="HZ487" s="160"/>
      <c r="IA487" s="160"/>
      <c r="IB487" s="160"/>
      <c r="IC487" s="160"/>
      <c r="ID487" s="160"/>
      <c r="IE487" s="160"/>
      <c r="IF487" s="160"/>
      <c r="IG487" s="160"/>
      <c r="IH487" s="160"/>
      <c r="II487" s="160"/>
      <c r="IJ487" s="160"/>
      <c r="IK487" s="160"/>
      <c r="IL487" s="160"/>
      <c r="IM487" s="160"/>
      <c r="IN487" s="160"/>
      <c r="IO487" s="160"/>
      <c r="IP487" s="160"/>
      <c r="IQ487" s="160"/>
      <c r="IR487" s="160"/>
    </row>
    <row r="488" spans="1:252" s="8" customFormat="1" ht="13.5" customHeight="1" x14ac:dyDescent="0.25">
      <c r="A488" s="213" t="s">
        <v>298</v>
      </c>
      <c r="B488" s="7" t="s">
        <v>1349</v>
      </c>
      <c r="C488" s="190"/>
      <c r="D488" s="60"/>
      <c r="E488" s="60"/>
      <c r="F488" s="60"/>
      <c r="G488" s="200" t="str">
        <f>IF(F488=1,"New","")</f>
        <v/>
      </c>
      <c r="H488" s="192"/>
      <c r="I488" s="60"/>
      <c r="J488" s="60"/>
      <c r="K488" s="60"/>
      <c r="L488" s="200" t="str">
        <f t="shared" si="27"/>
        <v/>
      </c>
      <c r="M488" s="192"/>
      <c r="N488" s="60"/>
      <c r="O488" s="60"/>
      <c r="P488" s="60"/>
      <c r="Q488" s="200" t="str">
        <f t="shared" si="28"/>
        <v/>
      </c>
      <c r="R488" s="192"/>
      <c r="S488" s="60"/>
      <c r="T488" s="205"/>
      <c r="U488" s="160"/>
      <c r="V488" s="160"/>
      <c r="W488" s="160"/>
      <c r="X488" s="160"/>
      <c r="Y488" s="160"/>
      <c r="Z488" s="160"/>
      <c r="AA488" s="160"/>
      <c r="AB488" s="160"/>
      <c r="AC488" s="160"/>
      <c r="AD488" s="160"/>
      <c r="AE488" s="160"/>
      <c r="AF488" s="160"/>
      <c r="AG488" s="160"/>
      <c r="AH488" s="160"/>
      <c r="AI488" s="160"/>
      <c r="AJ488" s="160"/>
      <c r="AK488" s="160"/>
      <c r="AL488" s="160"/>
      <c r="AM488" s="160"/>
      <c r="AN488" s="160"/>
      <c r="AO488" s="160"/>
      <c r="AP488" s="160"/>
      <c r="AQ488" s="160"/>
      <c r="AR488" s="160"/>
      <c r="AS488" s="160"/>
      <c r="AT488" s="160"/>
      <c r="AU488" s="160"/>
      <c r="AV488" s="160"/>
      <c r="AW488" s="160"/>
      <c r="AX488" s="160"/>
      <c r="AY488" s="160"/>
      <c r="AZ488" s="160"/>
      <c r="BA488" s="160"/>
      <c r="BB488" s="160"/>
      <c r="BC488" s="160"/>
      <c r="BD488" s="160"/>
      <c r="BE488" s="160"/>
      <c r="BF488" s="160"/>
      <c r="BG488" s="160"/>
      <c r="BH488" s="160"/>
      <c r="BI488" s="160"/>
      <c r="BJ488" s="160"/>
      <c r="BK488" s="160"/>
      <c r="BL488" s="160"/>
      <c r="BM488" s="160"/>
      <c r="BN488" s="160"/>
      <c r="BO488" s="160"/>
      <c r="BP488" s="160"/>
      <c r="BQ488" s="160"/>
      <c r="BR488" s="160"/>
      <c r="BS488" s="160"/>
      <c r="BT488" s="160"/>
      <c r="BU488" s="160"/>
      <c r="BV488" s="160"/>
      <c r="BW488" s="160"/>
      <c r="BX488" s="160"/>
      <c r="BY488" s="160"/>
      <c r="BZ488" s="160"/>
      <c r="CA488" s="160"/>
      <c r="CB488" s="160"/>
      <c r="CC488" s="160"/>
      <c r="CD488" s="160"/>
      <c r="CE488" s="160"/>
      <c r="CF488" s="160"/>
      <c r="CG488" s="160"/>
      <c r="CH488" s="160"/>
      <c r="CI488" s="160"/>
      <c r="CJ488" s="160"/>
      <c r="CK488" s="160"/>
      <c r="CL488" s="160"/>
      <c r="CM488" s="160"/>
      <c r="CN488" s="160"/>
      <c r="CO488" s="160"/>
      <c r="CP488" s="160"/>
      <c r="CQ488" s="160"/>
      <c r="CR488" s="160"/>
      <c r="CS488" s="160"/>
      <c r="CT488" s="160"/>
      <c r="CU488" s="160"/>
      <c r="CV488" s="160"/>
      <c r="CW488" s="160"/>
      <c r="CX488" s="160"/>
      <c r="CY488" s="160"/>
      <c r="CZ488" s="160"/>
      <c r="DA488" s="160"/>
      <c r="DB488" s="160"/>
      <c r="DC488" s="160"/>
      <c r="DD488" s="160"/>
      <c r="DE488" s="160"/>
      <c r="DF488" s="160"/>
      <c r="DG488" s="160"/>
      <c r="DH488" s="160"/>
      <c r="DI488" s="160"/>
      <c r="DJ488" s="160"/>
      <c r="DK488" s="160"/>
      <c r="DL488" s="160"/>
      <c r="DM488" s="160"/>
      <c r="DN488" s="160"/>
      <c r="DO488" s="160"/>
      <c r="DP488" s="160"/>
      <c r="DQ488" s="160"/>
      <c r="DR488" s="160"/>
      <c r="DS488" s="160"/>
      <c r="DT488" s="160"/>
      <c r="DU488" s="160"/>
      <c r="DV488" s="160"/>
      <c r="DW488" s="160"/>
      <c r="DX488" s="160"/>
      <c r="DY488" s="160"/>
      <c r="DZ488" s="160"/>
      <c r="EA488" s="160"/>
      <c r="EB488" s="160"/>
      <c r="EC488" s="160"/>
      <c r="ED488" s="160"/>
      <c r="EE488" s="160"/>
      <c r="EF488" s="160"/>
      <c r="EG488" s="160"/>
      <c r="EH488" s="160"/>
      <c r="EI488" s="160"/>
      <c r="EJ488" s="160"/>
      <c r="EK488" s="160"/>
      <c r="EL488" s="160"/>
      <c r="EM488" s="160"/>
      <c r="EN488" s="160"/>
      <c r="EO488" s="160"/>
      <c r="EP488" s="160"/>
      <c r="EQ488" s="160"/>
      <c r="ER488" s="160"/>
      <c r="ES488" s="160"/>
      <c r="ET488" s="160"/>
      <c r="EU488" s="160"/>
      <c r="EV488" s="160"/>
      <c r="EW488" s="160"/>
      <c r="EX488" s="160"/>
      <c r="EY488" s="160"/>
      <c r="EZ488" s="160"/>
      <c r="FA488" s="160"/>
      <c r="FB488" s="160"/>
      <c r="FC488" s="160"/>
      <c r="FD488" s="160"/>
      <c r="FE488" s="160"/>
      <c r="FF488" s="160"/>
      <c r="FG488" s="160"/>
      <c r="FH488" s="160"/>
      <c r="FI488" s="160"/>
      <c r="FJ488" s="160"/>
      <c r="FK488" s="160"/>
      <c r="FL488" s="160"/>
      <c r="FM488" s="160"/>
      <c r="FN488" s="160"/>
      <c r="FO488" s="160"/>
      <c r="FP488" s="160"/>
      <c r="FQ488" s="160"/>
      <c r="FR488" s="160"/>
      <c r="FS488" s="160"/>
      <c r="FT488" s="160"/>
      <c r="FU488" s="160"/>
      <c r="FV488" s="160"/>
      <c r="FW488" s="160"/>
      <c r="FX488" s="160"/>
      <c r="FY488" s="160"/>
      <c r="FZ488" s="160"/>
      <c r="GA488" s="160"/>
      <c r="GB488" s="160"/>
      <c r="GC488" s="160"/>
      <c r="GD488" s="160"/>
      <c r="GE488" s="160"/>
      <c r="GF488" s="160"/>
      <c r="GG488" s="160"/>
      <c r="GH488" s="160"/>
      <c r="GI488" s="160"/>
      <c r="GJ488" s="160"/>
      <c r="GK488" s="160"/>
      <c r="GL488" s="160"/>
      <c r="GM488" s="160"/>
      <c r="GN488" s="160"/>
      <c r="GO488" s="160"/>
      <c r="GP488" s="160"/>
      <c r="GQ488" s="160"/>
      <c r="GR488" s="160"/>
      <c r="GS488" s="160"/>
      <c r="GT488" s="160"/>
      <c r="GU488" s="160"/>
      <c r="GV488" s="160"/>
      <c r="GW488" s="160"/>
      <c r="GX488" s="160"/>
      <c r="GY488" s="160"/>
      <c r="GZ488" s="160"/>
      <c r="HA488" s="160"/>
      <c r="HB488" s="160"/>
      <c r="HC488" s="160"/>
      <c r="HD488" s="160"/>
      <c r="HE488" s="160"/>
      <c r="HF488" s="160"/>
      <c r="HG488" s="160"/>
      <c r="HH488" s="160"/>
      <c r="HI488" s="160"/>
      <c r="HJ488" s="160"/>
      <c r="HK488" s="160"/>
      <c r="HL488" s="160"/>
      <c r="HM488" s="160"/>
      <c r="HN488" s="160"/>
      <c r="HO488" s="160"/>
      <c r="HP488" s="160"/>
      <c r="HQ488" s="160"/>
      <c r="HR488" s="160"/>
      <c r="HS488" s="160"/>
      <c r="HT488" s="160"/>
      <c r="HU488" s="160"/>
      <c r="HV488" s="160"/>
      <c r="HW488" s="160"/>
      <c r="HX488" s="160"/>
      <c r="HY488" s="160"/>
      <c r="HZ488" s="160"/>
      <c r="IA488" s="160"/>
      <c r="IB488" s="160"/>
      <c r="IC488" s="160"/>
      <c r="ID488" s="160"/>
      <c r="IE488" s="160"/>
      <c r="IF488" s="160"/>
      <c r="IG488" s="160"/>
      <c r="IH488" s="160"/>
      <c r="II488" s="160"/>
      <c r="IJ488" s="160"/>
      <c r="IK488" s="160"/>
      <c r="IL488" s="160"/>
      <c r="IM488" s="160"/>
      <c r="IN488" s="160"/>
      <c r="IO488" s="160"/>
      <c r="IP488" s="160"/>
      <c r="IQ488" s="160"/>
      <c r="IR488" s="160"/>
    </row>
    <row r="489" spans="1:252" s="8" customFormat="1" ht="13.5" customHeight="1" x14ac:dyDescent="0.25">
      <c r="A489" s="213" t="s">
        <v>298</v>
      </c>
      <c r="B489" s="7" t="s">
        <v>1352</v>
      </c>
      <c r="C489" s="190"/>
      <c r="D489" s="60"/>
      <c r="E489" s="60"/>
      <c r="F489" s="60"/>
      <c r="G489" s="200" t="str">
        <f t="shared" si="26"/>
        <v/>
      </c>
      <c r="H489" s="192"/>
      <c r="I489" s="60"/>
      <c r="J489" s="60"/>
      <c r="K489" s="60"/>
      <c r="L489" s="200" t="str">
        <f t="shared" si="27"/>
        <v/>
      </c>
      <c r="M489" s="192"/>
      <c r="N489" s="60"/>
      <c r="O489" s="60"/>
      <c r="P489" s="60"/>
      <c r="Q489" s="200" t="str">
        <f t="shared" si="28"/>
        <v/>
      </c>
      <c r="R489" s="192"/>
      <c r="S489" s="60"/>
      <c r="T489" s="205"/>
      <c r="U489" s="160"/>
      <c r="V489" s="160"/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0"/>
      <c r="AG489" s="160"/>
      <c r="AH489" s="160"/>
      <c r="AI489" s="160"/>
      <c r="AJ489" s="160"/>
      <c r="AK489" s="160"/>
      <c r="AL489" s="160"/>
      <c r="AM489" s="160"/>
      <c r="AN489" s="160"/>
      <c r="AO489" s="160"/>
      <c r="AP489" s="160"/>
      <c r="AQ489" s="160"/>
      <c r="AR489" s="160"/>
      <c r="AS489" s="160"/>
      <c r="AT489" s="160"/>
      <c r="AU489" s="160"/>
      <c r="AV489" s="160"/>
      <c r="AW489" s="160"/>
      <c r="AX489" s="160"/>
      <c r="AY489" s="160"/>
      <c r="AZ489" s="160"/>
      <c r="BA489" s="160"/>
      <c r="BB489" s="160"/>
      <c r="BC489" s="160"/>
      <c r="BD489" s="160"/>
      <c r="BE489" s="160"/>
      <c r="BF489" s="160"/>
      <c r="BG489" s="160"/>
      <c r="BH489" s="160"/>
      <c r="BI489" s="160"/>
      <c r="BJ489" s="160"/>
      <c r="BK489" s="160"/>
      <c r="BL489" s="160"/>
      <c r="BM489" s="160"/>
      <c r="BN489" s="160"/>
      <c r="BO489" s="160"/>
      <c r="BP489" s="160"/>
      <c r="BQ489" s="160"/>
      <c r="BR489" s="160"/>
      <c r="BS489" s="160"/>
      <c r="BT489" s="160"/>
      <c r="BU489" s="160"/>
      <c r="BV489" s="160"/>
      <c r="BW489" s="160"/>
      <c r="BX489" s="160"/>
      <c r="BY489" s="160"/>
      <c r="BZ489" s="160"/>
      <c r="CA489" s="160"/>
      <c r="CB489" s="160"/>
      <c r="CC489" s="160"/>
      <c r="CD489" s="160"/>
      <c r="CE489" s="160"/>
      <c r="CF489" s="160"/>
      <c r="CG489" s="160"/>
      <c r="CH489" s="160"/>
      <c r="CI489" s="160"/>
      <c r="CJ489" s="160"/>
      <c r="CK489" s="160"/>
      <c r="CL489" s="160"/>
      <c r="CM489" s="160"/>
      <c r="CN489" s="160"/>
      <c r="CO489" s="160"/>
      <c r="CP489" s="160"/>
      <c r="CQ489" s="160"/>
      <c r="CR489" s="160"/>
      <c r="CS489" s="160"/>
      <c r="CT489" s="160"/>
      <c r="CU489" s="160"/>
      <c r="CV489" s="160"/>
      <c r="CW489" s="160"/>
      <c r="CX489" s="160"/>
      <c r="CY489" s="160"/>
      <c r="CZ489" s="160"/>
      <c r="DA489" s="160"/>
      <c r="DB489" s="160"/>
      <c r="DC489" s="160"/>
      <c r="DD489" s="160"/>
      <c r="DE489" s="160"/>
      <c r="DF489" s="160"/>
      <c r="DG489" s="160"/>
      <c r="DH489" s="160"/>
      <c r="DI489" s="160"/>
      <c r="DJ489" s="160"/>
      <c r="DK489" s="160"/>
      <c r="DL489" s="160"/>
      <c r="DM489" s="160"/>
      <c r="DN489" s="160"/>
      <c r="DO489" s="160"/>
      <c r="DP489" s="160"/>
      <c r="DQ489" s="160"/>
      <c r="DR489" s="160"/>
      <c r="DS489" s="160"/>
      <c r="DT489" s="160"/>
      <c r="DU489" s="160"/>
      <c r="DV489" s="160"/>
      <c r="DW489" s="160"/>
      <c r="DX489" s="160"/>
      <c r="DY489" s="160"/>
      <c r="DZ489" s="160"/>
      <c r="EA489" s="160"/>
      <c r="EB489" s="160"/>
      <c r="EC489" s="160"/>
      <c r="ED489" s="160"/>
      <c r="EE489" s="160"/>
      <c r="EF489" s="160"/>
      <c r="EG489" s="160"/>
      <c r="EH489" s="160"/>
      <c r="EI489" s="160"/>
      <c r="EJ489" s="160"/>
      <c r="EK489" s="160"/>
      <c r="EL489" s="160"/>
      <c r="EM489" s="160"/>
      <c r="EN489" s="160"/>
      <c r="EO489" s="160"/>
      <c r="EP489" s="160"/>
      <c r="EQ489" s="160"/>
      <c r="ER489" s="160"/>
      <c r="ES489" s="160"/>
      <c r="ET489" s="160"/>
      <c r="EU489" s="160"/>
      <c r="EV489" s="160"/>
      <c r="EW489" s="160"/>
      <c r="EX489" s="160"/>
      <c r="EY489" s="160"/>
      <c r="EZ489" s="160"/>
      <c r="FA489" s="160"/>
      <c r="FB489" s="160"/>
      <c r="FC489" s="160"/>
      <c r="FD489" s="160"/>
      <c r="FE489" s="160"/>
      <c r="FF489" s="160"/>
      <c r="FG489" s="160"/>
      <c r="FH489" s="160"/>
      <c r="FI489" s="160"/>
      <c r="FJ489" s="160"/>
      <c r="FK489" s="160"/>
      <c r="FL489" s="160"/>
      <c r="FM489" s="160"/>
      <c r="FN489" s="160"/>
      <c r="FO489" s="160"/>
      <c r="FP489" s="160"/>
      <c r="FQ489" s="160"/>
      <c r="FR489" s="160"/>
      <c r="FS489" s="160"/>
      <c r="FT489" s="160"/>
      <c r="FU489" s="160"/>
      <c r="FV489" s="160"/>
      <c r="FW489" s="160"/>
      <c r="FX489" s="160"/>
      <c r="FY489" s="160"/>
      <c r="FZ489" s="160"/>
      <c r="GA489" s="160"/>
      <c r="GB489" s="160"/>
      <c r="GC489" s="160"/>
      <c r="GD489" s="160"/>
      <c r="GE489" s="160"/>
      <c r="GF489" s="160"/>
      <c r="GG489" s="160"/>
      <c r="GH489" s="160"/>
      <c r="GI489" s="160"/>
      <c r="GJ489" s="160"/>
      <c r="GK489" s="160"/>
      <c r="GL489" s="160"/>
      <c r="GM489" s="160"/>
      <c r="GN489" s="160"/>
      <c r="GO489" s="160"/>
      <c r="GP489" s="160"/>
      <c r="GQ489" s="160"/>
      <c r="GR489" s="160"/>
      <c r="GS489" s="160"/>
      <c r="GT489" s="160"/>
      <c r="GU489" s="160"/>
      <c r="GV489" s="160"/>
      <c r="GW489" s="160"/>
      <c r="GX489" s="160"/>
      <c r="GY489" s="160"/>
      <c r="GZ489" s="160"/>
      <c r="HA489" s="160"/>
      <c r="HB489" s="160"/>
      <c r="HC489" s="160"/>
      <c r="HD489" s="160"/>
      <c r="HE489" s="160"/>
      <c r="HF489" s="160"/>
      <c r="HG489" s="160"/>
      <c r="HH489" s="160"/>
      <c r="HI489" s="160"/>
      <c r="HJ489" s="160"/>
      <c r="HK489" s="160"/>
      <c r="HL489" s="160"/>
      <c r="HM489" s="160"/>
      <c r="HN489" s="160"/>
      <c r="HO489" s="160"/>
      <c r="HP489" s="160"/>
      <c r="HQ489" s="160"/>
      <c r="HR489" s="160"/>
      <c r="HS489" s="160"/>
      <c r="HT489" s="160"/>
      <c r="HU489" s="160"/>
      <c r="HV489" s="160"/>
      <c r="HW489" s="160"/>
      <c r="HX489" s="160"/>
      <c r="HY489" s="160"/>
      <c r="HZ489" s="160"/>
      <c r="IA489" s="160"/>
      <c r="IB489" s="160"/>
      <c r="IC489" s="160"/>
      <c r="ID489" s="160"/>
      <c r="IE489" s="160"/>
      <c r="IF489" s="160"/>
      <c r="IG489" s="160"/>
      <c r="IH489" s="160"/>
      <c r="II489" s="160"/>
      <c r="IJ489" s="160"/>
      <c r="IK489" s="160"/>
      <c r="IL489" s="160"/>
      <c r="IM489" s="160"/>
      <c r="IN489" s="160"/>
      <c r="IO489" s="160"/>
      <c r="IP489" s="160"/>
      <c r="IQ489" s="160"/>
      <c r="IR489" s="160"/>
    </row>
    <row r="490" spans="1:252" s="8" customFormat="1" ht="13.5" customHeight="1" x14ac:dyDescent="0.25">
      <c r="A490" s="213" t="s">
        <v>298</v>
      </c>
      <c r="B490" s="7" t="s">
        <v>1355</v>
      </c>
      <c r="C490" s="190" t="s">
        <v>1770</v>
      </c>
      <c r="D490" s="60">
        <v>1</v>
      </c>
      <c r="E490" s="60">
        <v>1</v>
      </c>
      <c r="F490" s="60"/>
      <c r="G490" s="200" t="str">
        <f t="shared" si="26"/>
        <v/>
      </c>
      <c r="H490" s="192"/>
      <c r="I490" s="60"/>
      <c r="J490" s="60"/>
      <c r="K490" s="60"/>
      <c r="L490" s="200" t="str">
        <f t="shared" si="27"/>
        <v/>
      </c>
      <c r="M490" s="192"/>
      <c r="N490" s="60"/>
      <c r="O490" s="60"/>
      <c r="P490" s="60"/>
      <c r="Q490" s="200" t="str">
        <f t="shared" si="28"/>
        <v/>
      </c>
      <c r="R490" s="192"/>
      <c r="S490" s="60"/>
      <c r="T490" s="205"/>
      <c r="U490" s="160"/>
      <c r="V490" s="160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  <c r="AG490" s="160"/>
      <c r="AH490" s="160"/>
      <c r="AI490" s="160"/>
      <c r="AJ490" s="160"/>
      <c r="AK490" s="160"/>
      <c r="AL490" s="160"/>
      <c r="AM490" s="160"/>
      <c r="AN490" s="160"/>
      <c r="AO490" s="160"/>
      <c r="AP490" s="160"/>
      <c r="AQ490" s="160"/>
      <c r="AR490" s="160"/>
      <c r="AS490" s="160"/>
      <c r="AT490" s="160"/>
      <c r="AU490" s="160"/>
      <c r="AV490" s="160"/>
      <c r="AW490" s="160"/>
      <c r="AX490" s="160"/>
      <c r="AY490" s="160"/>
      <c r="AZ490" s="160"/>
      <c r="BA490" s="160"/>
      <c r="BB490" s="160"/>
      <c r="BC490" s="160"/>
      <c r="BD490" s="160"/>
      <c r="BE490" s="160"/>
      <c r="BF490" s="160"/>
      <c r="BG490" s="160"/>
      <c r="BH490" s="160"/>
      <c r="BI490" s="160"/>
      <c r="BJ490" s="160"/>
      <c r="BK490" s="160"/>
      <c r="BL490" s="160"/>
      <c r="BM490" s="160"/>
      <c r="BN490" s="160"/>
      <c r="BO490" s="160"/>
      <c r="BP490" s="160"/>
      <c r="BQ490" s="160"/>
      <c r="BR490" s="160"/>
      <c r="BS490" s="160"/>
      <c r="BT490" s="160"/>
      <c r="BU490" s="160"/>
      <c r="BV490" s="160"/>
      <c r="BW490" s="160"/>
      <c r="BX490" s="160"/>
      <c r="BY490" s="160"/>
      <c r="BZ490" s="160"/>
      <c r="CA490" s="160"/>
      <c r="CB490" s="160"/>
      <c r="CC490" s="160"/>
      <c r="CD490" s="160"/>
      <c r="CE490" s="160"/>
      <c r="CF490" s="160"/>
      <c r="CG490" s="160"/>
      <c r="CH490" s="160"/>
      <c r="CI490" s="160"/>
      <c r="CJ490" s="160"/>
      <c r="CK490" s="160"/>
      <c r="CL490" s="160"/>
      <c r="CM490" s="160"/>
      <c r="CN490" s="160"/>
      <c r="CO490" s="160"/>
      <c r="CP490" s="160"/>
      <c r="CQ490" s="160"/>
      <c r="CR490" s="160"/>
      <c r="CS490" s="160"/>
      <c r="CT490" s="160"/>
      <c r="CU490" s="160"/>
      <c r="CV490" s="160"/>
      <c r="CW490" s="160"/>
      <c r="CX490" s="160"/>
      <c r="CY490" s="160"/>
      <c r="CZ490" s="160"/>
      <c r="DA490" s="160"/>
      <c r="DB490" s="160"/>
      <c r="DC490" s="160"/>
      <c r="DD490" s="160"/>
      <c r="DE490" s="160"/>
      <c r="DF490" s="160"/>
      <c r="DG490" s="160"/>
      <c r="DH490" s="160"/>
      <c r="DI490" s="160"/>
      <c r="DJ490" s="160"/>
      <c r="DK490" s="160"/>
      <c r="DL490" s="160"/>
      <c r="DM490" s="160"/>
      <c r="DN490" s="160"/>
      <c r="DO490" s="160"/>
      <c r="DP490" s="160"/>
      <c r="DQ490" s="160"/>
      <c r="DR490" s="160"/>
      <c r="DS490" s="160"/>
      <c r="DT490" s="160"/>
      <c r="DU490" s="160"/>
      <c r="DV490" s="160"/>
      <c r="DW490" s="160"/>
      <c r="DX490" s="160"/>
      <c r="DY490" s="160"/>
      <c r="DZ490" s="160"/>
      <c r="EA490" s="160"/>
      <c r="EB490" s="160"/>
      <c r="EC490" s="160"/>
      <c r="ED490" s="160"/>
      <c r="EE490" s="160"/>
      <c r="EF490" s="160"/>
      <c r="EG490" s="160"/>
      <c r="EH490" s="160"/>
      <c r="EI490" s="160"/>
      <c r="EJ490" s="160"/>
      <c r="EK490" s="160"/>
      <c r="EL490" s="160"/>
      <c r="EM490" s="160"/>
      <c r="EN490" s="160"/>
      <c r="EO490" s="160"/>
      <c r="EP490" s="160"/>
      <c r="EQ490" s="160"/>
      <c r="ER490" s="160"/>
      <c r="ES490" s="160"/>
      <c r="ET490" s="160"/>
      <c r="EU490" s="160"/>
      <c r="EV490" s="160"/>
      <c r="EW490" s="160"/>
      <c r="EX490" s="160"/>
      <c r="EY490" s="160"/>
      <c r="EZ490" s="160"/>
      <c r="FA490" s="160"/>
      <c r="FB490" s="160"/>
      <c r="FC490" s="160"/>
      <c r="FD490" s="160"/>
      <c r="FE490" s="160"/>
      <c r="FF490" s="160"/>
      <c r="FG490" s="160"/>
      <c r="FH490" s="160"/>
      <c r="FI490" s="160"/>
      <c r="FJ490" s="160"/>
      <c r="FK490" s="160"/>
      <c r="FL490" s="160"/>
      <c r="FM490" s="160"/>
      <c r="FN490" s="160"/>
      <c r="FO490" s="160"/>
      <c r="FP490" s="160"/>
      <c r="FQ490" s="160"/>
      <c r="FR490" s="160"/>
      <c r="FS490" s="160"/>
      <c r="FT490" s="160"/>
      <c r="FU490" s="160"/>
      <c r="FV490" s="160"/>
      <c r="FW490" s="160"/>
      <c r="FX490" s="160"/>
      <c r="FY490" s="160"/>
      <c r="FZ490" s="160"/>
      <c r="GA490" s="160"/>
      <c r="GB490" s="160"/>
      <c r="GC490" s="160"/>
      <c r="GD490" s="160"/>
      <c r="GE490" s="160"/>
      <c r="GF490" s="160"/>
      <c r="GG490" s="160"/>
      <c r="GH490" s="160"/>
      <c r="GI490" s="160"/>
      <c r="GJ490" s="160"/>
      <c r="GK490" s="160"/>
      <c r="GL490" s="160"/>
      <c r="GM490" s="160"/>
      <c r="GN490" s="160"/>
      <c r="GO490" s="160"/>
      <c r="GP490" s="160"/>
      <c r="GQ490" s="160"/>
      <c r="GR490" s="160"/>
      <c r="GS490" s="160"/>
      <c r="GT490" s="160"/>
      <c r="GU490" s="160"/>
      <c r="GV490" s="160"/>
      <c r="GW490" s="160"/>
      <c r="GX490" s="160"/>
      <c r="GY490" s="160"/>
      <c r="GZ490" s="160"/>
      <c r="HA490" s="160"/>
      <c r="HB490" s="160"/>
      <c r="HC490" s="160"/>
      <c r="HD490" s="160"/>
      <c r="HE490" s="160"/>
      <c r="HF490" s="160"/>
      <c r="HG490" s="160"/>
      <c r="HH490" s="160"/>
      <c r="HI490" s="160"/>
      <c r="HJ490" s="160"/>
      <c r="HK490" s="160"/>
      <c r="HL490" s="160"/>
      <c r="HM490" s="160"/>
      <c r="HN490" s="160"/>
      <c r="HO490" s="160"/>
      <c r="HP490" s="160"/>
      <c r="HQ490" s="160"/>
      <c r="HR490" s="160"/>
      <c r="HS490" s="160"/>
      <c r="HT490" s="160"/>
      <c r="HU490" s="160"/>
      <c r="HV490" s="160"/>
      <c r="HW490" s="160"/>
      <c r="HX490" s="160"/>
      <c r="HY490" s="160"/>
      <c r="HZ490" s="160"/>
      <c r="IA490" s="160"/>
      <c r="IB490" s="160"/>
      <c r="IC490" s="160"/>
      <c r="ID490" s="160"/>
      <c r="IE490" s="160"/>
      <c r="IF490" s="160"/>
      <c r="IG490" s="160"/>
      <c r="IH490" s="160"/>
      <c r="II490" s="160"/>
      <c r="IJ490" s="160"/>
      <c r="IK490" s="160"/>
      <c r="IL490" s="160"/>
      <c r="IM490" s="160"/>
      <c r="IN490" s="160"/>
      <c r="IO490" s="160"/>
      <c r="IP490" s="160"/>
      <c r="IQ490" s="160"/>
      <c r="IR490" s="160"/>
    </row>
    <row r="491" spans="1:252" s="8" customFormat="1" ht="13.5" customHeight="1" x14ac:dyDescent="0.25">
      <c r="A491" s="214" t="s">
        <v>298</v>
      </c>
      <c r="B491" s="7" t="s">
        <v>1358</v>
      </c>
      <c r="C491" s="190"/>
      <c r="D491" s="60"/>
      <c r="E491" s="60"/>
      <c r="F491" s="60"/>
      <c r="G491" s="200" t="str">
        <f t="shared" si="26"/>
        <v/>
      </c>
      <c r="H491" s="192"/>
      <c r="I491" s="60"/>
      <c r="J491" s="60"/>
      <c r="K491" s="60"/>
      <c r="L491" s="200" t="str">
        <f t="shared" si="27"/>
        <v/>
      </c>
      <c r="M491" s="192"/>
      <c r="N491" s="60"/>
      <c r="O491" s="60"/>
      <c r="P491" s="60"/>
      <c r="Q491" s="200" t="str">
        <f t="shared" si="28"/>
        <v/>
      </c>
      <c r="R491" s="192"/>
      <c r="S491" s="60"/>
      <c r="T491" s="205"/>
    </row>
    <row r="492" spans="1:252" s="8" customFormat="1" ht="13.5" customHeight="1" x14ac:dyDescent="0.25">
      <c r="A492" s="214" t="s">
        <v>298</v>
      </c>
      <c r="B492" s="7" t="s">
        <v>1361</v>
      </c>
      <c r="C492" s="190"/>
      <c r="D492" s="60"/>
      <c r="E492" s="60"/>
      <c r="F492" s="60"/>
      <c r="G492" s="200" t="str">
        <f t="shared" si="26"/>
        <v/>
      </c>
      <c r="H492" s="192"/>
      <c r="I492" s="60"/>
      <c r="J492" s="60"/>
      <c r="K492" s="60"/>
      <c r="L492" s="200" t="str">
        <f t="shared" si="27"/>
        <v/>
      </c>
      <c r="M492" s="192"/>
      <c r="N492" s="60"/>
      <c r="O492" s="60"/>
      <c r="P492" s="60"/>
      <c r="Q492" s="200" t="str">
        <f t="shared" si="28"/>
        <v/>
      </c>
      <c r="R492" s="192"/>
      <c r="S492" s="60"/>
      <c r="T492" s="205"/>
    </row>
    <row r="493" spans="1:252" s="8" customFormat="1" ht="13.5" customHeight="1" x14ac:dyDescent="0.25">
      <c r="A493" s="214" t="s">
        <v>298</v>
      </c>
      <c r="B493" s="7" t="s">
        <v>1364</v>
      </c>
      <c r="C493" s="190"/>
      <c r="D493" s="60"/>
      <c r="E493" s="60"/>
      <c r="F493" s="60"/>
      <c r="G493" s="200" t="str">
        <f t="shared" si="26"/>
        <v/>
      </c>
      <c r="H493" s="192"/>
      <c r="I493" s="60"/>
      <c r="J493" s="60"/>
      <c r="K493" s="60"/>
      <c r="L493" s="200" t="str">
        <f t="shared" si="27"/>
        <v/>
      </c>
      <c r="M493" s="192"/>
      <c r="N493" s="60"/>
      <c r="O493" s="60"/>
      <c r="P493" s="60"/>
      <c r="Q493" s="200" t="str">
        <f t="shared" si="28"/>
        <v/>
      </c>
      <c r="R493" s="192"/>
      <c r="S493" s="60"/>
      <c r="T493" s="205"/>
    </row>
    <row r="494" spans="1:252" s="8" customFormat="1" ht="13.5" customHeight="1" x14ac:dyDescent="0.25">
      <c r="A494" s="214" t="s">
        <v>298</v>
      </c>
      <c r="B494" s="7" t="s">
        <v>1367</v>
      </c>
      <c r="C494" s="190"/>
      <c r="D494" s="60"/>
      <c r="E494" s="60"/>
      <c r="F494" s="60"/>
      <c r="G494" s="200" t="str">
        <f t="shared" si="26"/>
        <v/>
      </c>
      <c r="H494" s="192"/>
      <c r="I494" s="60"/>
      <c r="J494" s="60"/>
      <c r="K494" s="60"/>
      <c r="L494" s="200" t="str">
        <f t="shared" si="27"/>
        <v/>
      </c>
      <c r="M494" s="192"/>
      <c r="N494" s="60"/>
      <c r="O494" s="60"/>
      <c r="P494" s="60"/>
      <c r="Q494" s="200" t="str">
        <f t="shared" si="28"/>
        <v/>
      </c>
      <c r="R494" s="192"/>
      <c r="S494" s="60"/>
      <c r="T494" s="205"/>
    </row>
    <row r="495" spans="1:252" s="8" customFormat="1" ht="13.5" customHeight="1" x14ac:dyDescent="0.25">
      <c r="A495" s="214" t="s">
        <v>298</v>
      </c>
      <c r="B495" s="7" t="s">
        <v>1370</v>
      </c>
      <c r="C495" s="190"/>
      <c r="D495" s="60"/>
      <c r="E495" s="60"/>
      <c r="F495" s="60"/>
      <c r="G495" s="200" t="str">
        <f t="shared" si="26"/>
        <v/>
      </c>
      <c r="H495" s="192"/>
      <c r="I495" s="60"/>
      <c r="J495" s="60"/>
      <c r="K495" s="60"/>
      <c r="L495" s="200" t="str">
        <f t="shared" si="27"/>
        <v/>
      </c>
      <c r="M495" s="192"/>
      <c r="N495" s="60"/>
      <c r="O495" s="60"/>
      <c r="P495" s="60"/>
      <c r="Q495" s="200" t="str">
        <f t="shared" si="28"/>
        <v/>
      </c>
      <c r="R495" s="192"/>
      <c r="S495" s="60"/>
      <c r="T495" s="205"/>
    </row>
    <row r="496" spans="1:252" s="8" customFormat="1" ht="13.5" customHeight="1" x14ac:dyDescent="0.25">
      <c r="A496" s="214" t="s">
        <v>298</v>
      </c>
      <c r="B496" s="7" t="s">
        <v>1373</v>
      </c>
      <c r="C496" s="190"/>
      <c r="D496" s="60"/>
      <c r="E496" s="60"/>
      <c r="F496" s="60"/>
      <c r="G496" s="200" t="str">
        <f t="shared" si="26"/>
        <v/>
      </c>
      <c r="H496" s="192"/>
      <c r="I496" s="60"/>
      <c r="J496" s="60"/>
      <c r="K496" s="60"/>
      <c r="L496" s="200" t="str">
        <f t="shared" si="27"/>
        <v/>
      </c>
      <c r="M496" s="192"/>
      <c r="N496" s="60"/>
      <c r="O496" s="60"/>
      <c r="P496" s="60"/>
      <c r="Q496" s="200" t="str">
        <f t="shared" si="28"/>
        <v/>
      </c>
      <c r="R496" s="192"/>
      <c r="S496" s="60"/>
      <c r="T496" s="205"/>
    </row>
    <row r="497" spans="1:20" s="8" customFormat="1" ht="13.5" customHeight="1" x14ac:dyDescent="0.25">
      <c r="A497" s="214" t="s">
        <v>298</v>
      </c>
      <c r="B497" s="18" t="s">
        <v>233</v>
      </c>
      <c r="C497" s="190" t="s">
        <v>310</v>
      </c>
      <c r="D497" s="191">
        <v>1</v>
      </c>
      <c r="E497" s="191">
        <v>1</v>
      </c>
      <c r="F497" s="191"/>
      <c r="G497" s="200" t="str">
        <f t="shared" si="26"/>
        <v/>
      </c>
      <c r="H497" s="190"/>
      <c r="I497" s="191"/>
      <c r="J497" s="191"/>
      <c r="K497" s="191"/>
      <c r="L497" s="200" t="str">
        <f t="shared" si="27"/>
        <v/>
      </c>
      <c r="M497" s="190"/>
      <c r="N497" s="191"/>
      <c r="O497" s="191"/>
      <c r="P497" s="191"/>
      <c r="Q497" s="200" t="str">
        <f t="shared" si="28"/>
        <v/>
      </c>
      <c r="R497" s="190">
        <v>35</v>
      </c>
      <c r="S497" s="191"/>
      <c r="T497" s="200"/>
    </row>
    <row r="498" spans="1:20" s="8" customFormat="1" ht="13.5" customHeight="1" x14ac:dyDescent="0.25">
      <c r="A498" s="214" t="s">
        <v>298</v>
      </c>
      <c r="B498" s="18" t="s">
        <v>1376</v>
      </c>
      <c r="C498" s="190"/>
      <c r="D498" s="60"/>
      <c r="E498" s="60"/>
      <c r="F498" s="60"/>
      <c r="G498" s="200" t="str">
        <f t="shared" si="26"/>
        <v/>
      </c>
      <c r="H498" s="192"/>
      <c r="I498" s="60"/>
      <c r="J498" s="60"/>
      <c r="K498" s="60"/>
      <c r="L498" s="200" t="str">
        <f t="shared" si="27"/>
        <v/>
      </c>
      <c r="M498" s="192"/>
      <c r="N498" s="60"/>
      <c r="O498" s="60"/>
      <c r="P498" s="60"/>
      <c r="Q498" s="200" t="str">
        <f t="shared" si="28"/>
        <v/>
      </c>
      <c r="R498" s="192"/>
      <c r="S498" s="60"/>
      <c r="T498" s="205"/>
    </row>
    <row r="499" spans="1:20" s="8" customFormat="1" ht="13.5" customHeight="1" x14ac:dyDescent="0.25">
      <c r="A499" s="214" t="s">
        <v>298</v>
      </c>
      <c r="B499" s="22" t="s">
        <v>1379</v>
      </c>
      <c r="C499" s="190"/>
      <c r="D499" s="60"/>
      <c r="E499" s="60"/>
      <c r="F499" s="60"/>
      <c r="G499" s="200" t="str">
        <f t="shared" si="26"/>
        <v/>
      </c>
      <c r="H499" s="192"/>
      <c r="I499" s="60"/>
      <c r="J499" s="60"/>
      <c r="K499" s="60"/>
      <c r="L499" s="200" t="str">
        <f t="shared" si="27"/>
        <v/>
      </c>
      <c r="M499" s="192"/>
      <c r="N499" s="60"/>
      <c r="O499" s="60"/>
      <c r="P499" s="60"/>
      <c r="Q499" s="200" t="str">
        <f t="shared" si="28"/>
        <v/>
      </c>
      <c r="R499" s="192"/>
      <c r="S499" s="60"/>
      <c r="T499" s="205"/>
    </row>
    <row r="500" spans="1:20" s="8" customFormat="1" ht="13.5" customHeight="1" x14ac:dyDescent="0.25">
      <c r="A500" s="214" t="s">
        <v>298</v>
      </c>
      <c r="B500" s="7" t="s">
        <v>1380</v>
      </c>
      <c r="C500" s="190"/>
      <c r="D500" s="60"/>
      <c r="E500" s="60"/>
      <c r="F500" s="60"/>
      <c r="G500" s="200" t="str">
        <f t="shared" si="26"/>
        <v/>
      </c>
      <c r="H500" s="192"/>
      <c r="I500" s="60"/>
      <c r="J500" s="60"/>
      <c r="K500" s="60"/>
      <c r="L500" s="200" t="str">
        <f t="shared" si="27"/>
        <v/>
      </c>
      <c r="M500" s="192"/>
      <c r="N500" s="60"/>
      <c r="O500" s="60"/>
      <c r="P500" s="60"/>
      <c r="Q500" s="200" t="str">
        <f t="shared" si="28"/>
        <v/>
      </c>
      <c r="R500" s="192"/>
      <c r="S500" s="60"/>
      <c r="T500" s="205"/>
    </row>
    <row r="501" spans="1:20" s="8" customFormat="1" ht="13.5" customHeight="1" x14ac:dyDescent="0.25">
      <c r="A501" s="214" t="s">
        <v>298</v>
      </c>
      <c r="B501" s="7" t="s">
        <v>1383</v>
      </c>
      <c r="C501" s="190"/>
      <c r="D501" s="60"/>
      <c r="E501" s="60"/>
      <c r="F501" s="60"/>
      <c r="G501" s="200" t="str">
        <f t="shared" si="26"/>
        <v/>
      </c>
      <c r="H501" s="192"/>
      <c r="I501" s="60"/>
      <c r="J501" s="60"/>
      <c r="K501" s="60"/>
      <c r="L501" s="200" t="str">
        <f t="shared" si="27"/>
        <v/>
      </c>
      <c r="M501" s="192"/>
      <c r="N501" s="60"/>
      <c r="O501" s="60"/>
      <c r="P501" s="60"/>
      <c r="Q501" s="200" t="str">
        <f t="shared" si="28"/>
        <v/>
      </c>
      <c r="R501" s="192"/>
      <c r="S501" s="60"/>
      <c r="T501" s="205"/>
    </row>
    <row r="502" spans="1:20" s="8" customFormat="1" ht="13.5" customHeight="1" x14ac:dyDescent="0.25">
      <c r="A502" s="214" t="s">
        <v>298</v>
      </c>
      <c r="B502" s="7" t="s">
        <v>1385</v>
      </c>
      <c r="C502" s="190"/>
      <c r="D502" s="60"/>
      <c r="E502" s="60"/>
      <c r="F502" s="60"/>
      <c r="G502" s="200" t="str">
        <f t="shared" si="26"/>
        <v/>
      </c>
      <c r="H502" s="192"/>
      <c r="I502" s="60"/>
      <c r="J502" s="60"/>
      <c r="K502" s="60"/>
      <c r="L502" s="200" t="str">
        <f t="shared" si="27"/>
        <v/>
      </c>
      <c r="M502" s="192"/>
      <c r="N502" s="60"/>
      <c r="O502" s="60"/>
      <c r="P502" s="60"/>
      <c r="Q502" s="200" t="str">
        <f t="shared" si="28"/>
        <v/>
      </c>
      <c r="R502" s="192"/>
      <c r="S502" s="60"/>
      <c r="T502" s="205"/>
    </row>
    <row r="503" spans="1:20" s="8" customFormat="1" ht="13.5" customHeight="1" x14ac:dyDescent="0.25">
      <c r="A503" s="214" t="s">
        <v>298</v>
      </c>
      <c r="B503" s="7" t="s">
        <v>1387</v>
      </c>
      <c r="C503" s="190"/>
      <c r="D503" s="60"/>
      <c r="E503" s="60"/>
      <c r="F503" s="60"/>
      <c r="G503" s="200" t="str">
        <f t="shared" si="26"/>
        <v/>
      </c>
      <c r="H503" s="192"/>
      <c r="I503" s="60"/>
      <c r="J503" s="60"/>
      <c r="K503" s="60"/>
      <c r="L503" s="200" t="str">
        <f t="shared" si="27"/>
        <v/>
      </c>
      <c r="M503" s="192"/>
      <c r="N503" s="60"/>
      <c r="O503" s="60"/>
      <c r="P503" s="60"/>
      <c r="Q503" s="200" t="str">
        <f t="shared" si="28"/>
        <v/>
      </c>
      <c r="R503" s="192"/>
      <c r="S503" s="60"/>
      <c r="T503" s="205"/>
    </row>
    <row r="504" spans="1:20" s="8" customFormat="1" ht="13.5" customHeight="1" x14ac:dyDescent="0.25">
      <c r="A504" s="214" t="s">
        <v>298</v>
      </c>
      <c r="B504" s="7" t="s">
        <v>1389</v>
      </c>
      <c r="C504" s="190"/>
      <c r="D504" s="60"/>
      <c r="E504" s="60"/>
      <c r="F504" s="60"/>
      <c r="G504" s="200" t="str">
        <f t="shared" si="26"/>
        <v/>
      </c>
      <c r="H504" s="192"/>
      <c r="I504" s="60"/>
      <c r="J504" s="60"/>
      <c r="K504" s="60"/>
      <c r="L504" s="200" t="str">
        <f t="shared" si="27"/>
        <v/>
      </c>
      <c r="M504" s="192"/>
      <c r="N504" s="60"/>
      <c r="O504" s="60"/>
      <c r="P504" s="60"/>
      <c r="Q504" s="200" t="str">
        <f t="shared" si="28"/>
        <v/>
      </c>
      <c r="R504" s="192"/>
      <c r="S504" s="60"/>
      <c r="T504" s="205"/>
    </row>
    <row r="505" spans="1:20" s="8" customFormat="1" ht="13.5" customHeight="1" x14ac:dyDescent="0.25">
      <c r="A505" s="214" t="s">
        <v>298</v>
      </c>
      <c r="B505" s="7" t="s">
        <v>1391</v>
      </c>
      <c r="C505" s="190"/>
      <c r="D505" s="60"/>
      <c r="E505" s="60"/>
      <c r="F505" s="60"/>
      <c r="G505" s="200" t="str">
        <f t="shared" si="26"/>
        <v/>
      </c>
      <c r="H505" s="192"/>
      <c r="I505" s="60"/>
      <c r="J505" s="60"/>
      <c r="K505" s="60"/>
      <c r="L505" s="200" t="str">
        <f t="shared" si="27"/>
        <v/>
      </c>
      <c r="M505" s="192"/>
      <c r="N505" s="60"/>
      <c r="O505" s="60"/>
      <c r="P505" s="60"/>
      <c r="Q505" s="200" t="str">
        <f t="shared" si="28"/>
        <v/>
      </c>
      <c r="R505" s="192"/>
      <c r="S505" s="60"/>
      <c r="T505" s="205"/>
    </row>
    <row r="506" spans="1:20" s="8" customFormat="1" ht="13.5" customHeight="1" x14ac:dyDescent="0.25">
      <c r="A506" s="214" t="s">
        <v>298</v>
      </c>
      <c r="B506" s="7" t="s">
        <v>1393</v>
      </c>
      <c r="C506" s="190"/>
      <c r="D506" s="60"/>
      <c r="E506" s="60"/>
      <c r="F506" s="60"/>
      <c r="G506" s="200" t="str">
        <f t="shared" si="26"/>
        <v/>
      </c>
      <c r="H506" s="192"/>
      <c r="I506" s="60"/>
      <c r="J506" s="60"/>
      <c r="K506" s="60"/>
      <c r="L506" s="200" t="str">
        <f t="shared" si="27"/>
        <v/>
      </c>
      <c r="M506" s="192"/>
      <c r="N506" s="60"/>
      <c r="O506" s="60"/>
      <c r="P506" s="60"/>
      <c r="Q506" s="200" t="str">
        <f t="shared" si="28"/>
        <v/>
      </c>
      <c r="R506" s="192"/>
      <c r="S506" s="60"/>
      <c r="T506" s="205"/>
    </row>
    <row r="507" spans="1:20" s="8" customFormat="1" ht="13.5" customHeight="1" x14ac:dyDescent="0.25">
      <c r="A507" s="214" t="s">
        <v>298</v>
      </c>
      <c r="B507" s="7" t="s">
        <v>1395</v>
      </c>
      <c r="C507" s="190"/>
      <c r="D507" s="60"/>
      <c r="E507" s="60"/>
      <c r="F507" s="60"/>
      <c r="G507" s="200" t="str">
        <f t="shared" si="26"/>
        <v/>
      </c>
      <c r="H507" s="192"/>
      <c r="I507" s="60"/>
      <c r="J507" s="60"/>
      <c r="K507" s="60"/>
      <c r="L507" s="200" t="str">
        <f t="shared" si="27"/>
        <v/>
      </c>
      <c r="M507" s="192"/>
      <c r="N507" s="60"/>
      <c r="O507" s="60"/>
      <c r="P507" s="60"/>
      <c r="Q507" s="200" t="str">
        <f t="shared" si="28"/>
        <v/>
      </c>
      <c r="R507" s="192"/>
      <c r="S507" s="60"/>
      <c r="T507" s="205"/>
    </row>
    <row r="508" spans="1:20" s="8" customFormat="1" ht="13.5" customHeight="1" x14ac:dyDescent="0.25">
      <c r="A508" s="214" t="s">
        <v>298</v>
      </c>
      <c r="B508" s="7" t="s">
        <v>1397</v>
      </c>
      <c r="C508" s="190"/>
      <c r="D508" s="60"/>
      <c r="E508" s="60"/>
      <c r="F508" s="60"/>
      <c r="G508" s="200" t="str">
        <f t="shared" si="26"/>
        <v/>
      </c>
      <c r="H508" s="192"/>
      <c r="I508" s="60"/>
      <c r="J508" s="60"/>
      <c r="K508" s="60"/>
      <c r="L508" s="200" t="str">
        <f t="shared" si="27"/>
        <v/>
      </c>
      <c r="M508" s="192"/>
      <c r="N508" s="60"/>
      <c r="O508" s="60"/>
      <c r="P508" s="60"/>
      <c r="Q508" s="200" t="str">
        <f t="shared" si="28"/>
        <v/>
      </c>
      <c r="R508" s="192"/>
      <c r="S508" s="60"/>
      <c r="T508" s="205"/>
    </row>
    <row r="509" spans="1:20" s="8" customFormat="1" ht="13.5" customHeight="1" x14ac:dyDescent="0.25">
      <c r="A509" s="214" t="s">
        <v>298</v>
      </c>
      <c r="B509" s="7" t="s">
        <v>1399</v>
      </c>
      <c r="C509" s="190"/>
      <c r="D509" s="60"/>
      <c r="E509" s="60"/>
      <c r="F509" s="60"/>
      <c r="G509" s="200" t="str">
        <f t="shared" si="26"/>
        <v/>
      </c>
      <c r="H509" s="192"/>
      <c r="I509" s="60"/>
      <c r="J509" s="60"/>
      <c r="K509" s="60"/>
      <c r="L509" s="200" t="str">
        <f t="shared" si="27"/>
        <v/>
      </c>
      <c r="M509" s="192"/>
      <c r="N509" s="60"/>
      <c r="O509" s="60"/>
      <c r="P509" s="60"/>
      <c r="Q509" s="200" t="str">
        <f t="shared" si="28"/>
        <v/>
      </c>
      <c r="R509" s="192"/>
      <c r="S509" s="60"/>
      <c r="T509" s="205"/>
    </row>
    <row r="510" spans="1:20" s="8" customFormat="1" ht="13.5" customHeight="1" x14ac:dyDescent="0.25">
      <c r="A510" s="214" t="s">
        <v>298</v>
      </c>
      <c r="B510" s="7" t="s">
        <v>1401</v>
      </c>
      <c r="C510" s="190"/>
      <c r="D510" s="60"/>
      <c r="E510" s="60"/>
      <c r="F510" s="60"/>
      <c r="G510" s="200" t="str">
        <f t="shared" si="26"/>
        <v/>
      </c>
      <c r="H510" s="192"/>
      <c r="I510" s="60"/>
      <c r="J510" s="60"/>
      <c r="K510" s="60"/>
      <c r="L510" s="200" t="str">
        <f t="shared" si="27"/>
        <v/>
      </c>
      <c r="M510" s="192"/>
      <c r="N510" s="60"/>
      <c r="O510" s="60"/>
      <c r="P510" s="60"/>
      <c r="Q510" s="200" t="str">
        <f t="shared" si="28"/>
        <v/>
      </c>
      <c r="R510" s="192"/>
      <c r="S510" s="60"/>
      <c r="T510" s="205"/>
    </row>
    <row r="511" spans="1:20" s="8" customFormat="1" ht="13.5" customHeight="1" x14ac:dyDescent="0.25">
      <c r="A511" s="214" t="s">
        <v>298</v>
      </c>
      <c r="B511" s="7" t="s">
        <v>1403</v>
      </c>
      <c r="C511" s="190"/>
      <c r="D511" s="60"/>
      <c r="E511" s="60"/>
      <c r="F511" s="60"/>
      <c r="G511" s="200" t="str">
        <f t="shared" si="26"/>
        <v/>
      </c>
      <c r="H511" s="192"/>
      <c r="I511" s="60"/>
      <c r="J511" s="60"/>
      <c r="K511" s="60"/>
      <c r="L511" s="200" t="str">
        <f t="shared" si="27"/>
        <v/>
      </c>
      <c r="M511" s="192"/>
      <c r="N511" s="60"/>
      <c r="O511" s="60"/>
      <c r="P511" s="60"/>
      <c r="Q511" s="200" t="str">
        <f t="shared" si="28"/>
        <v/>
      </c>
      <c r="R511" s="192"/>
      <c r="S511" s="60"/>
      <c r="T511" s="205"/>
    </row>
    <row r="512" spans="1:20" s="8" customFormat="1" ht="13.5" customHeight="1" x14ac:dyDescent="0.25">
      <c r="A512" s="214" t="s">
        <v>298</v>
      </c>
      <c r="B512" s="7" t="s">
        <v>1405</v>
      </c>
      <c r="C512" s="190"/>
      <c r="D512" s="60"/>
      <c r="E512" s="60"/>
      <c r="F512" s="60"/>
      <c r="G512" s="200" t="str">
        <f t="shared" si="26"/>
        <v/>
      </c>
      <c r="H512" s="192"/>
      <c r="I512" s="60"/>
      <c r="J512" s="60"/>
      <c r="K512" s="60"/>
      <c r="L512" s="200" t="str">
        <f t="shared" si="27"/>
        <v/>
      </c>
      <c r="M512" s="192"/>
      <c r="N512" s="60"/>
      <c r="O512" s="60"/>
      <c r="P512" s="60"/>
      <c r="Q512" s="200" t="str">
        <f t="shared" si="28"/>
        <v/>
      </c>
      <c r="R512" s="192"/>
      <c r="S512" s="60"/>
      <c r="T512" s="205"/>
    </row>
    <row r="513" spans="1:20" s="8" customFormat="1" ht="13.5" customHeight="1" x14ac:dyDescent="0.25">
      <c r="A513" s="214" t="s">
        <v>298</v>
      </c>
      <c r="B513" s="7" t="s">
        <v>1407</v>
      </c>
      <c r="C513" s="190"/>
      <c r="D513" s="60"/>
      <c r="E513" s="60"/>
      <c r="F513" s="60"/>
      <c r="G513" s="200" t="str">
        <f t="shared" si="26"/>
        <v/>
      </c>
      <c r="H513" s="192"/>
      <c r="I513" s="60"/>
      <c r="J513" s="60"/>
      <c r="K513" s="60"/>
      <c r="L513" s="200" t="str">
        <f t="shared" si="27"/>
        <v/>
      </c>
      <c r="M513" s="192"/>
      <c r="N513" s="60"/>
      <c r="O513" s="60"/>
      <c r="P513" s="60"/>
      <c r="Q513" s="200" t="str">
        <f t="shared" si="28"/>
        <v/>
      </c>
      <c r="R513" s="192"/>
      <c r="S513" s="60"/>
      <c r="T513" s="205"/>
    </row>
    <row r="514" spans="1:20" s="8" customFormat="1" ht="13.5" customHeight="1" x14ac:dyDescent="0.25">
      <c r="A514" s="214" t="s">
        <v>298</v>
      </c>
      <c r="B514" s="7" t="s">
        <v>1409</v>
      </c>
      <c r="C514" s="190"/>
      <c r="D514" s="60"/>
      <c r="E514" s="60"/>
      <c r="F514" s="60"/>
      <c r="G514" s="200" t="str">
        <f t="shared" si="26"/>
        <v/>
      </c>
      <c r="H514" s="192"/>
      <c r="I514" s="60"/>
      <c r="J514" s="60"/>
      <c r="K514" s="60"/>
      <c r="L514" s="200" t="str">
        <f t="shared" si="27"/>
        <v/>
      </c>
      <c r="M514" s="192"/>
      <c r="N514" s="60"/>
      <c r="O514" s="60"/>
      <c r="P514" s="60"/>
      <c r="Q514" s="200" t="str">
        <f t="shared" si="28"/>
        <v/>
      </c>
      <c r="R514" s="192"/>
      <c r="S514" s="60"/>
      <c r="T514" s="205"/>
    </row>
    <row r="515" spans="1:20" s="8" customFormat="1" ht="13.5" customHeight="1" x14ac:dyDescent="0.25">
      <c r="A515" s="214" t="s">
        <v>298</v>
      </c>
      <c r="B515" s="7" t="s">
        <v>1411</v>
      </c>
      <c r="C515" s="190"/>
      <c r="D515" s="60"/>
      <c r="E515" s="60"/>
      <c r="F515" s="60"/>
      <c r="G515" s="200" t="str">
        <f t="shared" si="26"/>
        <v/>
      </c>
      <c r="H515" s="192"/>
      <c r="I515" s="60"/>
      <c r="J515" s="60"/>
      <c r="K515" s="60"/>
      <c r="L515" s="200" t="str">
        <f t="shared" si="27"/>
        <v/>
      </c>
      <c r="M515" s="192"/>
      <c r="N515" s="60"/>
      <c r="O515" s="60"/>
      <c r="P515" s="60"/>
      <c r="Q515" s="200" t="str">
        <f t="shared" si="28"/>
        <v/>
      </c>
      <c r="R515" s="192"/>
      <c r="S515" s="60"/>
      <c r="T515" s="205"/>
    </row>
    <row r="516" spans="1:20" s="8" customFormat="1" ht="13.5" customHeight="1" x14ac:dyDescent="0.25">
      <c r="A516" s="214" t="s">
        <v>298</v>
      </c>
      <c r="B516" s="7" t="s">
        <v>1413</v>
      </c>
      <c r="C516" s="190"/>
      <c r="D516" s="60"/>
      <c r="E516" s="60"/>
      <c r="F516" s="60"/>
      <c r="G516" s="200" t="str">
        <f t="shared" si="26"/>
        <v/>
      </c>
      <c r="H516" s="192"/>
      <c r="I516" s="60"/>
      <c r="J516" s="60"/>
      <c r="K516" s="60"/>
      <c r="L516" s="200" t="str">
        <f t="shared" si="27"/>
        <v/>
      </c>
      <c r="M516" s="192"/>
      <c r="N516" s="60"/>
      <c r="O516" s="60"/>
      <c r="P516" s="60"/>
      <c r="Q516" s="200" t="str">
        <f t="shared" si="28"/>
        <v/>
      </c>
      <c r="R516" s="192"/>
      <c r="S516" s="60"/>
      <c r="T516" s="205"/>
    </row>
    <row r="517" spans="1:20" s="8" customFormat="1" ht="13.5" customHeight="1" x14ac:dyDescent="0.25">
      <c r="A517" s="214" t="s">
        <v>298</v>
      </c>
      <c r="B517" s="7" t="s">
        <v>1415</v>
      </c>
      <c r="C517" s="190"/>
      <c r="D517" s="60"/>
      <c r="E517" s="60"/>
      <c r="F517" s="60"/>
      <c r="G517" s="200" t="str">
        <f t="shared" ref="G517:G582" si="29">IF(F517=1,"New","")</f>
        <v/>
      </c>
      <c r="H517" s="192"/>
      <c r="I517" s="60"/>
      <c r="J517" s="60"/>
      <c r="K517" s="60"/>
      <c r="L517" s="200" t="str">
        <f t="shared" si="27"/>
        <v/>
      </c>
      <c r="M517" s="192"/>
      <c r="N517" s="60"/>
      <c r="O517" s="60"/>
      <c r="P517" s="60"/>
      <c r="Q517" s="200" t="str">
        <f t="shared" si="28"/>
        <v/>
      </c>
      <c r="R517" s="192"/>
      <c r="S517" s="60"/>
      <c r="T517" s="205"/>
    </row>
    <row r="518" spans="1:20" s="8" customFormat="1" ht="13.5" customHeight="1" x14ac:dyDescent="0.25">
      <c r="A518" s="214" t="s">
        <v>298</v>
      </c>
      <c r="B518" s="7" t="s">
        <v>1417</v>
      </c>
      <c r="C518" s="190"/>
      <c r="D518" s="60"/>
      <c r="E518" s="60"/>
      <c r="F518" s="60"/>
      <c r="G518" s="200" t="str">
        <f t="shared" si="29"/>
        <v/>
      </c>
      <c r="H518" s="192"/>
      <c r="I518" s="60"/>
      <c r="J518" s="60"/>
      <c r="K518" s="60"/>
      <c r="L518" s="200" t="str">
        <f t="shared" ref="L518:L583" si="30">IF(K518=1,"New","")</f>
        <v/>
      </c>
      <c r="M518" s="192"/>
      <c r="N518" s="60"/>
      <c r="O518" s="60"/>
      <c r="P518" s="60"/>
      <c r="Q518" s="200" t="str">
        <f t="shared" ref="Q518:Q583" si="31">IF(P518=1,"New","")</f>
        <v/>
      </c>
      <c r="R518" s="192"/>
      <c r="S518" s="60"/>
      <c r="T518" s="205"/>
    </row>
    <row r="519" spans="1:20" s="8" customFormat="1" ht="13.5" customHeight="1" x14ac:dyDescent="0.25">
      <c r="A519" s="214" t="s">
        <v>298</v>
      </c>
      <c r="B519" s="7" t="s">
        <v>1419</v>
      </c>
      <c r="C519" s="190"/>
      <c r="D519" s="60"/>
      <c r="E519" s="60"/>
      <c r="F519" s="60"/>
      <c r="G519" s="200" t="str">
        <f t="shared" si="29"/>
        <v/>
      </c>
      <c r="H519" s="192"/>
      <c r="I519" s="60"/>
      <c r="J519" s="60"/>
      <c r="K519" s="60"/>
      <c r="L519" s="200" t="str">
        <f t="shared" si="30"/>
        <v/>
      </c>
      <c r="M519" s="192"/>
      <c r="N519" s="60"/>
      <c r="O519" s="60"/>
      <c r="P519" s="60"/>
      <c r="Q519" s="200" t="str">
        <f t="shared" si="31"/>
        <v/>
      </c>
      <c r="R519" s="192"/>
      <c r="S519" s="60"/>
      <c r="T519" s="205"/>
    </row>
    <row r="520" spans="1:20" s="8" customFormat="1" ht="13.5" customHeight="1" x14ac:dyDescent="0.25">
      <c r="A520" s="214" t="s">
        <v>298</v>
      </c>
      <c r="B520" s="7" t="s">
        <v>1421</v>
      </c>
      <c r="C520" s="190"/>
      <c r="D520" s="60"/>
      <c r="E520" s="60"/>
      <c r="F520" s="60"/>
      <c r="G520" s="200" t="str">
        <f t="shared" si="29"/>
        <v/>
      </c>
      <c r="H520" s="192"/>
      <c r="I520" s="60"/>
      <c r="J520" s="60"/>
      <c r="K520" s="60"/>
      <c r="L520" s="200" t="str">
        <f t="shared" si="30"/>
        <v/>
      </c>
      <c r="M520" s="192"/>
      <c r="N520" s="60"/>
      <c r="O520" s="60"/>
      <c r="P520" s="60"/>
      <c r="Q520" s="200" t="str">
        <f t="shared" si="31"/>
        <v/>
      </c>
      <c r="R520" s="192"/>
      <c r="S520" s="60"/>
      <c r="T520" s="205"/>
    </row>
    <row r="521" spans="1:20" s="8" customFormat="1" ht="13.5" customHeight="1" x14ac:dyDescent="0.25">
      <c r="A521" s="214" t="s">
        <v>298</v>
      </c>
      <c r="B521" s="7" t="s">
        <v>1423</v>
      </c>
      <c r="C521" s="190"/>
      <c r="D521" s="60"/>
      <c r="E521" s="60"/>
      <c r="F521" s="60"/>
      <c r="G521" s="200" t="str">
        <f t="shared" si="29"/>
        <v/>
      </c>
      <c r="H521" s="192"/>
      <c r="I521" s="60"/>
      <c r="J521" s="60"/>
      <c r="K521" s="60"/>
      <c r="L521" s="200" t="str">
        <f t="shared" si="30"/>
        <v/>
      </c>
      <c r="M521" s="192"/>
      <c r="N521" s="60"/>
      <c r="O521" s="60"/>
      <c r="P521" s="60"/>
      <c r="Q521" s="200" t="str">
        <f t="shared" si="31"/>
        <v/>
      </c>
      <c r="R521" s="192"/>
      <c r="S521" s="60"/>
      <c r="T521" s="205"/>
    </row>
    <row r="522" spans="1:20" s="8" customFormat="1" ht="13.5" customHeight="1" x14ac:dyDescent="0.25">
      <c r="A522" s="214" t="s">
        <v>298</v>
      </c>
      <c r="B522" s="7" t="s">
        <v>1425</v>
      </c>
      <c r="C522" s="190"/>
      <c r="D522" s="60"/>
      <c r="E522" s="60"/>
      <c r="F522" s="60"/>
      <c r="G522" s="200" t="str">
        <f t="shared" si="29"/>
        <v/>
      </c>
      <c r="H522" s="192"/>
      <c r="I522" s="60"/>
      <c r="J522" s="60"/>
      <c r="K522" s="60"/>
      <c r="L522" s="200" t="str">
        <f t="shared" si="30"/>
        <v/>
      </c>
      <c r="M522" s="192"/>
      <c r="N522" s="60"/>
      <c r="O522" s="60"/>
      <c r="P522" s="60"/>
      <c r="Q522" s="200" t="str">
        <f t="shared" si="31"/>
        <v/>
      </c>
      <c r="R522" s="192"/>
      <c r="S522" s="60"/>
      <c r="T522" s="205"/>
    </row>
    <row r="523" spans="1:20" s="8" customFormat="1" ht="13.5" customHeight="1" x14ac:dyDescent="0.25">
      <c r="A523" s="214" t="s">
        <v>298</v>
      </c>
      <c r="B523" s="7" t="s">
        <v>1427</v>
      </c>
      <c r="C523" s="190"/>
      <c r="D523" s="60"/>
      <c r="E523" s="60"/>
      <c r="F523" s="60"/>
      <c r="G523" s="200" t="str">
        <f t="shared" si="29"/>
        <v/>
      </c>
      <c r="H523" s="192"/>
      <c r="I523" s="60"/>
      <c r="J523" s="60"/>
      <c r="K523" s="60"/>
      <c r="L523" s="200" t="str">
        <f t="shared" si="30"/>
        <v/>
      </c>
      <c r="M523" s="192"/>
      <c r="N523" s="60"/>
      <c r="O523" s="60"/>
      <c r="P523" s="60"/>
      <c r="Q523" s="200" t="str">
        <f t="shared" si="31"/>
        <v/>
      </c>
      <c r="R523" s="192"/>
      <c r="S523" s="60"/>
      <c r="T523" s="205"/>
    </row>
    <row r="524" spans="1:20" s="8" customFormat="1" ht="13.5" customHeight="1" x14ac:dyDescent="0.25">
      <c r="A524" s="214" t="s">
        <v>298</v>
      </c>
      <c r="B524" s="7" t="s">
        <v>1428</v>
      </c>
      <c r="C524" s="190"/>
      <c r="D524" s="60"/>
      <c r="E524" s="60"/>
      <c r="F524" s="60"/>
      <c r="G524" s="200" t="str">
        <f t="shared" si="29"/>
        <v/>
      </c>
      <c r="H524" s="192"/>
      <c r="I524" s="60"/>
      <c r="J524" s="60"/>
      <c r="K524" s="60"/>
      <c r="L524" s="200" t="str">
        <f t="shared" si="30"/>
        <v/>
      </c>
      <c r="M524" s="192"/>
      <c r="N524" s="60"/>
      <c r="O524" s="60"/>
      <c r="P524" s="60"/>
      <c r="Q524" s="200" t="str">
        <f t="shared" si="31"/>
        <v/>
      </c>
      <c r="R524" s="192"/>
      <c r="S524" s="60"/>
      <c r="T524" s="205"/>
    </row>
    <row r="525" spans="1:20" s="8" customFormat="1" ht="13.5" customHeight="1" x14ac:dyDescent="0.25">
      <c r="A525" s="214" t="s">
        <v>298</v>
      </c>
      <c r="B525" s="7" t="s">
        <v>1431</v>
      </c>
      <c r="C525" s="190"/>
      <c r="D525" s="60"/>
      <c r="E525" s="60"/>
      <c r="F525" s="60"/>
      <c r="G525" s="200" t="str">
        <f t="shared" si="29"/>
        <v/>
      </c>
      <c r="H525" s="192"/>
      <c r="I525" s="60"/>
      <c r="J525" s="60"/>
      <c r="K525" s="60"/>
      <c r="L525" s="200" t="str">
        <f t="shared" si="30"/>
        <v/>
      </c>
      <c r="M525" s="192"/>
      <c r="N525" s="60"/>
      <c r="O525" s="60"/>
      <c r="P525" s="60"/>
      <c r="Q525" s="200" t="str">
        <f t="shared" si="31"/>
        <v/>
      </c>
      <c r="R525" s="192"/>
      <c r="S525" s="60"/>
      <c r="T525" s="205"/>
    </row>
    <row r="526" spans="1:20" s="8" customFormat="1" ht="13.5" customHeight="1" x14ac:dyDescent="0.25">
      <c r="A526" s="214" t="s">
        <v>298</v>
      </c>
      <c r="B526" s="7" t="s">
        <v>1433</v>
      </c>
      <c r="C526" s="190"/>
      <c r="D526" s="60"/>
      <c r="E526" s="60"/>
      <c r="F526" s="60"/>
      <c r="G526" s="200" t="str">
        <f t="shared" si="29"/>
        <v/>
      </c>
      <c r="H526" s="192"/>
      <c r="I526" s="60"/>
      <c r="J526" s="60"/>
      <c r="K526" s="60"/>
      <c r="L526" s="200" t="str">
        <f t="shared" si="30"/>
        <v/>
      </c>
      <c r="M526" s="192"/>
      <c r="N526" s="60"/>
      <c r="O526" s="60"/>
      <c r="P526" s="60"/>
      <c r="Q526" s="200" t="str">
        <f t="shared" si="31"/>
        <v/>
      </c>
      <c r="R526" s="192"/>
      <c r="S526" s="60"/>
      <c r="T526" s="205"/>
    </row>
    <row r="527" spans="1:20" s="8" customFormat="1" ht="13.5" customHeight="1" x14ac:dyDescent="0.25">
      <c r="A527" s="214" t="s">
        <v>298</v>
      </c>
      <c r="B527" s="172" t="s">
        <v>1436</v>
      </c>
      <c r="C527" s="190"/>
      <c r="D527" s="60"/>
      <c r="E527" s="60"/>
      <c r="F527" s="60"/>
      <c r="G527" s="200" t="str">
        <f t="shared" si="29"/>
        <v/>
      </c>
      <c r="H527" s="192"/>
      <c r="I527" s="60"/>
      <c r="J527" s="60"/>
      <c r="K527" s="60"/>
      <c r="L527" s="200" t="str">
        <f t="shared" si="30"/>
        <v/>
      </c>
      <c r="M527" s="192"/>
      <c r="N527" s="60"/>
      <c r="O527" s="60"/>
      <c r="P527" s="60"/>
      <c r="Q527" s="200" t="str">
        <f t="shared" si="31"/>
        <v/>
      </c>
      <c r="R527" s="192"/>
      <c r="S527" s="60"/>
      <c r="T527" s="205"/>
    </row>
    <row r="528" spans="1:20" s="8" customFormat="1" ht="13.5" customHeight="1" x14ac:dyDescent="0.25">
      <c r="A528" s="214" t="s">
        <v>298</v>
      </c>
      <c r="B528" s="7" t="s">
        <v>1438</v>
      </c>
      <c r="C528" s="190"/>
      <c r="D528" s="60"/>
      <c r="E528" s="60"/>
      <c r="F528" s="60"/>
      <c r="G528" s="200" t="str">
        <f t="shared" si="29"/>
        <v/>
      </c>
      <c r="H528" s="192"/>
      <c r="I528" s="60"/>
      <c r="J528" s="60"/>
      <c r="K528" s="60"/>
      <c r="L528" s="200" t="str">
        <f t="shared" si="30"/>
        <v/>
      </c>
      <c r="M528" s="192"/>
      <c r="N528" s="60"/>
      <c r="O528" s="60"/>
      <c r="P528" s="60"/>
      <c r="Q528" s="200" t="str">
        <f t="shared" si="31"/>
        <v/>
      </c>
      <c r="R528" s="192"/>
      <c r="S528" s="60"/>
      <c r="T528" s="205"/>
    </row>
    <row r="529" spans="1:20" s="8" customFormat="1" ht="13.5" customHeight="1" x14ac:dyDescent="0.25">
      <c r="A529" s="214" t="s">
        <v>298</v>
      </c>
      <c r="B529" s="7" t="s">
        <v>1440</v>
      </c>
      <c r="C529" s="190"/>
      <c r="D529" s="60"/>
      <c r="E529" s="60"/>
      <c r="F529" s="60"/>
      <c r="G529" s="200" t="str">
        <f t="shared" si="29"/>
        <v/>
      </c>
      <c r="H529" s="192"/>
      <c r="I529" s="60"/>
      <c r="J529" s="60"/>
      <c r="K529" s="60"/>
      <c r="L529" s="200" t="str">
        <f t="shared" si="30"/>
        <v/>
      </c>
      <c r="M529" s="192"/>
      <c r="N529" s="60"/>
      <c r="O529" s="60"/>
      <c r="P529" s="60"/>
      <c r="Q529" s="200" t="str">
        <f t="shared" si="31"/>
        <v/>
      </c>
      <c r="R529" s="192"/>
      <c r="S529" s="60"/>
      <c r="T529" s="205"/>
    </row>
    <row r="530" spans="1:20" s="8" customFormat="1" ht="13.5" customHeight="1" x14ac:dyDescent="0.25">
      <c r="A530" s="214" t="s">
        <v>298</v>
      </c>
      <c r="B530" s="7" t="s">
        <v>1443</v>
      </c>
      <c r="C530" s="190"/>
      <c r="D530" s="60"/>
      <c r="E530" s="60"/>
      <c r="F530" s="60"/>
      <c r="G530" s="200" t="str">
        <f t="shared" si="29"/>
        <v/>
      </c>
      <c r="H530" s="192"/>
      <c r="I530" s="60"/>
      <c r="J530" s="60"/>
      <c r="K530" s="60"/>
      <c r="L530" s="200" t="str">
        <f t="shared" si="30"/>
        <v/>
      </c>
      <c r="M530" s="192"/>
      <c r="N530" s="60"/>
      <c r="O530" s="60"/>
      <c r="P530" s="60"/>
      <c r="Q530" s="200" t="str">
        <f t="shared" si="31"/>
        <v/>
      </c>
      <c r="R530" s="192"/>
      <c r="S530" s="60"/>
      <c r="T530" s="205"/>
    </row>
    <row r="531" spans="1:20" s="8" customFormat="1" ht="13.5" customHeight="1" x14ac:dyDescent="0.25">
      <c r="A531" s="214" t="s">
        <v>298</v>
      </c>
      <c r="B531" s="7" t="s">
        <v>1445</v>
      </c>
      <c r="C531" s="190"/>
      <c r="D531" s="60"/>
      <c r="E531" s="60"/>
      <c r="F531" s="60"/>
      <c r="G531" s="200" t="str">
        <f t="shared" si="29"/>
        <v/>
      </c>
      <c r="H531" s="192"/>
      <c r="I531" s="60"/>
      <c r="J531" s="60"/>
      <c r="K531" s="60"/>
      <c r="L531" s="200" t="str">
        <f t="shared" si="30"/>
        <v/>
      </c>
      <c r="M531" s="192"/>
      <c r="N531" s="60"/>
      <c r="O531" s="60"/>
      <c r="P531" s="60"/>
      <c r="Q531" s="200" t="str">
        <f t="shared" si="31"/>
        <v/>
      </c>
      <c r="R531" s="192"/>
      <c r="S531" s="60"/>
      <c r="T531" s="205"/>
    </row>
    <row r="532" spans="1:20" s="8" customFormat="1" ht="13.5" customHeight="1" x14ac:dyDescent="0.25">
      <c r="A532" s="214" t="s">
        <v>298</v>
      </c>
      <c r="B532" s="7" t="s">
        <v>1447</v>
      </c>
      <c r="C532" s="190"/>
      <c r="D532" s="60"/>
      <c r="E532" s="60"/>
      <c r="F532" s="60"/>
      <c r="G532" s="200" t="str">
        <f t="shared" si="29"/>
        <v/>
      </c>
      <c r="H532" s="192"/>
      <c r="I532" s="60"/>
      <c r="J532" s="60"/>
      <c r="K532" s="60"/>
      <c r="L532" s="200" t="str">
        <f t="shared" si="30"/>
        <v/>
      </c>
      <c r="M532" s="192"/>
      <c r="N532" s="60"/>
      <c r="O532" s="60"/>
      <c r="P532" s="60"/>
      <c r="Q532" s="200" t="str">
        <f t="shared" si="31"/>
        <v/>
      </c>
      <c r="R532" s="192"/>
      <c r="S532" s="60"/>
      <c r="T532" s="205"/>
    </row>
    <row r="533" spans="1:20" s="8" customFormat="1" ht="13.5" customHeight="1" x14ac:dyDescent="0.25">
      <c r="A533" s="214" t="s">
        <v>298</v>
      </c>
      <c r="B533" s="7" t="s">
        <v>1449</v>
      </c>
      <c r="C533" s="190"/>
      <c r="D533" s="60"/>
      <c r="E533" s="60"/>
      <c r="F533" s="60"/>
      <c r="G533" s="200" t="str">
        <f t="shared" si="29"/>
        <v/>
      </c>
      <c r="H533" s="192"/>
      <c r="I533" s="60"/>
      <c r="J533" s="60"/>
      <c r="K533" s="60"/>
      <c r="L533" s="200" t="str">
        <f t="shared" si="30"/>
        <v/>
      </c>
      <c r="M533" s="192"/>
      <c r="N533" s="60"/>
      <c r="O533" s="60"/>
      <c r="P533" s="60"/>
      <c r="Q533" s="200" t="str">
        <f t="shared" si="31"/>
        <v/>
      </c>
      <c r="R533" s="192"/>
      <c r="S533" s="60"/>
      <c r="T533" s="205"/>
    </row>
    <row r="534" spans="1:20" s="8" customFormat="1" ht="13.5" customHeight="1" x14ac:dyDescent="0.25">
      <c r="A534" s="214" t="s">
        <v>298</v>
      </c>
      <c r="B534" s="7" t="s">
        <v>126</v>
      </c>
      <c r="C534" s="190"/>
      <c r="D534" s="191"/>
      <c r="E534" s="191"/>
      <c r="F534" s="191"/>
      <c r="G534" s="200" t="str">
        <f t="shared" si="29"/>
        <v/>
      </c>
      <c r="H534" s="190"/>
      <c r="I534" s="191"/>
      <c r="J534" s="191"/>
      <c r="K534" s="191"/>
      <c r="L534" s="200" t="str">
        <f t="shared" si="30"/>
        <v/>
      </c>
      <c r="M534" s="190"/>
      <c r="N534" s="191"/>
      <c r="O534" s="191"/>
      <c r="P534" s="191"/>
      <c r="Q534" s="200" t="str">
        <f t="shared" si="31"/>
        <v/>
      </c>
      <c r="R534" s="190">
        <v>30</v>
      </c>
      <c r="S534" s="191"/>
      <c r="T534" s="200"/>
    </row>
    <row r="535" spans="1:20" s="8" customFormat="1" ht="13.5" customHeight="1" x14ac:dyDescent="0.25">
      <c r="A535" s="214" t="s">
        <v>298</v>
      </c>
      <c r="B535" s="7" t="s">
        <v>1451</v>
      </c>
      <c r="C535" s="190"/>
      <c r="D535" s="60"/>
      <c r="E535" s="60"/>
      <c r="F535" s="60"/>
      <c r="G535" s="200" t="str">
        <f t="shared" si="29"/>
        <v/>
      </c>
      <c r="H535" s="192"/>
      <c r="I535" s="60"/>
      <c r="J535" s="60"/>
      <c r="K535" s="60"/>
      <c r="L535" s="200" t="str">
        <f t="shared" si="30"/>
        <v/>
      </c>
      <c r="M535" s="192"/>
      <c r="N535" s="60"/>
      <c r="O535" s="60"/>
      <c r="P535" s="60"/>
      <c r="Q535" s="200" t="str">
        <f t="shared" si="31"/>
        <v/>
      </c>
      <c r="R535" s="192"/>
      <c r="S535" s="60"/>
      <c r="T535" s="205"/>
    </row>
    <row r="536" spans="1:20" s="8" customFormat="1" ht="13.5" customHeight="1" x14ac:dyDescent="0.25">
      <c r="A536" s="214" t="s">
        <v>298</v>
      </c>
      <c r="B536" s="7" t="s">
        <v>1454</v>
      </c>
      <c r="C536" s="190"/>
      <c r="D536" s="60"/>
      <c r="E536" s="60"/>
      <c r="F536" s="60"/>
      <c r="G536" s="200" t="str">
        <f t="shared" si="29"/>
        <v/>
      </c>
      <c r="H536" s="192"/>
      <c r="I536" s="60"/>
      <c r="J536" s="60"/>
      <c r="K536" s="60"/>
      <c r="L536" s="200" t="str">
        <f t="shared" si="30"/>
        <v/>
      </c>
      <c r="M536" s="192"/>
      <c r="N536" s="60"/>
      <c r="O536" s="60"/>
      <c r="P536" s="60"/>
      <c r="Q536" s="200" t="str">
        <f t="shared" si="31"/>
        <v/>
      </c>
      <c r="R536" s="192"/>
      <c r="S536" s="60"/>
      <c r="T536" s="205"/>
    </row>
    <row r="537" spans="1:20" s="8" customFormat="1" ht="13.5" customHeight="1" x14ac:dyDescent="0.25">
      <c r="A537" s="214" t="s">
        <v>298</v>
      </c>
      <c r="B537" s="7" t="s">
        <v>271</v>
      </c>
      <c r="C537" s="190"/>
      <c r="D537" s="191"/>
      <c r="E537" s="191"/>
      <c r="F537" s="191"/>
      <c r="G537" s="200" t="str">
        <f t="shared" si="29"/>
        <v/>
      </c>
      <c r="H537" s="190"/>
      <c r="I537" s="191"/>
      <c r="J537" s="191"/>
      <c r="K537" s="191"/>
      <c r="L537" s="200" t="str">
        <f t="shared" si="30"/>
        <v/>
      </c>
      <c r="M537" s="190"/>
      <c r="N537" s="191"/>
      <c r="O537" s="191"/>
      <c r="P537" s="191"/>
      <c r="Q537" s="200" t="str">
        <f t="shared" si="31"/>
        <v/>
      </c>
      <c r="R537" s="190">
        <v>45</v>
      </c>
      <c r="S537" s="191"/>
      <c r="T537" s="200"/>
    </row>
    <row r="538" spans="1:20" s="8" customFormat="1" ht="13.5" customHeight="1" x14ac:dyDescent="0.25">
      <c r="A538" s="214" t="s">
        <v>298</v>
      </c>
      <c r="B538" s="7" t="s">
        <v>1457</v>
      </c>
      <c r="C538" s="190"/>
      <c r="D538" s="60"/>
      <c r="E538" s="60"/>
      <c r="F538" s="60"/>
      <c r="G538" s="200" t="str">
        <f t="shared" si="29"/>
        <v/>
      </c>
      <c r="H538" s="192"/>
      <c r="I538" s="60"/>
      <c r="J538" s="60"/>
      <c r="K538" s="60"/>
      <c r="L538" s="200" t="str">
        <f t="shared" si="30"/>
        <v/>
      </c>
      <c r="M538" s="192"/>
      <c r="N538" s="60"/>
      <c r="O538" s="60"/>
      <c r="P538" s="60"/>
      <c r="Q538" s="200" t="str">
        <f t="shared" si="31"/>
        <v/>
      </c>
      <c r="R538" s="192"/>
      <c r="S538" s="60"/>
      <c r="T538" s="205"/>
    </row>
    <row r="539" spans="1:20" s="8" customFormat="1" ht="13.5" customHeight="1" x14ac:dyDescent="0.25">
      <c r="A539" s="214" t="s">
        <v>298</v>
      </c>
      <c r="B539" s="7" t="s">
        <v>248</v>
      </c>
      <c r="C539" s="190"/>
      <c r="D539" s="191"/>
      <c r="E539" s="191"/>
      <c r="F539" s="191"/>
      <c r="G539" s="200" t="str">
        <f t="shared" si="29"/>
        <v/>
      </c>
      <c r="H539" s="190"/>
      <c r="I539" s="191"/>
      <c r="J539" s="191"/>
      <c r="K539" s="191"/>
      <c r="L539" s="200" t="str">
        <f t="shared" si="30"/>
        <v/>
      </c>
      <c r="M539" s="190"/>
      <c r="N539" s="191"/>
      <c r="O539" s="191"/>
      <c r="P539" s="191"/>
      <c r="Q539" s="200" t="str">
        <f t="shared" si="31"/>
        <v/>
      </c>
      <c r="R539" s="190">
        <v>25</v>
      </c>
      <c r="S539" s="191"/>
      <c r="T539" s="200"/>
    </row>
    <row r="540" spans="1:20" s="8" customFormat="1" ht="13.5" customHeight="1" x14ac:dyDescent="0.25">
      <c r="A540" s="214" t="s">
        <v>298</v>
      </c>
      <c r="B540" s="7" t="s">
        <v>1459</v>
      </c>
      <c r="C540" s="192"/>
      <c r="D540" s="60"/>
      <c r="E540" s="60"/>
      <c r="F540" s="60"/>
      <c r="G540" s="200" t="str">
        <f t="shared" si="29"/>
        <v/>
      </c>
      <c r="H540" s="192"/>
      <c r="I540" s="60"/>
      <c r="J540" s="60"/>
      <c r="K540" s="60"/>
      <c r="L540" s="200" t="str">
        <f t="shared" si="30"/>
        <v/>
      </c>
      <c r="M540" s="192"/>
      <c r="N540" s="60"/>
      <c r="O540" s="60"/>
      <c r="P540" s="60"/>
      <c r="Q540" s="200" t="str">
        <f t="shared" si="31"/>
        <v/>
      </c>
      <c r="R540" s="192"/>
      <c r="S540" s="60"/>
      <c r="T540" s="205"/>
    </row>
    <row r="541" spans="1:20" s="8" customFormat="1" ht="13.5" customHeight="1" x14ac:dyDescent="0.25">
      <c r="A541" s="214" t="s">
        <v>298</v>
      </c>
      <c r="B541" s="7" t="s">
        <v>1465</v>
      </c>
      <c r="C541" s="192"/>
      <c r="D541" s="60"/>
      <c r="E541" s="60"/>
      <c r="F541" s="60"/>
      <c r="G541" s="200" t="str">
        <f t="shared" si="29"/>
        <v/>
      </c>
      <c r="H541" s="192"/>
      <c r="I541" s="60"/>
      <c r="J541" s="60"/>
      <c r="K541" s="60"/>
      <c r="L541" s="200" t="str">
        <f t="shared" si="30"/>
        <v/>
      </c>
      <c r="M541" s="192"/>
      <c r="N541" s="60"/>
      <c r="O541" s="60"/>
      <c r="P541" s="60"/>
      <c r="Q541" s="200" t="str">
        <f t="shared" si="31"/>
        <v/>
      </c>
      <c r="R541" s="192"/>
      <c r="S541" s="60"/>
      <c r="T541" s="205"/>
    </row>
    <row r="542" spans="1:20" s="8" customFormat="1" ht="13.5" customHeight="1" x14ac:dyDescent="0.25">
      <c r="A542" s="214" t="s">
        <v>298</v>
      </c>
      <c r="B542" s="7" t="s">
        <v>1462</v>
      </c>
      <c r="C542" s="192"/>
      <c r="D542" s="60"/>
      <c r="E542" s="60"/>
      <c r="F542" s="60"/>
      <c r="G542" s="200" t="str">
        <f t="shared" si="29"/>
        <v/>
      </c>
      <c r="H542" s="192"/>
      <c r="I542" s="60"/>
      <c r="J542" s="60"/>
      <c r="K542" s="60"/>
      <c r="L542" s="200" t="str">
        <f t="shared" si="30"/>
        <v/>
      </c>
      <c r="M542" s="192"/>
      <c r="N542" s="60"/>
      <c r="O542" s="60"/>
      <c r="P542" s="60"/>
      <c r="Q542" s="200" t="str">
        <f t="shared" si="31"/>
        <v/>
      </c>
      <c r="R542" s="192"/>
      <c r="S542" s="60"/>
      <c r="T542" s="205"/>
    </row>
    <row r="543" spans="1:20" s="8" customFormat="1" ht="13.5" customHeight="1" x14ac:dyDescent="0.25">
      <c r="A543" s="214" t="s">
        <v>298</v>
      </c>
      <c r="B543" s="7" t="s">
        <v>1467</v>
      </c>
      <c r="C543" s="190"/>
      <c r="D543" s="60"/>
      <c r="E543" s="60"/>
      <c r="F543" s="60"/>
      <c r="G543" s="200" t="str">
        <f t="shared" si="29"/>
        <v/>
      </c>
      <c r="H543" s="192"/>
      <c r="I543" s="60"/>
      <c r="J543" s="60"/>
      <c r="K543" s="60"/>
      <c r="L543" s="200" t="str">
        <f t="shared" si="30"/>
        <v/>
      </c>
      <c r="M543" s="192"/>
      <c r="N543" s="60"/>
      <c r="O543" s="60"/>
      <c r="P543" s="60"/>
      <c r="Q543" s="200" t="str">
        <f t="shared" si="31"/>
        <v/>
      </c>
      <c r="R543" s="192"/>
      <c r="S543" s="60"/>
      <c r="T543" s="205"/>
    </row>
    <row r="544" spans="1:20" s="8" customFormat="1" ht="13.5" customHeight="1" x14ac:dyDescent="0.25">
      <c r="A544" s="214" t="s">
        <v>298</v>
      </c>
      <c r="B544" s="7" t="s">
        <v>1469</v>
      </c>
      <c r="C544" s="190"/>
      <c r="D544" s="60"/>
      <c r="E544" s="60"/>
      <c r="F544" s="60"/>
      <c r="G544" s="200" t="str">
        <f t="shared" si="29"/>
        <v/>
      </c>
      <c r="H544" s="192"/>
      <c r="I544" s="60"/>
      <c r="J544" s="60"/>
      <c r="K544" s="60"/>
      <c r="L544" s="200" t="str">
        <f t="shared" si="30"/>
        <v/>
      </c>
      <c r="M544" s="192"/>
      <c r="N544" s="60"/>
      <c r="O544" s="60"/>
      <c r="P544" s="60"/>
      <c r="Q544" s="200" t="str">
        <f t="shared" si="31"/>
        <v/>
      </c>
      <c r="R544" s="192"/>
      <c r="S544" s="60"/>
      <c r="T544" s="205"/>
    </row>
    <row r="545" spans="1:20" s="8" customFormat="1" ht="13.5" customHeight="1" x14ac:dyDescent="0.25">
      <c r="A545" s="214" t="s">
        <v>298</v>
      </c>
      <c r="B545" s="22" t="s">
        <v>1471</v>
      </c>
      <c r="C545" s="190"/>
      <c r="D545" s="60"/>
      <c r="E545" s="60"/>
      <c r="F545" s="60"/>
      <c r="G545" s="200" t="str">
        <f t="shared" si="29"/>
        <v/>
      </c>
      <c r="H545" s="192"/>
      <c r="I545" s="60"/>
      <c r="J545" s="60"/>
      <c r="K545" s="60"/>
      <c r="L545" s="200" t="str">
        <f t="shared" si="30"/>
        <v/>
      </c>
      <c r="M545" s="192"/>
      <c r="N545" s="60"/>
      <c r="O545" s="60"/>
      <c r="P545" s="60"/>
      <c r="Q545" s="200" t="str">
        <f t="shared" si="31"/>
        <v/>
      </c>
      <c r="R545" s="192"/>
      <c r="S545" s="60"/>
      <c r="T545" s="205"/>
    </row>
    <row r="546" spans="1:20" s="8" customFormat="1" ht="13.5" customHeight="1" x14ac:dyDescent="0.25">
      <c r="A546" s="214" t="s">
        <v>298</v>
      </c>
      <c r="B546" s="172" t="s">
        <v>1474</v>
      </c>
      <c r="C546" s="190"/>
      <c r="D546" s="60"/>
      <c r="E546" s="60"/>
      <c r="F546" s="60"/>
      <c r="G546" s="200" t="str">
        <f t="shared" si="29"/>
        <v/>
      </c>
      <c r="H546" s="192"/>
      <c r="I546" s="60"/>
      <c r="J546" s="60"/>
      <c r="K546" s="60"/>
      <c r="L546" s="200" t="str">
        <f t="shared" si="30"/>
        <v/>
      </c>
      <c r="M546" s="192"/>
      <c r="N546" s="60"/>
      <c r="O546" s="60"/>
      <c r="P546" s="60"/>
      <c r="Q546" s="200" t="str">
        <f t="shared" si="31"/>
        <v/>
      </c>
      <c r="R546" s="192"/>
      <c r="S546" s="60"/>
      <c r="T546" s="205"/>
    </row>
    <row r="547" spans="1:20" s="8" customFormat="1" ht="13.5" customHeight="1" x14ac:dyDescent="0.25">
      <c r="A547" s="214" t="s">
        <v>298</v>
      </c>
      <c r="B547" s="7" t="s">
        <v>1477</v>
      </c>
      <c r="C547" s="190"/>
      <c r="D547" s="60"/>
      <c r="E547" s="60"/>
      <c r="F547" s="60"/>
      <c r="G547" s="200" t="str">
        <f t="shared" si="29"/>
        <v/>
      </c>
      <c r="H547" s="192"/>
      <c r="I547" s="60"/>
      <c r="J547" s="60"/>
      <c r="K547" s="60"/>
      <c r="L547" s="200" t="str">
        <f t="shared" si="30"/>
        <v/>
      </c>
      <c r="M547" s="192"/>
      <c r="N547" s="60"/>
      <c r="O547" s="60"/>
      <c r="P547" s="60"/>
      <c r="Q547" s="200" t="str">
        <f t="shared" si="31"/>
        <v/>
      </c>
      <c r="R547" s="192"/>
      <c r="S547" s="60"/>
      <c r="T547" s="205"/>
    </row>
    <row r="548" spans="1:20" s="8" customFormat="1" ht="13.5" customHeight="1" x14ac:dyDescent="0.25">
      <c r="A548" s="214" t="s">
        <v>298</v>
      </c>
      <c r="B548" s="7" t="s">
        <v>1479</v>
      </c>
      <c r="C548" s="190"/>
      <c r="D548" s="60"/>
      <c r="E548" s="60"/>
      <c r="F548" s="60"/>
      <c r="G548" s="200" t="str">
        <f t="shared" si="29"/>
        <v/>
      </c>
      <c r="H548" s="192"/>
      <c r="I548" s="60"/>
      <c r="J548" s="60"/>
      <c r="K548" s="60"/>
      <c r="L548" s="200" t="str">
        <f t="shared" si="30"/>
        <v/>
      </c>
      <c r="M548" s="192"/>
      <c r="N548" s="60"/>
      <c r="O548" s="60"/>
      <c r="P548" s="60"/>
      <c r="Q548" s="200" t="str">
        <f t="shared" si="31"/>
        <v/>
      </c>
      <c r="R548" s="192"/>
      <c r="S548" s="60"/>
      <c r="T548" s="205"/>
    </row>
    <row r="549" spans="1:20" s="8" customFormat="1" ht="13.5" customHeight="1" x14ac:dyDescent="0.25">
      <c r="A549" s="214" t="s">
        <v>298</v>
      </c>
      <c r="B549" s="7" t="s">
        <v>1481</v>
      </c>
      <c r="C549" s="190"/>
      <c r="D549" s="60"/>
      <c r="E549" s="60"/>
      <c r="F549" s="60"/>
      <c r="G549" s="200" t="str">
        <f t="shared" si="29"/>
        <v/>
      </c>
      <c r="H549" s="192"/>
      <c r="I549" s="60"/>
      <c r="J549" s="60"/>
      <c r="K549" s="60"/>
      <c r="L549" s="200" t="str">
        <f t="shared" si="30"/>
        <v/>
      </c>
      <c r="M549" s="192"/>
      <c r="N549" s="60"/>
      <c r="O549" s="60"/>
      <c r="P549" s="60"/>
      <c r="Q549" s="200" t="str">
        <f t="shared" si="31"/>
        <v/>
      </c>
      <c r="R549" s="192"/>
      <c r="S549" s="60"/>
      <c r="T549" s="205"/>
    </row>
    <row r="550" spans="1:20" s="8" customFormat="1" ht="13.5" customHeight="1" x14ac:dyDescent="0.25">
      <c r="A550" s="214" t="s">
        <v>298</v>
      </c>
      <c r="B550" s="7" t="s">
        <v>1483</v>
      </c>
      <c r="C550" s="190"/>
      <c r="D550" s="60"/>
      <c r="E550" s="60"/>
      <c r="F550" s="60"/>
      <c r="G550" s="200" t="str">
        <f t="shared" si="29"/>
        <v/>
      </c>
      <c r="H550" s="192"/>
      <c r="I550" s="60"/>
      <c r="J550" s="60"/>
      <c r="K550" s="60"/>
      <c r="L550" s="200" t="str">
        <f t="shared" si="30"/>
        <v/>
      </c>
      <c r="M550" s="192"/>
      <c r="N550" s="60"/>
      <c r="O550" s="60"/>
      <c r="P550" s="60"/>
      <c r="Q550" s="200" t="str">
        <f t="shared" si="31"/>
        <v/>
      </c>
      <c r="R550" s="192"/>
      <c r="S550" s="60"/>
      <c r="T550" s="205"/>
    </row>
    <row r="551" spans="1:20" s="8" customFormat="1" ht="13.5" customHeight="1" x14ac:dyDescent="0.25">
      <c r="A551" s="214" t="s">
        <v>298</v>
      </c>
      <c r="B551" s="7" t="s">
        <v>190</v>
      </c>
      <c r="C551" s="190" t="s">
        <v>310</v>
      </c>
      <c r="D551" s="191">
        <v>2</v>
      </c>
      <c r="E551" s="191">
        <v>1</v>
      </c>
      <c r="F551" s="191"/>
      <c r="G551" s="200" t="str">
        <f t="shared" si="29"/>
        <v/>
      </c>
      <c r="H551" s="190"/>
      <c r="I551" s="191"/>
      <c r="J551" s="191"/>
      <c r="K551" s="191"/>
      <c r="L551" s="200" t="str">
        <f t="shared" si="30"/>
        <v/>
      </c>
      <c r="M551" s="190" t="s">
        <v>1770</v>
      </c>
      <c r="N551" s="191">
        <v>1</v>
      </c>
      <c r="O551" s="191"/>
      <c r="P551" s="191"/>
      <c r="Q551" s="200" t="str">
        <f t="shared" si="31"/>
        <v/>
      </c>
      <c r="R551" s="190">
        <v>50</v>
      </c>
      <c r="S551" s="191"/>
      <c r="T551" s="200"/>
    </row>
    <row r="552" spans="1:20" s="8" customFormat="1" ht="13.5" customHeight="1" x14ac:dyDescent="0.25">
      <c r="A552" s="214" t="s">
        <v>298</v>
      </c>
      <c r="B552" s="7" t="s">
        <v>228</v>
      </c>
      <c r="C552" s="190"/>
      <c r="D552" s="191"/>
      <c r="E552" s="191"/>
      <c r="F552" s="191"/>
      <c r="G552" s="200" t="str">
        <f t="shared" si="29"/>
        <v/>
      </c>
      <c r="H552" s="190"/>
      <c r="I552" s="191"/>
      <c r="J552" s="191"/>
      <c r="K552" s="191"/>
      <c r="L552" s="200" t="str">
        <f t="shared" si="30"/>
        <v/>
      </c>
      <c r="M552" s="190" t="s">
        <v>1770</v>
      </c>
      <c r="N552" s="191">
        <v>1</v>
      </c>
      <c r="O552" s="191"/>
      <c r="P552" s="191"/>
      <c r="Q552" s="200" t="str">
        <f t="shared" si="31"/>
        <v/>
      </c>
      <c r="R552" s="190">
        <v>55</v>
      </c>
      <c r="S552" s="191"/>
      <c r="T552" s="200"/>
    </row>
    <row r="553" spans="1:20" s="8" customFormat="1" ht="13.5" customHeight="1" x14ac:dyDescent="0.25">
      <c r="A553" s="214" t="s">
        <v>298</v>
      </c>
      <c r="B553" s="7" t="s">
        <v>1485</v>
      </c>
      <c r="C553" s="190"/>
      <c r="D553" s="60"/>
      <c r="E553" s="60"/>
      <c r="F553" s="60"/>
      <c r="G553" s="200" t="str">
        <f t="shared" si="29"/>
        <v/>
      </c>
      <c r="H553" s="192"/>
      <c r="I553" s="60"/>
      <c r="J553" s="60"/>
      <c r="K553" s="60"/>
      <c r="L553" s="200" t="str">
        <f t="shared" si="30"/>
        <v/>
      </c>
      <c r="M553" s="192"/>
      <c r="N553" s="60"/>
      <c r="O553" s="60"/>
      <c r="P553" s="60"/>
      <c r="Q553" s="200" t="str">
        <f t="shared" si="31"/>
        <v/>
      </c>
      <c r="R553" s="192"/>
      <c r="S553" s="60"/>
      <c r="T553" s="205"/>
    </row>
    <row r="554" spans="1:20" s="8" customFormat="1" ht="13.5" customHeight="1" x14ac:dyDescent="0.25">
      <c r="A554" s="214" t="s">
        <v>298</v>
      </c>
      <c r="B554" s="18" t="s">
        <v>1488</v>
      </c>
      <c r="C554" s="190"/>
      <c r="D554" s="60"/>
      <c r="E554" s="60"/>
      <c r="F554" s="60"/>
      <c r="G554" s="200" t="str">
        <f t="shared" si="29"/>
        <v/>
      </c>
      <c r="H554" s="192"/>
      <c r="I554" s="60"/>
      <c r="J554" s="60"/>
      <c r="K554" s="60"/>
      <c r="L554" s="200" t="str">
        <f t="shared" si="30"/>
        <v/>
      </c>
      <c r="M554" s="192"/>
      <c r="N554" s="60"/>
      <c r="O554" s="60"/>
      <c r="P554" s="60"/>
      <c r="Q554" s="200" t="str">
        <f t="shared" si="31"/>
        <v/>
      </c>
      <c r="R554" s="192"/>
      <c r="S554" s="60"/>
      <c r="T554" s="205"/>
    </row>
    <row r="555" spans="1:20" s="8" customFormat="1" ht="13.5" customHeight="1" x14ac:dyDescent="0.25">
      <c r="A555" s="214" t="s">
        <v>298</v>
      </c>
      <c r="B555" s="7" t="s">
        <v>245</v>
      </c>
      <c r="C555" s="190" t="s">
        <v>310</v>
      </c>
      <c r="D555" s="191">
        <v>2</v>
      </c>
      <c r="E555" s="191">
        <v>1</v>
      </c>
      <c r="F555" s="191"/>
      <c r="G555" s="200" t="str">
        <f t="shared" si="29"/>
        <v/>
      </c>
      <c r="H555" s="190"/>
      <c r="I555" s="191"/>
      <c r="J555" s="191"/>
      <c r="K555" s="191"/>
      <c r="L555" s="200" t="str">
        <f t="shared" si="30"/>
        <v/>
      </c>
      <c r="M555" s="190" t="s">
        <v>1770</v>
      </c>
      <c r="N555" s="191">
        <v>1</v>
      </c>
      <c r="O555" s="191">
        <v>1</v>
      </c>
      <c r="P555" s="191"/>
      <c r="Q555" s="200" t="str">
        <f t="shared" si="31"/>
        <v/>
      </c>
      <c r="R555" s="190"/>
      <c r="S555" s="191"/>
      <c r="T555" s="200"/>
    </row>
    <row r="556" spans="1:20" s="8" customFormat="1" ht="13.5" customHeight="1" x14ac:dyDescent="0.25">
      <c r="A556" s="214" t="s">
        <v>298</v>
      </c>
      <c r="B556" s="7" t="s">
        <v>1491</v>
      </c>
      <c r="C556" s="190"/>
      <c r="D556" s="60"/>
      <c r="E556" s="60"/>
      <c r="F556" s="60"/>
      <c r="G556" s="200" t="str">
        <f t="shared" si="29"/>
        <v/>
      </c>
      <c r="H556" s="192"/>
      <c r="I556" s="60"/>
      <c r="J556" s="60"/>
      <c r="K556" s="60"/>
      <c r="L556" s="200" t="str">
        <f t="shared" si="30"/>
        <v/>
      </c>
      <c r="M556" s="192"/>
      <c r="N556" s="60"/>
      <c r="O556" s="60"/>
      <c r="P556" s="60"/>
      <c r="Q556" s="200" t="str">
        <f t="shared" si="31"/>
        <v/>
      </c>
      <c r="R556" s="192"/>
      <c r="S556" s="60"/>
      <c r="T556" s="205"/>
    </row>
    <row r="557" spans="1:20" s="8" customFormat="1" ht="13.5" customHeight="1" x14ac:dyDescent="0.25">
      <c r="A557" s="214" t="s">
        <v>298</v>
      </c>
      <c r="B557" s="7" t="s">
        <v>1494</v>
      </c>
      <c r="C557" s="190"/>
      <c r="D557" s="60"/>
      <c r="E557" s="60"/>
      <c r="F557" s="60"/>
      <c r="G557" s="200" t="str">
        <f t="shared" si="29"/>
        <v/>
      </c>
      <c r="H557" s="192"/>
      <c r="I557" s="60"/>
      <c r="J557" s="60"/>
      <c r="K557" s="60"/>
      <c r="L557" s="200" t="str">
        <f t="shared" si="30"/>
        <v/>
      </c>
      <c r="M557" s="192"/>
      <c r="N557" s="60"/>
      <c r="O557" s="60"/>
      <c r="P557" s="60"/>
      <c r="Q557" s="200" t="str">
        <f t="shared" si="31"/>
        <v/>
      </c>
      <c r="R557" s="192"/>
      <c r="S557" s="60"/>
      <c r="T557" s="205"/>
    </row>
    <row r="558" spans="1:20" s="8" customFormat="1" ht="13.5" customHeight="1" x14ac:dyDescent="0.25">
      <c r="A558" s="214" t="s">
        <v>298</v>
      </c>
      <c r="B558" s="7" t="s">
        <v>1497</v>
      </c>
      <c r="C558" s="190"/>
      <c r="D558" s="60"/>
      <c r="E558" s="60"/>
      <c r="F558" s="60"/>
      <c r="G558" s="200" t="str">
        <f t="shared" si="29"/>
        <v/>
      </c>
      <c r="H558" s="192"/>
      <c r="I558" s="60"/>
      <c r="J558" s="60"/>
      <c r="K558" s="60"/>
      <c r="L558" s="200" t="str">
        <f t="shared" si="30"/>
        <v/>
      </c>
      <c r="M558" s="192"/>
      <c r="N558" s="60"/>
      <c r="O558" s="60"/>
      <c r="P558" s="60"/>
      <c r="Q558" s="200" t="str">
        <f t="shared" si="31"/>
        <v/>
      </c>
      <c r="R558" s="192"/>
      <c r="S558" s="60"/>
      <c r="T558" s="205"/>
    </row>
    <row r="559" spans="1:20" s="157" customFormat="1" ht="13.5" customHeight="1" x14ac:dyDescent="0.25">
      <c r="A559" s="214" t="s">
        <v>298</v>
      </c>
      <c r="B559" s="7" t="s">
        <v>1500</v>
      </c>
      <c r="C559" s="190"/>
      <c r="D559" s="60"/>
      <c r="E559" s="60"/>
      <c r="F559" s="60"/>
      <c r="G559" s="200" t="str">
        <f t="shared" si="29"/>
        <v/>
      </c>
      <c r="H559" s="192"/>
      <c r="I559" s="60"/>
      <c r="J559" s="60"/>
      <c r="K559" s="60"/>
      <c r="L559" s="200" t="str">
        <f t="shared" si="30"/>
        <v/>
      </c>
      <c r="M559" s="192"/>
      <c r="N559" s="60"/>
      <c r="O559" s="60"/>
      <c r="P559" s="60"/>
      <c r="Q559" s="200" t="str">
        <f t="shared" si="31"/>
        <v/>
      </c>
      <c r="R559" s="192"/>
      <c r="S559" s="60"/>
      <c r="T559" s="205"/>
    </row>
    <row r="560" spans="1:20" s="157" customFormat="1" ht="13.5" customHeight="1" x14ac:dyDescent="0.25">
      <c r="A560" s="214" t="s">
        <v>298</v>
      </c>
      <c r="B560" s="172" t="s">
        <v>1503</v>
      </c>
      <c r="C560" s="190"/>
      <c r="D560" s="60"/>
      <c r="E560" s="60"/>
      <c r="F560" s="60"/>
      <c r="G560" s="200" t="str">
        <f t="shared" si="29"/>
        <v/>
      </c>
      <c r="H560" s="192"/>
      <c r="I560" s="60"/>
      <c r="J560" s="60"/>
      <c r="K560" s="60"/>
      <c r="L560" s="200" t="str">
        <f t="shared" si="30"/>
        <v/>
      </c>
      <c r="M560" s="192"/>
      <c r="N560" s="60"/>
      <c r="O560" s="60"/>
      <c r="P560" s="60"/>
      <c r="Q560" s="200" t="str">
        <f t="shared" si="31"/>
        <v/>
      </c>
      <c r="R560" s="192"/>
      <c r="S560" s="60"/>
      <c r="T560" s="205"/>
    </row>
    <row r="561" spans="1:20" s="157" customFormat="1" ht="13.5" customHeight="1" x14ac:dyDescent="0.25">
      <c r="A561" s="214" t="s">
        <v>298</v>
      </c>
      <c r="B561" s="7" t="s">
        <v>1506</v>
      </c>
      <c r="C561" s="190"/>
      <c r="D561" s="60"/>
      <c r="E561" s="60"/>
      <c r="F561" s="60"/>
      <c r="G561" s="200" t="str">
        <f t="shared" si="29"/>
        <v/>
      </c>
      <c r="H561" s="192"/>
      <c r="I561" s="60"/>
      <c r="J561" s="60"/>
      <c r="K561" s="60"/>
      <c r="L561" s="200" t="str">
        <f t="shared" si="30"/>
        <v/>
      </c>
      <c r="M561" s="192"/>
      <c r="N561" s="60"/>
      <c r="O561" s="60"/>
      <c r="P561" s="60"/>
      <c r="Q561" s="200" t="str">
        <f t="shared" si="31"/>
        <v/>
      </c>
      <c r="R561" s="192"/>
      <c r="S561" s="60"/>
      <c r="T561" s="205"/>
    </row>
    <row r="562" spans="1:20" s="8" customFormat="1" ht="13.5" customHeight="1" x14ac:dyDescent="0.25">
      <c r="A562" s="214" t="s">
        <v>298</v>
      </c>
      <c r="B562" s="7" t="s">
        <v>1509</v>
      </c>
      <c r="C562" s="190"/>
      <c r="D562" s="60"/>
      <c r="E562" s="60"/>
      <c r="F562" s="60"/>
      <c r="G562" s="200" t="str">
        <f t="shared" si="29"/>
        <v/>
      </c>
      <c r="H562" s="192"/>
      <c r="I562" s="60"/>
      <c r="J562" s="60"/>
      <c r="K562" s="60"/>
      <c r="L562" s="200" t="str">
        <f t="shared" si="30"/>
        <v/>
      </c>
      <c r="M562" s="192"/>
      <c r="N562" s="60"/>
      <c r="O562" s="60"/>
      <c r="P562" s="60"/>
      <c r="Q562" s="200" t="str">
        <f t="shared" si="31"/>
        <v/>
      </c>
      <c r="R562" s="192"/>
      <c r="S562" s="60"/>
      <c r="T562" s="205"/>
    </row>
    <row r="563" spans="1:20" s="8" customFormat="1" ht="13.5" customHeight="1" x14ac:dyDescent="0.25">
      <c r="A563" s="214" t="s">
        <v>298</v>
      </c>
      <c r="B563" s="7" t="s">
        <v>1778</v>
      </c>
      <c r="C563" s="190"/>
      <c r="D563" s="60"/>
      <c r="E563" s="60"/>
      <c r="F563" s="60"/>
      <c r="G563" s="200"/>
      <c r="H563" s="192"/>
      <c r="I563" s="60"/>
      <c r="J563" s="60"/>
      <c r="K563" s="60"/>
      <c r="L563" s="200"/>
      <c r="M563" s="192" t="s">
        <v>310</v>
      </c>
      <c r="N563" s="60"/>
      <c r="O563" s="60"/>
      <c r="P563" s="60"/>
      <c r="Q563" s="200" t="str">
        <f t="shared" si="31"/>
        <v/>
      </c>
      <c r="R563" s="192"/>
      <c r="S563" s="60"/>
      <c r="T563" s="205"/>
    </row>
    <row r="564" spans="1:20" s="8" customFormat="1" ht="13.5" customHeight="1" x14ac:dyDescent="0.25">
      <c r="A564" s="214" t="s">
        <v>298</v>
      </c>
      <c r="B564" s="7" t="s">
        <v>1788</v>
      </c>
      <c r="C564" s="190" t="s">
        <v>310</v>
      </c>
      <c r="D564" s="60">
        <v>1</v>
      </c>
      <c r="E564" s="60"/>
      <c r="F564" s="60"/>
      <c r="G564" s="200" t="str">
        <f t="shared" si="29"/>
        <v/>
      </c>
      <c r="H564" s="192"/>
      <c r="I564" s="60"/>
      <c r="J564" s="60"/>
      <c r="K564" s="60"/>
      <c r="L564" s="200"/>
      <c r="M564" s="192"/>
      <c r="N564" s="60"/>
      <c r="O564" s="60"/>
      <c r="P564" s="60"/>
      <c r="Q564" s="200"/>
      <c r="R564" s="192"/>
      <c r="S564" s="60"/>
      <c r="T564" s="205"/>
    </row>
    <row r="565" spans="1:20" s="8" customFormat="1" ht="13.5" customHeight="1" x14ac:dyDescent="0.25">
      <c r="A565" s="214" t="s">
        <v>298</v>
      </c>
      <c r="B565" s="7" t="s">
        <v>1512</v>
      </c>
      <c r="C565" s="190"/>
      <c r="D565" s="60"/>
      <c r="E565" s="60"/>
      <c r="F565" s="60"/>
      <c r="G565" s="200" t="str">
        <f t="shared" si="29"/>
        <v/>
      </c>
      <c r="H565" s="192"/>
      <c r="I565" s="60"/>
      <c r="J565" s="60"/>
      <c r="K565" s="60"/>
      <c r="L565" s="200" t="str">
        <f t="shared" si="30"/>
        <v/>
      </c>
      <c r="M565" s="192"/>
      <c r="N565" s="60"/>
      <c r="O565" s="60"/>
      <c r="P565" s="60"/>
      <c r="Q565" s="200" t="str">
        <f t="shared" si="31"/>
        <v/>
      </c>
      <c r="R565" s="192"/>
      <c r="S565" s="60"/>
      <c r="T565" s="205"/>
    </row>
    <row r="566" spans="1:20" s="8" customFormat="1" ht="13.5" customHeight="1" x14ac:dyDescent="0.25">
      <c r="A566" s="214" t="s">
        <v>298</v>
      </c>
      <c r="B566" s="7" t="s">
        <v>1515</v>
      </c>
      <c r="C566" s="190"/>
      <c r="D566" s="60"/>
      <c r="E566" s="60"/>
      <c r="F566" s="60"/>
      <c r="G566" s="200" t="str">
        <f t="shared" si="29"/>
        <v/>
      </c>
      <c r="H566" s="192"/>
      <c r="I566" s="60"/>
      <c r="J566" s="60"/>
      <c r="K566" s="60"/>
      <c r="L566" s="200" t="str">
        <f t="shared" si="30"/>
        <v/>
      </c>
      <c r="M566" s="192"/>
      <c r="N566" s="60"/>
      <c r="O566" s="60"/>
      <c r="P566" s="60"/>
      <c r="Q566" s="200" t="str">
        <f t="shared" si="31"/>
        <v/>
      </c>
      <c r="R566" s="192"/>
      <c r="S566" s="60"/>
      <c r="T566" s="205"/>
    </row>
    <row r="567" spans="1:20" s="8" customFormat="1" ht="13.5" customHeight="1" x14ac:dyDescent="0.25">
      <c r="A567" s="214" t="s">
        <v>298</v>
      </c>
      <c r="B567" s="7" t="s">
        <v>269</v>
      </c>
      <c r="C567" s="190"/>
      <c r="D567" s="191"/>
      <c r="E567" s="191"/>
      <c r="F567" s="191"/>
      <c r="G567" s="200" t="str">
        <f t="shared" si="29"/>
        <v/>
      </c>
      <c r="H567" s="190"/>
      <c r="I567" s="191"/>
      <c r="J567" s="191"/>
      <c r="K567" s="191"/>
      <c r="L567" s="200" t="str">
        <f t="shared" si="30"/>
        <v/>
      </c>
      <c r="M567" s="190"/>
      <c r="N567" s="191"/>
      <c r="O567" s="191"/>
      <c r="P567" s="191"/>
      <c r="Q567" s="200" t="str">
        <f t="shared" si="31"/>
        <v/>
      </c>
      <c r="R567" s="190">
        <v>45</v>
      </c>
      <c r="S567" s="191"/>
      <c r="T567" s="200"/>
    </row>
    <row r="568" spans="1:20" s="8" customFormat="1" ht="13.5" customHeight="1" x14ac:dyDescent="0.25">
      <c r="A568" s="214" t="s">
        <v>298</v>
      </c>
      <c r="B568" s="7" t="s">
        <v>1517</v>
      </c>
      <c r="C568" s="190"/>
      <c r="D568" s="60"/>
      <c r="E568" s="60"/>
      <c r="F568" s="60"/>
      <c r="G568" s="200" t="str">
        <f t="shared" si="29"/>
        <v/>
      </c>
      <c r="H568" s="192"/>
      <c r="I568" s="60"/>
      <c r="J568" s="60"/>
      <c r="K568" s="60"/>
      <c r="L568" s="200" t="str">
        <f t="shared" si="30"/>
        <v/>
      </c>
      <c r="M568" s="192"/>
      <c r="N568" s="60"/>
      <c r="O568" s="60"/>
      <c r="P568" s="60"/>
      <c r="Q568" s="200" t="str">
        <f t="shared" si="31"/>
        <v/>
      </c>
      <c r="R568" s="192"/>
      <c r="S568" s="60"/>
      <c r="T568" s="205"/>
    </row>
    <row r="569" spans="1:20" s="8" customFormat="1" ht="13.5" customHeight="1" x14ac:dyDescent="0.25">
      <c r="A569" s="214" t="s">
        <v>298</v>
      </c>
      <c r="B569" s="7" t="s">
        <v>1519</v>
      </c>
      <c r="C569" s="190"/>
      <c r="D569" s="60"/>
      <c r="E569" s="60"/>
      <c r="F569" s="60"/>
      <c r="G569" s="200" t="str">
        <f t="shared" si="29"/>
        <v/>
      </c>
      <c r="H569" s="192"/>
      <c r="I569" s="60"/>
      <c r="J569" s="60"/>
      <c r="K569" s="60"/>
      <c r="L569" s="200" t="str">
        <f t="shared" si="30"/>
        <v/>
      </c>
      <c r="M569" s="192"/>
      <c r="N569" s="60"/>
      <c r="O569" s="60"/>
      <c r="P569" s="60"/>
      <c r="Q569" s="200" t="str">
        <f t="shared" si="31"/>
        <v/>
      </c>
      <c r="R569" s="192"/>
      <c r="S569" s="60"/>
      <c r="T569" s="205"/>
    </row>
    <row r="570" spans="1:20" s="8" customFormat="1" ht="13.5" customHeight="1" x14ac:dyDescent="0.25">
      <c r="A570" s="214" t="s">
        <v>298</v>
      </c>
      <c r="B570" s="7" t="s">
        <v>1521</v>
      </c>
      <c r="C570" s="190"/>
      <c r="D570" s="60"/>
      <c r="E570" s="60"/>
      <c r="F570" s="60"/>
      <c r="G570" s="200" t="str">
        <f t="shared" si="29"/>
        <v/>
      </c>
      <c r="H570" s="192"/>
      <c r="I570" s="60"/>
      <c r="J570" s="60"/>
      <c r="K570" s="60"/>
      <c r="L570" s="200" t="str">
        <f t="shared" si="30"/>
        <v/>
      </c>
      <c r="M570" s="192"/>
      <c r="N570" s="60"/>
      <c r="O570" s="60"/>
      <c r="P570" s="60"/>
      <c r="Q570" s="200" t="str">
        <f t="shared" si="31"/>
        <v/>
      </c>
      <c r="R570" s="192"/>
      <c r="S570" s="60"/>
      <c r="T570" s="205"/>
    </row>
    <row r="571" spans="1:20" s="8" customFormat="1" ht="13.5" customHeight="1" x14ac:dyDescent="0.25">
      <c r="A571" s="214" t="s">
        <v>298</v>
      </c>
      <c r="B571" s="7" t="s">
        <v>1523</v>
      </c>
      <c r="C571" s="190"/>
      <c r="D571" s="60"/>
      <c r="E571" s="60"/>
      <c r="F571" s="60"/>
      <c r="G571" s="200" t="str">
        <f t="shared" si="29"/>
        <v/>
      </c>
      <c r="H571" s="192"/>
      <c r="I571" s="60"/>
      <c r="J571" s="60"/>
      <c r="K571" s="60"/>
      <c r="L571" s="200" t="str">
        <f t="shared" si="30"/>
        <v/>
      </c>
      <c r="M571" s="192"/>
      <c r="N571" s="60"/>
      <c r="O571" s="60"/>
      <c r="P571" s="60"/>
      <c r="Q571" s="200" t="str">
        <f t="shared" si="31"/>
        <v/>
      </c>
      <c r="R571" s="192"/>
      <c r="S571" s="60"/>
      <c r="T571" s="205"/>
    </row>
    <row r="572" spans="1:20" s="8" customFormat="1" ht="13.5" customHeight="1" x14ac:dyDescent="0.25">
      <c r="A572" s="214" t="s">
        <v>298</v>
      </c>
      <c r="B572" s="7" t="s">
        <v>1525</v>
      </c>
      <c r="C572" s="190"/>
      <c r="D572" s="60"/>
      <c r="E572" s="60"/>
      <c r="F572" s="60"/>
      <c r="G572" s="200" t="str">
        <f t="shared" si="29"/>
        <v/>
      </c>
      <c r="H572" s="192"/>
      <c r="I572" s="60"/>
      <c r="J572" s="60"/>
      <c r="K572" s="60"/>
      <c r="L572" s="200" t="str">
        <f t="shared" si="30"/>
        <v/>
      </c>
      <c r="M572" s="192"/>
      <c r="N572" s="60"/>
      <c r="O572" s="60"/>
      <c r="P572" s="60"/>
      <c r="Q572" s="200" t="str">
        <f t="shared" si="31"/>
        <v/>
      </c>
      <c r="R572" s="192"/>
      <c r="S572" s="60"/>
      <c r="T572" s="205"/>
    </row>
    <row r="573" spans="1:20" s="8" customFormat="1" ht="13.5" customHeight="1" x14ac:dyDescent="0.25">
      <c r="A573" s="214" t="s">
        <v>298</v>
      </c>
      <c r="B573" s="7" t="s">
        <v>1527</v>
      </c>
      <c r="C573" s="190"/>
      <c r="D573" s="60"/>
      <c r="E573" s="60"/>
      <c r="F573" s="60"/>
      <c r="G573" s="200" t="str">
        <f t="shared" si="29"/>
        <v/>
      </c>
      <c r="H573" s="192"/>
      <c r="I573" s="60"/>
      <c r="J573" s="60"/>
      <c r="K573" s="60"/>
      <c r="L573" s="200" t="str">
        <f t="shared" si="30"/>
        <v/>
      </c>
      <c r="M573" s="192"/>
      <c r="N573" s="60"/>
      <c r="O573" s="60"/>
      <c r="P573" s="60"/>
      <c r="Q573" s="200" t="str">
        <f t="shared" si="31"/>
        <v/>
      </c>
      <c r="R573" s="192"/>
      <c r="S573" s="60"/>
      <c r="T573" s="205"/>
    </row>
    <row r="574" spans="1:20" s="8" customFormat="1" ht="13.5" customHeight="1" x14ac:dyDescent="0.25">
      <c r="A574" s="214" t="s">
        <v>298</v>
      </c>
      <c r="B574" s="7" t="s">
        <v>1529</v>
      </c>
      <c r="C574" s="190"/>
      <c r="D574" s="60"/>
      <c r="E574" s="60"/>
      <c r="F574" s="60"/>
      <c r="G574" s="200" t="str">
        <f t="shared" si="29"/>
        <v/>
      </c>
      <c r="H574" s="192"/>
      <c r="I574" s="60"/>
      <c r="J574" s="60"/>
      <c r="K574" s="60"/>
      <c r="L574" s="200" t="str">
        <f t="shared" si="30"/>
        <v/>
      </c>
      <c r="M574" s="192"/>
      <c r="N574" s="60"/>
      <c r="O574" s="60"/>
      <c r="P574" s="60"/>
      <c r="Q574" s="200" t="str">
        <f t="shared" si="31"/>
        <v/>
      </c>
      <c r="R574" s="192"/>
      <c r="S574" s="60"/>
      <c r="T574" s="205"/>
    </row>
    <row r="575" spans="1:20" s="8" customFormat="1" ht="13.5" customHeight="1" x14ac:dyDescent="0.25">
      <c r="A575" s="214" t="s">
        <v>298</v>
      </c>
      <c r="B575" s="7" t="s">
        <v>1531</v>
      </c>
      <c r="C575" s="190"/>
      <c r="D575" s="60"/>
      <c r="E575" s="60"/>
      <c r="F575" s="60"/>
      <c r="G575" s="200" t="str">
        <f t="shared" si="29"/>
        <v/>
      </c>
      <c r="H575" s="192"/>
      <c r="I575" s="60"/>
      <c r="J575" s="60"/>
      <c r="K575" s="60"/>
      <c r="L575" s="200" t="str">
        <f t="shared" si="30"/>
        <v/>
      </c>
      <c r="M575" s="192"/>
      <c r="N575" s="60"/>
      <c r="O575" s="60"/>
      <c r="P575" s="60"/>
      <c r="Q575" s="200" t="str">
        <f t="shared" si="31"/>
        <v/>
      </c>
      <c r="R575" s="192"/>
      <c r="S575" s="60"/>
      <c r="T575" s="205"/>
    </row>
    <row r="576" spans="1:20" s="8" customFormat="1" ht="13.5" customHeight="1" x14ac:dyDescent="0.25">
      <c r="A576" s="214" t="s">
        <v>298</v>
      </c>
      <c r="B576" s="7" t="s">
        <v>1533</v>
      </c>
      <c r="C576" s="190"/>
      <c r="D576" s="60"/>
      <c r="E576" s="60"/>
      <c r="F576" s="60"/>
      <c r="G576" s="200" t="str">
        <f t="shared" si="29"/>
        <v/>
      </c>
      <c r="H576" s="192"/>
      <c r="I576" s="60"/>
      <c r="J576" s="60"/>
      <c r="K576" s="60"/>
      <c r="L576" s="200" t="str">
        <f t="shared" si="30"/>
        <v/>
      </c>
      <c r="M576" s="192"/>
      <c r="N576" s="60"/>
      <c r="O576" s="60"/>
      <c r="P576" s="60"/>
      <c r="Q576" s="200" t="str">
        <f t="shared" si="31"/>
        <v/>
      </c>
      <c r="R576" s="192"/>
      <c r="S576" s="60"/>
      <c r="T576" s="205"/>
    </row>
    <row r="577" spans="1:20" s="8" customFormat="1" ht="13.5" customHeight="1" x14ac:dyDescent="0.25">
      <c r="A577" s="214" t="s">
        <v>298</v>
      </c>
      <c r="B577" s="7" t="s">
        <v>1535</v>
      </c>
      <c r="C577" s="190"/>
      <c r="D577" s="60"/>
      <c r="E577" s="60"/>
      <c r="F577" s="60"/>
      <c r="G577" s="200" t="str">
        <f t="shared" si="29"/>
        <v/>
      </c>
      <c r="H577" s="192"/>
      <c r="I577" s="60"/>
      <c r="J577" s="60"/>
      <c r="K577" s="60"/>
      <c r="L577" s="200" t="str">
        <f t="shared" si="30"/>
        <v/>
      </c>
      <c r="M577" s="192"/>
      <c r="N577" s="60"/>
      <c r="O577" s="60"/>
      <c r="P577" s="60"/>
      <c r="Q577" s="200" t="str">
        <f t="shared" si="31"/>
        <v/>
      </c>
      <c r="R577" s="192"/>
      <c r="S577" s="60"/>
      <c r="T577" s="205"/>
    </row>
    <row r="578" spans="1:20" s="8" customFormat="1" ht="13.5" customHeight="1" x14ac:dyDescent="0.25">
      <c r="A578" s="214" t="s">
        <v>298</v>
      </c>
      <c r="B578" s="7" t="s">
        <v>1537</v>
      </c>
      <c r="C578" s="190"/>
      <c r="D578" s="60"/>
      <c r="E578" s="60"/>
      <c r="F578" s="60"/>
      <c r="G578" s="200" t="str">
        <f t="shared" si="29"/>
        <v/>
      </c>
      <c r="H578" s="192"/>
      <c r="I578" s="60"/>
      <c r="J578" s="60"/>
      <c r="K578" s="60"/>
      <c r="L578" s="200" t="str">
        <f t="shared" si="30"/>
        <v/>
      </c>
      <c r="M578" s="192"/>
      <c r="N578" s="60"/>
      <c r="O578" s="60"/>
      <c r="P578" s="60"/>
      <c r="Q578" s="200" t="str">
        <f t="shared" si="31"/>
        <v/>
      </c>
      <c r="R578" s="192"/>
      <c r="S578" s="60"/>
      <c r="T578" s="205"/>
    </row>
    <row r="579" spans="1:20" s="8" customFormat="1" ht="13.5" customHeight="1" x14ac:dyDescent="0.25">
      <c r="A579" s="214" t="s">
        <v>298</v>
      </c>
      <c r="B579" s="7" t="s">
        <v>1539</v>
      </c>
      <c r="C579" s="190"/>
      <c r="D579" s="60"/>
      <c r="E579" s="60"/>
      <c r="F579" s="60"/>
      <c r="G579" s="200" t="str">
        <f t="shared" si="29"/>
        <v/>
      </c>
      <c r="H579" s="192"/>
      <c r="I579" s="60"/>
      <c r="J579" s="60"/>
      <c r="K579" s="60"/>
      <c r="L579" s="200" t="str">
        <f t="shared" si="30"/>
        <v/>
      </c>
      <c r="M579" s="192"/>
      <c r="N579" s="60"/>
      <c r="O579" s="60"/>
      <c r="P579" s="60"/>
      <c r="Q579" s="200" t="str">
        <f t="shared" si="31"/>
        <v/>
      </c>
      <c r="R579" s="192"/>
      <c r="S579" s="60"/>
      <c r="T579" s="205"/>
    </row>
    <row r="580" spans="1:20" s="8" customFormat="1" ht="13.5" customHeight="1" x14ac:dyDescent="0.25">
      <c r="A580" s="214" t="s">
        <v>298</v>
      </c>
      <c r="B580" s="18" t="s">
        <v>1541</v>
      </c>
      <c r="C580" s="190"/>
      <c r="D580" s="60"/>
      <c r="E580" s="60"/>
      <c r="F580" s="60"/>
      <c r="G580" s="200" t="str">
        <f t="shared" si="29"/>
        <v/>
      </c>
      <c r="H580" s="192"/>
      <c r="I580" s="60"/>
      <c r="J580" s="60"/>
      <c r="K580" s="60"/>
      <c r="L580" s="200" t="str">
        <f t="shared" si="30"/>
        <v/>
      </c>
      <c r="M580" s="192"/>
      <c r="N580" s="60"/>
      <c r="O580" s="60"/>
      <c r="P580" s="60"/>
      <c r="Q580" s="200" t="str">
        <f t="shared" si="31"/>
        <v/>
      </c>
      <c r="R580" s="192"/>
      <c r="S580" s="60"/>
      <c r="T580" s="205"/>
    </row>
    <row r="581" spans="1:20" s="8" customFormat="1" ht="13.5" customHeight="1" x14ac:dyDescent="0.25">
      <c r="A581" s="214" t="s">
        <v>298</v>
      </c>
      <c r="B581" s="18" t="s">
        <v>1543</v>
      </c>
      <c r="C581" s="190"/>
      <c r="D581" s="60"/>
      <c r="E581" s="60"/>
      <c r="F581" s="60"/>
      <c r="G581" s="200" t="str">
        <f t="shared" si="29"/>
        <v/>
      </c>
      <c r="H581" s="192"/>
      <c r="I581" s="60"/>
      <c r="J581" s="60"/>
      <c r="K581" s="60"/>
      <c r="L581" s="200" t="str">
        <f t="shared" si="30"/>
        <v/>
      </c>
      <c r="M581" s="192"/>
      <c r="N581" s="60"/>
      <c r="O581" s="60"/>
      <c r="P581" s="60"/>
      <c r="Q581" s="200" t="str">
        <f t="shared" si="31"/>
        <v/>
      </c>
      <c r="R581" s="192"/>
      <c r="S581" s="60"/>
      <c r="T581" s="205"/>
    </row>
    <row r="582" spans="1:20" s="8" customFormat="1" ht="13.5" customHeight="1" x14ac:dyDescent="0.25">
      <c r="A582" s="214" t="s">
        <v>298</v>
      </c>
      <c r="B582" s="7" t="s">
        <v>274</v>
      </c>
      <c r="C582" s="190" t="s">
        <v>310</v>
      </c>
      <c r="D582" s="191">
        <v>1</v>
      </c>
      <c r="E582" s="191"/>
      <c r="F582" s="191"/>
      <c r="G582" s="200" t="str">
        <f t="shared" si="29"/>
        <v/>
      </c>
      <c r="H582" s="190"/>
      <c r="I582" s="191"/>
      <c r="J582" s="191"/>
      <c r="K582" s="191"/>
      <c r="L582" s="200" t="str">
        <f t="shared" si="30"/>
        <v/>
      </c>
      <c r="M582" s="190"/>
      <c r="N582" s="191"/>
      <c r="O582" s="191"/>
      <c r="P582" s="191"/>
      <c r="Q582" s="200" t="str">
        <f t="shared" si="31"/>
        <v/>
      </c>
      <c r="R582" s="190">
        <v>35</v>
      </c>
      <c r="S582" s="191">
        <v>30</v>
      </c>
      <c r="T582" s="200"/>
    </row>
    <row r="583" spans="1:20" s="8" customFormat="1" ht="13.5" customHeight="1" x14ac:dyDescent="0.25">
      <c r="A583" s="214" t="s">
        <v>298</v>
      </c>
      <c r="B583" s="172" t="s">
        <v>1545</v>
      </c>
      <c r="C583" s="190"/>
      <c r="D583" s="60"/>
      <c r="E583" s="60"/>
      <c r="F583" s="60"/>
      <c r="G583" s="200" t="str">
        <f t="shared" ref="G583:G647" si="32">IF(F583=1,"New","")</f>
        <v/>
      </c>
      <c r="H583" s="192"/>
      <c r="I583" s="60"/>
      <c r="J583" s="60"/>
      <c r="K583" s="60"/>
      <c r="L583" s="200" t="str">
        <f t="shared" si="30"/>
        <v/>
      </c>
      <c r="M583" s="192"/>
      <c r="N583" s="60"/>
      <c r="O583" s="60"/>
      <c r="P583" s="60"/>
      <c r="Q583" s="200" t="str">
        <f t="shared" si="31"/>
        <v/>
      </c>
      <c r="R583" s="192"/>
      <c r="S583" s="60"/>
      <c r="T583" s="205"/>
    </row>
    <row r="584" spans="1:20" s="8" customFormat="1" ht="13.5" customHeight="1" x14ac:dyDescent="0.25">
      <c r="A584" s="214" t="s">
        <v>298</v>
      </c>
      <c r="B584" s="172" t="s">
        <v>1548</v>
      </c>
      <c r="C584" s="190"/>
      <c r="D584" s="60"/>
      <c r="E584" s="60"/>
      <c r="F584" s="60"/>
      <c r="G584" s="200" t="str">
        <f t="shared" si="32"/>
        <v/>
      </c>
      <c r="H584" s="192"/>
      <c r="I584" s="60"/>
      <c r="J584" s="60"/>
      <c r="K584" s="60"/>
      <c r="L584" s="200" t="str">
        <f t="shared" ref="L584:L648" si="33">IF(K584=1,"New","")</f>
        <v/>
      </c>
      <c r="M584" s="192"/>
      <c r="N584" s="60"/>
      <c r="O584" s="60"/>
      <c r="P584" s="60"/>
      <c r="Q584" s="200" t="str">
        <f t="shared" ref="Q584:Q648" si="34">IF(P584=1,"New","")</f>
        <v/>
      </c>
      <c r="R584" s="192"/>
      <c r="S584" s="60"/>
      <c r="T584" s="205"/>
    </row>
    <row r="585" spans="1:20" s="8" customFormat="1" ht="13.5" customHeight="1" x14ac:dyDescent="0.25">
      <c r="A585" s="214" t="s">
        <v>298</v>
      </c>
      <c r="B585" s="172" t="s">
        <v>1550</v>
      </c>
      <c r="C585" s="190"/>
      <c r="D585" s="60"/>
      <c r="E585" s="60"/>
      <c r="F585" s="60"/>
      <c r="G585" s="200" t="str">
        <f t="shared" si="32"/>
        <v/>
      </c>
      <c r="H585" s="192"/>
      <c r="I585" s="60"/>
      <c r="J585" s="60"/>
      <c r="K585" s="60"/>
      <c r="L585" s="200" t="str">
        <f t="shared" si="33"/>
        <v/>
      </c>
      <c r="M585" s="192"/>
      <c r="N585" s="60"/>
      <c r="O585" s="60"/>
      <c r="P585" s="60"/>
      <c r="Q585" s="200" t="str">
        <f t="shared" si="34"/>
        <v/>
      </c>
      <c r="R585" s="192"/>
      <c r="S585" s="60"/>
      <c r="T585" s="205"/>
    </row>
    <row r="586" spans="1:20" s="8" customFormat="1" ht="13.5" customHeight="1" x14ac:dyDescent="0.25">
      <c r="A586" s="214" t="s">
        <v>298</v>
      </c>
      <c r="B586" s="7" t="s">
        <v>1552</v>
      </c>
      <c r="C586" s="190"/>
      <c r="D586" s="60"/>
      <c r="E586" s="60"/>
      <c r="F586" s="60"/>
      <c r="G586" s="200" t="str">
        <f t="shared" si="32"/>
        <v/>
      </c>
      <c r="H586" s="192"/>
      <c r="I586" s="60"/>
      <c r="J586" s="60"/>
      <c r="K586" s="60"/>
      <c r="L586" s="200" t="str">
        <f t="shared" si="33"/>
        <v/>
      </c>
      <c r="M586" s="192"/>
      <c r="N586" s="60"/>
      <c r="O586" s="60"/>
      <c r="P586" s="60"/>
      <c r="Q586" s="200" t="str">
        <f t="shared" si="34"/>
        <v/>
      </c>
      <c r="R586" s="192"/>
      <c r="S586" s="60"/>
      <c r="T586" s="205"/>
    </row>
    <row r="587" spans="1:20" s="8" customFormat="1" ht="13.5" customHeight="1" x14ac:dyDescent="0.25">
      <c r="A587" s="214" t="s">
        <v>298</v>
      </c>
      <c r="B587" s="7" t="s">
        <v>1555</v>
      </c>
      <c r="C587" s="190"/>
      <c r="D587" s="60"/>
      <c r="E587" s="60"/>
      <c r="F587" s="60"/>
      <c r="G587" s="200" t="str">
        <f t="shared" si="32"/>
        <v/>
      </c>
      <c r="H587" s="192"/>
      <c r="I587" s="60"/>
      <c r="J587" s="60"/>
      <c r="K587" s="60"/>
      <c r="L587" s="200" t="str">
        <f t="shared" si="33"/>
        <v/>
      </c>
      <c r="M587" s="192"/>
      <c r="N587" s="60"/>
      <c r="O587" s="60"/>
      <c r="P587" s="60"/>
      <c r="Q587" s="200" t="str">
        <f t="shared" si="34"/>
        <v/>
      </c>
      <c r="R587" s="192"/>
      <c r="S587" s="60"/>
      <c r="T587" s="205"/>
    </row>
    <row r="588" spans="1:20" s="8" customFormat="1" ht="13.5" customHeight="1" x14ac:dyDescent="0.25">
      <c r="A588" s="214" t="s">
        <v>298</v>
      </c>
      <c r="B588" s="7" t="s">
        <v>1558</v>
      </c>
      <c r="C588" s="190"/>
      <c r="D588" s="60"/>
      <c r="E588" s="60"/>
      <c r="F588" s="60"/>
      <c r="G588" s="200" t="str">
        <f t="shared" si="32"/>
        <v/>
      </c>
      <c r="H588" s="192"/>
      <c r="I588" s="60"/>
      <c r="J588" s="60"/>
      <c r="K588" s="60"/>
      <c r="L588" s="200" t="str">
        <f t="shared" si="33"/>
        <v/>
      </c>
      <c r="M588" s="192"/>
      <c r="N588" s="60"/>
      <c r="O588" s="60"/>
      <c r="P588" s="60"/>
      <c r="Q588" s="200" t="str">
        <f t="shared" si="34"/>
        <v/>
      </c>
      <c r="R588" s="192"/>
      <c r="S588" s="60"/>
      <c r="T588" s="205"/>
    </row>
    <row r="589" spans="1:20" s="8" customFormat="1" ht="13.5" customHeight="1" x14ac:dyDescent="0.25">
      <c r="A589" s="214" t="s">
        <v>298</v>
      </c>
      <c r="B589" s="7" t="s">
        <v>1561</v>
      </c>
      <c r="C589" s="190"/>
      <c r="D589" s="60"/>
      <c r="E589" s="60"/>
      <c r="F589" s="60"/>
      <c r="G589" s="200" t="str">
        <f t="shared" si="32"/>
        <v/>
      </c>
      <c r="H589" s="192"/>
      <c r="I589" s="60"/>
      <c r="J589" s="60"/>
      <c r="K589" s="60"/>
      <c r="L589" s="200" t="str">
        <f t="shared" si="33"/>
        <v/>
      </c>
      <c r="M589" s="192"/>
      <c r="N589" s="60"/>
      <c r="O589" s="60"/>
      <c r="P589" s="60"/>
      <c r="Q589" s="200" t="str">
        <f t="shared" si="34"/>
        <v/>
      </c>
      <c r="R589" s="192"/>
      <c r="S589" s="60"/>
      <c r="T589" s="205"/>
    </row>
    <row r="590" spans="1:20" s="8" customFormat="1" ht="13.5" customHeight="1" x14ac:dyDescent="0.25">
      <c r="A590" s="214" t="s">
        <v>298</v>
      </c>
      <c r="B590" s="7" t="s">
        <v>1564</v>
      </c>
      <c r="C590" s="190"/>
      <c r="D590" s="60"/>
      <c r="E590" s="60"/>
      <c r="F590" s="60"/>
      <c r="G590" s="200" t="str">
        <f t="shared" si="32"/>
        <v/>
      </c>
      <c r="H590" s="192"/>
      <c r="I590" s="60"/>
      <c r="J590" s="60"/>
      <c r="K590" s="60"/>
      <c r="L590" s="200" t="str">
        <f t="shared" si="33"/>
        <v/>
      </c>
      <c r="M590" s="192"/>
      <c r="N590" s="60"/>
      <c r="O590" s="60"/>
      <c r="P590" s="60"/>
      <c r="Q590" s="200" t="str">
        <f t="shared" si="34"/>
        <v/>
      </c>
      <c r="R590" s="192"/>
      <c r="S590" s="60"/>
      <c r="T590" s="205"/>
    </row>
    <row r="591" spans="1:20" s="8" customFormat="1" ht="13.5" customHeight="1" x14ac:dyDescent="0.25">
      <c r="A591" s="214" t="s">
        <v>298</v>
      </c>
      <c r="B591" s="7" t="s">
        <v>1566</v>
      </c>
      <c r="C591" s="190"/>
      <c r="D591" s="60"/>
      <c r="E591" s="60"/>
      <c r="F591" s="60"/>
      <c r="G591" s="200" t="str">
        <f t="shared" si="32"/>
        <v/>
      </c>
      <c r="H591" s="192"/>
      <c r="I591" s="60"/>
      <c r="J591" s="60"/>
      <c r="K591" s="60"/>
      <c r="L591" s="200" t="str">
        <f t="shared" si="33"/>
        <v/>
      </c>
      <c r="M591" s="192"/>
      <c r="N591" s="60"/>
      <c r="O591" s="60"/>
      <c r="P591" s="60"/>
      <c r="Q591" s="200" t="str">
        <f t="shared" si="34"/>
        <v/>
      </c>
      <c r="R591" s="192"/>
      <c r="S591" s="60"/>
      <c r="T591" s="205"/>
    </row>
    <row r="592" spans="1:20" s="8" customFormat="1" ht="13.5" customHeight="1" x14ac:dyDescent="0.25">
      <c r="A592" s="214" t="s">
        <v>298</v>
      </c>
      <c r="B592" s="7" t="s">
        <v>1568</v>
      </c>
      <c r="C592" s="190"/>
      <c r="D592" s="60"/>
      <c r="E592" s="60"/>
      <c r="F592" s="60"/>
      <c r="G592" s="200" t="str">
        <f t="shared" si="32"/>
        <v/>
      </c>
      <c r="H592" s="192"/>
      <c r="I592" s="60"/>
      <c r="J592" s="60"/>
      <c r="K592" s="60"/>
      <c r="L592" s="200" t="str">
        <f t="shared" si="33"/>
        <v/>
      </c>
      <c r="M592" s="192"/>
      <c r="N592" s="60"/>
      <c r="O592" s="60"/>
      <c r="P592" s="60"/>
      <c r="Q592" s="200" t="str">
        <f t="shared" si="34"/>
        <v/>
      </c>
      <c r="R592" s="192"/>
      <c r="S592" s="60"/>
      <c r="T592" s="205"/>
    </row>
    <row r="593" spans="1:20" s="8" customFormat="1" ht="13.5" customHeight="1" x14ac:dyDescent="0.25">
      <c r="A593" s="214" t="s">
        <v>298</v>
      </c>
      <c r="B593" s="7" t="s">
        <v>1570</v>
      </c>
      <c r="C593" s="190"/>
      <c r="D593" s="60"/>
      <c r="E593" s="60"/>
      <c r="F593" s="60"/>
      <c r="G593" s="200" t="str">
        <f t="shared" si="32"/>
        <v/>
      </c>
      <c r="H593" s="192"/>
      <c r="I593" s="60"/>
      <c r="J593" s="60"/>
      <c r="K593" s="60"/>
      <c r="L593" s="200" t="str">
        <f t="shared" si="33"/>
        <v/>
      </c>
      <c r="M593" s="192"/>
      <c r="N593" s="60"/>
      <c r="O593" s="60"/>
      <c r="P593" s="60"/>
      <c r="Q593" s="200" t="str">
        <f t="shared" si="34"/>
        <v/>
      </c>
      <c r="R593" s="192"/>
      <c r="S593" s="60"/>
      <c r="T593" s="205"/>
    </row>
    <row r="594" spans="1:20" s="8" customFormat="1" ht="13.5" customHeight="1" x14ac:dyDescent="0.25">
      <c r="A594" s="214" t="s">
        <v>298</v>
      </c>
      <c r="B594" s="7" t="s">
        <v>1572</v>
      </c>
      <c r="C594" s="190"/>
      <c r="D594" s="60"/>
      <c r="E594" s="60"/>
      <c r="F594" s="60"/>
      <c r="G594" s="200" t="str">
        <f t="shared" si="32"/>
        <v/>
      </c>
      <c r="H594" s="192"/>
      <c r="I594" s="60"/>
      <c r="J594" s="60"/>
      <c r="K594" s="60"/>
      <c r="L594" s="200" t="str">
        <f t="shared" si="33"/>
        <v/>
      </c>
      <c r="M594" s="192"/>
      <c r="N594" s="60"/>
      <c r="O594" s="60"/>
      <c r="P594" s="60"/>
      <c r="Q594" s="200" t="str">
        <f t="shared" si="34"/>
        <v/>
      </c>
      <c r="R594" s="192"/>
      <c r="S594" s="60"/>
      <c r="T594" s="205"/>
    </row>
    <row r="595" spans="1:20" s="8" customFormat="1" ht="13.5" customHeight="1" x14ac:dyDescent="0.25">
      <c r="A595" s="214" t="s">
        <v>298</v>
      </c>
      <c r="B595" s="7" t="s">
        <v>1574</v>
      </c>
      <c r="C595" s="190"/>
      <c r="D595" s="60"/>
      <c r="E595" s="60"/>
      <c r="F595" s="60"/>
      <c r="G595" s="200" t="str">
        <f t="shared" si="32"/>
        <v/>
      </c>
      <c r="H595" s="192"/>
      <c r="I595" s="60"/>
      <c r="J595" s="60"/>
      <c r="K595" s="60"/>
      <c r="L595" s="200" t="str">
        <f t="shared" si="33"/>
        <v/>
      </c>
      <c r="M595" s="192"/>
      <c r="N595" s="60"/>
      <c r="O595" s="60"/>
      <c r="P595" s="60"/>
      <c r="Q595" s="200" t="str">
        <f t="shared" si="34"/>
        <v/>
      </c>
      <c r="R595" s="192"/>
      <c r="S595" s="60"/>
      <c r="T595" s="205"/>
    </row>
    <row r="596" spans="1:20" s="8" customFormat="1" ht="13.5" customHeight="1" x14ac:dyDescent="0.25">
      <c r="A596" s="214" t="s">
        <v>298</v>
      </c>
      <c r="B596" s="7" t="s">
        <v>1576</v>
      </c>
      <c r="C596" s="190"/>
      <c r="D596" s="60"/>
      <c r="E596" s="60"/>
      <c r="F596" s="60"/>
      <c r="G596" s="200" t="str">
        <f t="shared" si="32"/>
        <v/>
      </c>
      <c r="H596" s="192"/>
      <c r="I596" s="60"/>
      <c r="J596" s="60"/>
      <c r="K596" s="60"/>
      <c r="L596" s="200" t="str">
        <f t="shared" si="33"/>
        <v/>
      </c>
      <c r="M596" s="192"/>
      <c r="N596" s="60"/>
      <c r="O596" s="60"/>
      <c r="P596" s="60"/>
      <c r="Q596" s="200" t="str">
        <f t="shared" si="34"/>
        <v/>
      </c>
      <c r="R596" s="192"/>
      <c r="S596" s="60"/>
      <c r="T596" s="205"/>
    </row>
    <row r="597" spans="1:20" s="8" customFormat="1" ht="13.5" customHeight="1" x14ac:dyDescent="0.25">
      <c r="A597" s="214" t="s">
        <v>298</v>
      </c>
      <c r="B597" s="7" t="s">
        <v>1578</v>
      </c>
      <c r="C597" s="190"/>
      <c r="D597" s="60"/>
      <c r="E597" s="60"/>
      <c r="F597" s="60"/>
      <c r="G597" s="200" t="str">
        <f t="shared" si="32"/>
        <v/>
      </c>
      <c r="H597" s="192"/>
      <c r="I597" s="60"/>
      <c r="J597" s="60"/>
      <c r="K597" s="60"/>
      <c r="L597" s="200" t="str">
        <f t="shared" si="33"/>
        <v/>
      </c>
      <c r="M597" s="192"/>
      <c r="N597" s="60"/>
      <c r="O597" s="60"/>
      <c r="P597" s="60"/>
      <c r="Q597" s="200" t="str">
        <f t="shared" si="34"/>
        <v/>
      </c>
      <c r="R597" s="192"/>
      <c r="S597" s="60"/>
      <c r="T597" s="205"/>
    </row>
    <row r="598" spans="1:20" s="8" customFormat="1" ht="13.5" customHeight="1" x14ac:dyDescent="0.25">
      <c r="A598" s="214" t="s">
        <v>298</v>
      </c>
      <c r="B598" s="7" t="s">
        <v>1580</v>
      </c>
      <c r="C598" s="190"/>
      <c r="D598" s="60"/>
      <c r="E598" s="60"/>
      <c r="F598" s="60"/>
      <c r="G598" s="200" t="str">
        <f t="shared" si="32"/>
        <v/>
      </c>
      <c r="H598" s="192"/>
      <c r="I598" s="60"/>
      <c r="J598" s="60"/>
      <c r="K598" s="60"/>
      <c r="L598" s="200" t="str">
        <f t="shared" si="33"/>
        <v/>
      </c>
      <c r="M598" s="192"/>
      <c r="N598" s="60"/>
      <c r="O598" s="60"/>
      <c r="P598" s="60"/>
      <c r="Q598" s="200" t="str">
        <f t="shared" si="34"/>
        <v/>
      </c>
      <c r="R598" s="192"/>
      <c r="S598" s="60"/>
      <c r="T598" s="205"/>
    </row>
    <row r="599" spans="1:20" s="8" customFormat="1" ht="13.5" customHeight="1" x14ac:dyDescent="0.25">
      <c r="A599" s="214" t="s">
        <v>298</v>
      </c>
      <c r="B599" s="7" t="s">
        <v>1582</v>
      </c>
      <c r="C599" s="190"/>
      <c r="D599" s="60"/>
      <c r="E599" s="60"/>
      <c r="F599" s="60"/>
      <c r="G599" s="200" t="str">
        <f t="shared" si="32"/>
        <v/>
      </c>
      <c r="H599" s="192"/>
      <c r="I599" s="60"/>
      <c r="J599" s="60"/>
      <c r="K599" s="60"/>
      <c r="L599" s="200" t="str">
        <f t="shared" si="33"/>
        <v/>
      </c>
      <c r="M599" s="192"/>
      <c r="N599" s="60"/>
      <c r="O599" s="60"/>
      <c r="P599" s="60"/>
      <c r="Q599" s="200" t="str">
        <f t="shared" si="34"/>
        <v/>
      </c>
      <c r="R599" s="192"/>
      <c r="S599" s="60"/>
      <c r="T599" s="205"/>
    </row>
    <row r="600" spans="1:20" s="8" customFormat="1" ht="13.5" customHeight="1" x14ac:dyDescent="0.25">
      <c r="A600" s="214" t="s">
        <v>298</v>
      </c>
      <c r="B600" s="7" t="s">
        <v>1584</v>
      </c>
      <c r="C600" s="190"/>
      <c r="D600" s="60"/>
      <c r="E600" s="60"/>
      <c r="F600" s="60"/>
      <c r="G600" s="200" t="str">
        <f t="shared" si="32"/>
        <v/>
      </c>
      <c r="H600" s="192"/>
      <c r="I600" s="60"/>
      <c r="J600" s="60"/>
      <c r="K600" s="60"/>
      <c r="L600" s="200" t="str">
        <f t="shared" si="33"/>
        <v/>
      </c>
      <c r="M600" s="192"/>
      <c r="N600" s="60"/>
      <c r="O600" s="60"/>
      <c r="P600" s="60"/>
      <c r="Q600" s="200" t="str">
        <f t="shared" si="34"/>
        <v/>
      </c>
      <c r="R600" s="192"/>
      <c r="S600" s="60"/>
      <c r="T600" s="205"/>
    </row>
    <row r="601" spans="1:20" s="8" customFormat="1" ht="13.5" customHeight="1" x14ac:dyDescent="0.25">
      <c r="A601" s="214" t="s">
        <v>298</v>
      </c>
      <c r="B601" s="7" t="s">
        <v>1587</v>
      </c>
      <c r="C601" s="190"/>
      <c r="D601" s="60"/>
      <c r="E601" s="60"/>
      <c r="F601" s="60"/>
      <c r="G601" s="200" t="str">
        <f t="shared" si="32"/>
        <v/>
      </c>
      <c r="H601" s="192"/>
      <c r="I601" s="60"/>
      <c r="J601" s="60"/>
      <c r="K601" s="60"/>
      <c r="L601" s="200" t="str">
        <f t="shared" si="33"/>
        <v/>
      </c>
      <c r="M601" s="192"/>
      <c r="N601" s="60"/>
      <c r="O601" s="60"/>
      <c r="P601" s="60"/>
      <c r="Q601" s="200" t="str">
        <f t="shared" si="34"/>
        <v/>
      </c>
      <c r="R601" s="192"/>
      <c r="S601" s="60"/>
      <c r="T601" s="205"/>
    </row>
    <row r="602" spans="1:20" s="8" customFormat="1" ht="13.5" customHeight="1" x14ac:dyDescent="0.25">
      <c r="A602" s="214" t="s">
        <v>298</v>
      </c>
      <c r="B602" s="7" t="s">
        <v>1590</v>
      </c>
      <c r="C602" s="190"/>
      <c r="D602" s="60"/>
      <c r="E602" s="60"/>
      <c r="F602" s="60"/>
      <c r="G602" s="200" t="str">
        <f t="shared" si="32"/>
        <v/>
      </c>
      <c r="H602" s="192"/>
      <c r="I602" s="60"/>
      <c r="J602" s="60"/>
      <c r="K602" s="60"/>
      <c r="L602" s="200" t="str">
        <f t="shared" si="33"/>
        <v/>
      </c>
      <c r="M602" s="192"/>
      <c r="N602" s="60"/>
      <c r="O602" s="60"/>
      <c r="P602" s="60"/>
      <c r="Q602" s="200" t="str">
        <f t="shared" si="34"/>
        <v/>
      </c>
      <c r="R602" s="192"/>
      <c r="S602" s="60"/>
      <c r="T602" s="205"/>
    </row>
    <row r="603" spans="1:20" s="8" customFormat="1" ht="13.5" customHeight="1" x14ac:dyDescent="0.25">
      <c r="A603" s="214" t="s">
        <v>298</v>
      </c>
      <c r="B603" s="7" t="s">
        <v>1592</v>
      </c>
      <c r="C603" s="190"/>
      <c r="D603" s="60"/>
      <c r="E603" s="60"/>
      <c r="F603" s="60"/>
      <c r="G603" s="200" t="str">
        <f t="shared" si="32"/>
        <v/>
      </c>
      <c r="H603" s="192"/>
      <c r="I603" s="60"/>
      <c r="J603" s="60"/>
      <c r="K603" s="60"/>
      <c r="L603" s="200" t="str">
        <f t="shared" si="33"/>
        <v/>
      </c>
      <c r="M603" s="192"/>
      <c r="N603" s="60"/>
      <c r="O603" s="60"/>
      <c r="P603" s="60"/>
      <c r="Q603" s="200" t="str">
        <f t="shared" si="34"/>
        <v/>
      </c>
      <c r="R603" s="192"/>
      <c r="S603" s="60"/>
      <c r="T603" s="205"/>
    </row>
    <row r="604" spans="1:20" s="8" customFormat="1" ht="13.5" customHeight="1" x14ac:dyDescent="0.25">
      <c r="A604" s="214" t="s">
        <v>298</v>
      </c>
      <c r="B604" s="7" t="s">
        <v>1595</v>
      </c>
      <c r="C604" s="190"/>
      <c r="D604" s="60"/>
      <c r="E604" s="60"/>
      <c r="F604" s="60"/>
      <c r="G604" s="200" t="str">
        <f t="shared" si="32"/>
        <v/>
      </c>
      <c r="H604" s="192"/>
      <c r="I604" s="60"/>
      <c r="J604" s="60"/>
      <c r="K604" s="60"/>
      <c r="L604" s="200" t="str">
        <f t="shared" si="33"/>
        <v/>
      </c>
      <c r="M604" s="192"/>
      <c r="N604" s="60"/>
      <c r="O604" s="60"/>
      <c r="P604" s="60"/>
      <c r="Q604" s="200" t="str">
        <f t="shared" si="34"/>
        <v/>
      </c>
      <c r="R604" s="192"/>
      <c r="S604" s="60"/>
      <c r="T604" s="205"/>
    </row>
    <row r="605" spans="1:20" s="8" customFormat="1" ht="13.5" customHeight="1" x14ac:dyDescent="0.25">
      <c r="A605" s="214" t="s">
        <v>298</v>
      </c>
      <c r="B605" s="7" t="s">
        <v>1597</v>
      </c>
      <c r="C605" s="190"/>
      <c r="D605" s="60"/>
      <c r="E605" s="60"/>
      <c r="F605" s="60"/>
      <c r="G605" s="200" t="str">
        <f t="shared" si="32"/>
        <v/>
      </c>
      <c r="H605" s="192"/>
      <c r="I605" s="60"/>
      <c r="J605" s="60"/>
      <c r="K605" s="60"/>
      <c r="L605" s="200" t="str">
        <f t="shared" si="33"/>
        <v/>
      </c>
      <c r="M605" s="192"/>
      <c r="N605" s="60"/>
      <c r="O605" s="60"/>
      <c r="P605" s="60"/>
      <c r="Q605" s="200" t="str">
        <f t="shared" si="34"/>
        <v/>
      </c>
      <c r="R605" s="192"/>
      <c r="S605" s="60"/>
      <c r="T605" s="205"/>
    </row>
    <row r="606" spans="1:20" s="8" customFormat="1" ht="13.5" customHeight="1" x14ac:dyDescent="0.25">
      <c r="A606" s="214" t="s">
        <v>298</v>
      </c>
      <c r="B606" s="7" t="s">
        <v>1827</v>
      </c>
      <c r="C606" s="190"/>
      <c r="D606" s="60"/>
      <c r="E606" s="60"/>
      <c r="F606" s="60"/>
      <c r="G606" s="200" t="str">
        <f t="shared" ref="G606" si="35">IF(F606=1,"New","")</f>
        <v/>
      </c>
      <c r="H606" s="192"/>
      <c r="I606" s="60"/>
      <c r="J606" s="60"/>
      <c r="K606" s="60"/>
      <c r="L606" s="200" t="str">
        <f t="shared" ref="L606" si="36">IF(K606=1,"New","")</f>
        <v/>
      </c>
      <c r="M606" s="192" t="s">
        <v>310</v>
      </c>
      <c r="N606" s="60">
        <v>1</v>
      </c>
      <c r="O606" s="60"/>
      <c r="P606" s="60"/>
      <c r="Q606" s="200" t="str">
        <f t="shared" si="34"/>
        <v/>
      </c>
      <c r="R606" s="192"/>
      <c r="S606" s="60"/>
      <c r="T606" s="205"/>
    </row>
    <row r="607" spans="1:20" s="8" customFormat="1" ht="13.5" customHeight="1" x14ac:dyDescent="0.25">
      <c r="A607" s="214" t="s">
        <v>298</v>
      </c>
      <c r="B607" s="7" t="s">
        <v>1599</v>
      </c>
      <c r="C607" s="190"/>
      <c r="D607" s="60"/>
      <c r="E607" s="60"/>
      <c r="F607" s="60"/>
      <c r="G607" s="200" t="str">
        <f t="shared" si="32"/>
        <v/>
      </c>
      <c r="H607" s="192"/>
      <c r="I607" s="60"/>
      <c r="J607" s="60"/>
      <c r="K607" s="60"/>
      <c r="L607" s="200" t="str">
        <f t="shared" si="33"/>
        <v/>
      </c>
      <c r="M607" s="192"/>
      <c r="N607" s="60"/>
      <c r="O607" s="60"/>
      <c r="P607" s="60"/>
      <c r="Q607" s="200" t="str">
        <f t="shared" si="34"/>
        <v/>
      </c>
      <c r="R607" s="192"/>
      <c r="S607" s="60"/>
      <c r="T607" s="205"/>
    </row>
    <row r="608" spans="1:20" s="8" customFormat="1" ht="13.5" customHeight="1" x14ac:dyDescent="0.25">
      <c r="A608" s="214" t="s">
        <v>298</v>
      </c>
      <c r="B608" s="7" t="s">
        <v>1602</v>
      </c>
      <c r="C608" s="190"/>
      <c r="D608" s="60"/>
      <c r="E608" s="60"/>
      <c r="F608" s="60"/>
      <c r="G608" s="200" t="str">
        <f t="shared" si="32"/>
        <v/>
      </c>
      <c r="H608" s="192"/>
      <c r="I608" s="60"/>
      <c r="J608" s="60"/>
      <c r="K608" s="60"/>
      <c r="L608" s="200" t="str">
        <f t="shared" si="33"/>
        <v/>
      </c>
      <c r="M608" s="192"/>
      <c r="N608" s="60"/>
      <c r="O608" s="60"/>
      <c r="P608" s="60"/>
      <c r="Q608" s="200" t="str">
        <f t="shared" si="34"/>
        <v/>
      </c>
      <c r="R608" s="192"/>
      <c r="S608" s="60"/>
      <c r="T608" s="205"/>
    </row>
    <row r="609" spans="1:20" s="8" customFormat="1" ht="13.5" customHeight="1" x14ac:dyDescent="0.25">
      <c r="A609" s="214" t="s">
        <v>298</v>
      </c>
      <c r="B609" s="7" t="s">
        <v>1605</v>
      </c>
      <c r="C609" s="190"/>
      <c r="D609" s="60"/>
      <c r="E609" s="60"/>
      <c r="F609" s="60"/>
      <c r="G609" s="200" t="str">
        <f t="shared" si="32"/>
        <v/>
      </c>
      <c r="H609" s="192"/>
      <c r="I609" s="60"/>
      <c r="J609" s="60"/>
      <c r="K609" s="60"/>
      <c r="L609" s="200" t="str">
        <f t="shared" si="33"/>
        <v/>
      </c>
      <c r="M609" s="192"/>
      <c r="N609" s="60"/>
      <c r="O609" s="60"/>
      <c r="P609" s="60"/>
      <c r="Q609" s="200" t="str">
        <f t="shared" si="34"/>
        <v/>
      </c>
      <c r="R609" s="192"/>
      <c r="S609" s="60"/>
      <c r="T609" s="205"/>
    </row>
    <row r="610" spans="1:20" s="8" customFormat="1" ht="13.5" customHeight="1" x14ac:dyDescent="0.25">
      <c r="A610" s="214" t="s">
        <v>298</v>
      </c>
      <c r="B610" s="7" t="s">
        <v>225</v>
      </c>
      <c r="C610" s="190" t="s">
        <v>310</v>
      </c>
      <c r="D610" s="191">
        <v>2</v>
      </c>
      <c r="E610" s="191">
        <v>1</v>
      </c>
      <c r="F610" s="191"/>
      <c r="G610" s="200" t="str">
        <f t="shared" si="32"/>
        <v/>
      </c>
      <c r="H610" s="190"/>
      <c r="I610" s="191"/>
      <c r="J610" s="191"/>
      <c r="K610" s="191"/>
      <c r="L610" s="200" t="str">
        <f t="shared" si="33"/>
        <v/>
      </c>
      <c r="M610" s="190"/>
      <c r="N610" s="191"/>
      <c r="O610" s="191"/>
      <c r="P610" s="191"/>
      <c r="Q610" s="200" t="str">
        <f t="shared" si="34"/>
        <v/>
      </c>
      <c r="R610" s="190">
        <v>55</v>
      </c>
      <c r="S610" s="191">
        <v>75</v>
      </c>
      <c r="T610" s="200"/>
    </row>
    <row r="611" spans="1:20" s="8" customFormat="1" ht="13.5" customHeight="1" x14ac:dyDescent="0.25">
      <c r="A611" s="214" t="s">
        <v>298</v>
      </c>
      <c r="B611" s="7" t="s">
        <v>1607</v>
      </c>
      <c r="C611" s="190"/>
      <c r="D611" s="60"/>
      <c r="E611" s="60"/>
      <c r="F611" s="60"/>
      <c r="G611" s="200" t="str">
        <f t="shared" si="32"/>
        <v/>
      </c>
      <c r="H611" s="192"/>
      <c r="I611" s="60"/>
      <c r="J611" s="60"/>
      <c r="K611" s="60"/>
      <c r="L611" s="200" t="str">
        <f t="shared" si="33"/>
        <v/>
      </c>
      <c r="M611" s="192"/>
      <c r="N611" s="60"/>
      <c r="O611" s="60"/>
      <c r="P611" s="60"/>
      <c r="Q611" s="200" t="str">
        <f t="shared" si="34"/>
        <v/>
      </c>
      <c r="R611" s="192"/>
      <c r="S611" s="60"/>
      <c r="T611" s="205"/>
    </row>
    <row r="612" spans="1:20" s="8" customFormat="1" ht="13.5" customHeight="1" x14ac:dyDescent="0.25">
      <c r="A612" s="214" t="s">
        <v>298</v>
      </c>
      <c r="B612" s="7" t="s">
        <v>1610</v>
      </c>
      <c r="C612" s="190"/>
      <c r="D612" s="60"/>
      <c r="E612" s="60"/>
      <c r="F612" s="60"/>
      <c r="G612" s="200" t="str">
        <f t="shared" si="32"/>
        <v/>
      </c>
      <c r="H612" s="192"/>
      <c r="I612" s="60"/>
      <c r="J612" s="60"/>
      <c r="K612" s="60"/>
      <c r="L612" s="200" t="str">
        <f t="shared" si="33"/>
        <v/>
      </c>
      <c r="M612" s="192"/>
      <c r="N612" s="60"/>
      <c r="O612" s="60"/>
      <c r="P612" s="60"/>
      <c r="Q612" s="200" t="str">
        <f t="shared" si="34"/>
        <v/>
      </c>
      <c r="R612" s="192"/>
      <c r="S612" s="60"/>
      <c r="T612" s="205"/>
    </row>
    <row r="613" spans="1:20" s="8" customFormat="1" ht="13.5" customHeight="1" x14ac:dyDescent="0.25">
      <c r="A613" s="214" t="s">
        <v>298</v>
      </c>
      <c r="B613" s="7" t="s">
        <v>294</v>
      </c>
      <c r="C613" s="190"/>
      <c r="D613" s="191"/>
      <c r="E613" s="191"/>
      <c r="F613" s="191"/>
      <c r="G613" s="200" t="str">
        <f t="shared" si="32"/>
        <v/>
      </c>
      <c r="H613" s="190"/>
      <c r="I613" s="191"/>
      <c r="J613" s="191"/>
      <c r="K613" s="191"/>
      <c r="L613" s="200" t="str">
        <f t="shared" si="33"/>
        <v/>
      </c>
      <c r="M613" s="190"/>
      <c r="N613" s="191"/>
      <c r="O613" s="191"/>
      <c r="P613" s="191"/>
      <c r="Q613" s="200" t="str">
        <f t="shared" si="34"/>
        <v/>
      </c>
      <c r="R613" s="190">
        <v>30</v>
      </c>
      <c r="S613" s="191">
        <v>50</v>
      </c>
      <c r="T613" s="200"/>
    </row>
    <row r="614" spans="1:20" s="8" customFormat="1" ht="13.5" customHeight="1" x14ac:dyDescent="0.25">
      <c r="A614" s="214" t="s">
        <v>298</v>
      </c>
      <c r="B614" s="7" t="s">
        <v>1612</v>
      </c>
      <c r="C614" s="190"/>
      <c r="D614" s="60"/>
      <c r="E614" s="60"/>
      <c r="F614" s="60"/>
      <c r="G614" s="200" t="str">
        <f t="shared" si="32"/>
        <v/>
      </c>
      <c r="H614" s="192"/>
      <c r="I614" s="60"/>
      <c r="J614" s="60"/>
      <c r="K614" s="60"/>
      <c r="L614" s="200" t="str">
        <f t="shared" si="33"/>
        <v/>
      </c>
      <c r="M614" s="192"/>
      <c r="N614" s="60"/>
      <c r="O614" s="60"/>
      <c r="P614" s="60"/>
      <c r="Q614" s="200" t="str">
        <f t="shared" si="34"/>
        <v/>
      </c>
      <c r="R614" s="192"/>
      <c r="S614" s="60"/>
      <c r="T614" s="205"/>
    </row>
    <row r="615" spans="1:20" s="8" customFormat="1" ht="13.5" customHeight="1" x14ac:dyDescent="0.25">
      <c r="A615" s="214" t="s">
        <v>298</v>
      </c>
      <c r="B615" s="7" t="s">
        <v>1614</v>
      </c>
      <c r="C615" s="190"/>
      <c r="D615" s="60"/>
      <c r="E615" s="60"/>
      <c r="F615" s="60"/>
      <c r="G615" s="200" t="str">
        <f t="shared" si="32"/>
        <v/>
      </c>
      <c r="H615" s="192"/>
      <c r="I615" s="60"/>
      <c r="J615" s="60"/>
      <c r="K615" s="60"/>
      <c r="L615" s="200" t="str">
        <f t="shared" si="33"/>
        <v/>
      </c>
      <c r="M615" s="192"/>
      <c r="N615" s="60"/>
      <c r="O615" s="60"/>
      <c r="P615" s="60"/>
      <c r="Q615" s="200" t="str">
        <f t="shared" si="34"/>
        <v/>
      </c>
      <c r="R615" s="192"/>
      <c r="S615" s="60"/>
      <c r="T615" s="205"/>
    </row>
    <row r="616" spans="1:20" s="8" customFormat="1" ht="13.5" customHeight="1" x14ac:dyDescent="0.25">
      <c r="A616" s="214" t="s">
        <v>298</v>
      </c>
      <c r="B616" s="7" t="s">
        <v>1617</v>
      </c>
      <c r="C616" s="190"/>
      <c r="D616" s="60"/>
      <c r="E616" s="60"/>
      <c r="F616" s="60"/>
      <c r="G616" s="200" t="str">
        <f t="shared" si="32"/>
        <v/>
      </c>
      <c r="H616" s="192"/>
      <c r="I616" s="60"/>
      <c r="J616" s="60"/>
      <c r="K616" s="60"/>
      <c r="L616" s="200" t="str">
        <f t="shared" si="33"/>
        <v/>
      </c>
      <c r="M616" s="192"/>
      <c r="N616" s="60"/>
      <c r="O616" s="60"/>
      <c r="P616" s="60"/>
      <c r="Q616" s="200" t="str">
        <f t="shared" si="34"/>
        <v/>
      </c>
      <c r="R616" s="192"/>
      <c r="S616" s="60"/>
      <c r="T616" s="205"/>
    </row>
    <row r="617" spans="1:20" s="8" customFormat="1" ht="13.5" customHeight="1" x14ac:dyDescent="0.25">
      <c r="A617" s="214" t="s">
        <v>298</v>
      </c>
      <c r="B617" s="7" t="s">
        <v>1620</v>
      </c>
      <c r="C617" s="190"/>
      <c r="D617" s="60"/>
      <c r="E617" s="60"/>
      <c r="F617" s="60"/>
      <c r="G617" s="200" t="str">
        <f t="shared" si="32"/>
        <v/>
      </c>
      <c r="H617" s="192"/>
      <c r="I617" s="60"/>
      <c r="J617" s="60"/>
      <c r="K617" s="60"/>
      <c r="L617" s="200" t="str">
        <f t="shared" si="33"/>
        <v/>
      </c>
      <c r="M617" s="192"/>
      <c r="N617" s="60"/>
      <c r="O617" s="60"/>
      <c r="P617" s="60"/>
      <c r="Q617" s="200" t="str">
        <f t="shared" si="34"/>
        <v/>
      </c>
      <c r="R617" s="192"/>
      <c r="S617" s="60"/>
      <c r="T617" s="205"/>
    </row>
    <row r="618" spans="1:20" s="8" customFormat="1" ht="13.5" customHeight="1" x14ac:dyDescent="0.25">
      <c r="A618" s="214" t="s">
        <v>298</v>
      </c>
      <c r="B618" s="172" t="s">
        <v>1623</v>
      </c>
      <c r="C618" s="190"/>
      <c r="D618" s="60"/>
      <c r="E618" s="60"/>
      <c r="F618" s="60"/>
      <c r="G618" s="200" t="str">
        <f t="shared" si="32"/>
        <v/>
      </c>
      <c r="H618" s="192"/>
      <c r="I618" s="60"/>
      <c r="J618" s="60"/>
      <c r="K618" s="60"/>
      <c r="L618" s="200" t="str">
        <f t="shared" si="33"/>
        <v/>
      </c>
      <c r="M618" s="192"/>
      <c r="N618" s="60"/>
      <c r="O618" s="60"/>
      <c r="P618" s="60"/>
      <c r="Q618" s="200" t="str">
        <f t="shared" si="34"/>
        <v/>
      </c>
      <c r="R618" s="192"/>
      <c r="S618" s="60"/>
      <c r="T618" s="205"/>
    </row>
    <row r="619" spans="1:20" s="8" customFormat="1" ht="13.5" customHeight="1" x14ac:dyDescent="0.25">
      <c r="A619" s="214" t="s">
        <v>298</v>
      </c>
      <c r="B619" s="172" t="s">
        <v>1626</v>
      </c>
      <c r="C619" s="190"/>
      <c r="D619" s="60"/>
      <c r="E619" s="60"/>
      <c r="F619" s="60"/>
      <c r="G619" s="200" t="str">
        <f t="shared" si="32"/>
        <v/>
      </c>
      <c r="H619" s="192"/>
      <c r="I619" s="60"/>
      <c r="J619" s="60"/>
      <c r="K619" s="60"/>
      <c r="L619" s="200" t="str">
        <f t="shared" si="33"/>
        <v/>
      </c>
      <c r="M619" s="192"/>
      <c r="N619" s="60"/>
      <c r="O619" s="60"/>
      <c r="P619" s="60"/>
      <c r="Q619" s="200" t="str">
        <f t="shared" si="34"/>
        <v/>
      </c>
      <c r="R619" s="192"/>
      <c r="S619" s="60"/>
      <c r="T619" s="205"/>
    </row>
    <row r="620" spans="1:20" s="8" customFormat="1" ht="13.5" customHeight="1" x14ac:dyDescent="0.25">
      <c r="A620" s="214" t="s">
        <v>298</v>
      </c>
      <c r="B620" s="172" t="s">
        <v>1628</v>
      </c>
      <c r="C620" s="190"/>
      <c r="D620" s="60"/>
      <c r="E620" s="60"/>
      <c r="F620" s="60"/>
      <c r="G620" s="200" t="str">
        <f t="shared" si="32"/>
        <v/>
      </c>
      <c r="H620" s="192"/>
      <c r="I620" s="60"/>
      <c r="J620" s="60"/>
      <c r="K620" s="60"/>
      <c r="L620" s="200" t="str">
        <f t="shared" si="33"/>
        <v/>
      </c>
      <c r="M620" s="192"/>
      <c r="N620" s="60"/>
      <c r="O620" s="60"/>
      <c r="P620" s="60"/>
      <c r="Q620" s="200" t="str">
        <f t="shared" si="34"/>
        <v/>
      </c>
      <c r="R620" s="192"/>
      <c r="S620" s="60"/>
      <c r="T620" s="205"/>
    </row>
    <row r="621" spans="1:20" s="8" customFormat="1" ht="13.5" customHeight="1" x14ac:dyDescent="0.25">
      <c r="A621" s="214" t="s">
        <v>298</v>
      </c>
      <c r="B621" s="172" t="s">
        <v>1630</v>
      </c>
      <c r="C621" s="190"/>
      <c r="D621" s="60"/>
      <c r="E621" s="60"/>
      <c r="F621" s="60"/>
      <c r="G621" s="200" t="str">
        <f t="shared" si="32"/>
        <v/>
      </c>
      <c r="H621" s="192"/>
      <c r="I621" s="60"/>
      <c r="J621" s="60"/>
      <c r="K621" s="60"/>
      <c r="L621" s="200" t="str">
        <f t="shared" si="33"/>
        <v/>
      </c>
      <c r="M621" s="192"/>
      <c r="N621" s="60"/>
      <c r="O621" s="60"/>
      <c r="P621" s="60"/>
      <c r="Q621" s="200" t="str">
        <f t="shared" si="34"/>
        <v/>
      </c>
      <c r="R621" s="192"/>
      <c r="S621" s="60"/>
      <c r="T621" s="205"/>
    </row>
    <row r="622" spans="1:20" s="8" customFormat="1" ht="13.5" customHeight="1" x14ac:dyDescent="0.25">
      <c r="A622" s="214" t="s">
        <v>298</v>
      </c>
      <c r="B622" s="7" t="s">
        <v>1632</v>
      </c>
      <c r="C622" s="190" t="s">
        <v>310</v>
      </c>
      <c r="D622" s="60">
        <v>2</v>
      </c>
      <c r="E622" s="60"/>
      <c r="F622" s="60"/>
      <c r="G622" s="200" t="str">
        <f t="shared" si="32"/>
        <v/>
      </c>
      <c r="H622" s="192"/>
      <c r="I622" s="60"/>
      <c r="J622" s="60"/>
      <c r="K622" s="60"/>
      <c r="L622" s="200" t="str">
        <f t="shared" si="33"/>
        <v/>
      </c>
      <c r="M622" s="192"/>
      <c r="N622" s="60"/>
      <c r="O622" s="60"/>
      <c r="P622" s="60"/>
      <c r="Q622" s="200" t="str">
        <f t="shared" si="34"/>
        <v/>
      </c>
      <c r="R622" s="192"/>
      <c r="S622" s="60"/>
      <c r="T622" s="205"/>
    </row>
    <row r="623" spans="1:20" s="8" customFormat="1" ht="13.5" customHeight="1" x14ac:dyDescent="0.25">
      <c r="A623" s="214" t="s">
        <v>298</v>
      </c>
      <c r="B623" s="7" t="s">
        <v>1635</v>
      </c>
      <c r="C623" s="190"/>
      <c r="D623" s="60"/>
      <c r="E623" s="60"/>
      <c r="F623" s="60"/>
      <c r="G623" s="200" t="str">
        <f t="shared" si="32"/>
        <v/>
      </c>
      <c r="H623" s="192"/>
      <c r="I623" s="60"/>
      <c r="J623" s="60"/>
      <c r="K623" s="60"/>
      <c r="L623" s="200" t="str">
        <f t="shared" si="33"/>
        <v/>
      </c>
      <c r="M623" s="192"/>
      <c r="N623" s="60"/>
      <c r="O623" s="60"/>
      <c r="P623" s="60"/>
      <c r="Q623" s="200" t="str">
        <f t="shared" si="34"/>
        <v/>
      </c>
      <c r="R623" s="192"/>
      <c r="S623" s="60"/>
      <c r="T623" s="205"/>
    </row>
    <row r="624" spans="1:20" s="8" customFormat="1" ht="13.5" customHeight="1" x14ac:dyDescent="0.25">
      <c r="A624" s="214" t="s">
        <v>298</v>
      </c>
      <c r="B624" s="7" t="s">
        <v>1637</v>
      </c>
      <c r="C624" s="190"/>
      <c r="D624" s="60"/>
      <c r="E624" s="60"/>
      <c r="F624" s="60"/>
      <c r="G624" s="200" t="str">
        <f t="shared" si="32"/>
        <v/>
      </c>
      <c r="H624" s="192"/>
      <c r="I624" s="60"/>
      <c r="J624" s="60"/>
      <c r="K624" s="60"/>
      <c r="L624" s="200" t="str">
        <f t="shared" si="33"/>
        <v/>
      </c>
      <c r="M624" s="192"/>
      <c r="N624" s="60"/>
      <c r="O624" s="60"/>
      <c r="P624" s="60"/>
      <c r="Q624" s="200" t="str">
        <f t="shared" si="34"/>
        <v/>
      </c>
      <c r="R624" s="192"/>
      <c r="S624" s="60"/>
      <c r="T624" s="205"/>
    </row>
    <row r="625" spans="1:20" s="8" customFormat="1" ht="13.5" customHeight="1" x14ac:dyDescent="0.25">
      <c r="A625" s="214" t="s">
        <v>298</v>
      </c>
      <c r="B625" s="7" t="s">
        <v>1639</v>
      </c>
      <c r="C625" s="190"/>
      <c r="D625" s="60"/>
      <c r="E625" s="60"/>
      <c r="F625" s="60"/>
      <c r="G625" s="200" t="str">
        <f t="shared" si="32"/>
        <v/>
      </c>
      <c r="H625" s="192"/>
      <c r="I625" s="60"/>
      <c r="J625" s="60"/>
      <c r="K625" s="60"/>
      <c r="L625" s="200" t="str">
        <f t="shared" si="33"/>
        <v/>
      </c>
      <c r="M625" s="192"/>
      <c r="N625" s="60"/>
      <c r="O625" s="60"/>
      <c r="P625" s="60"/>
      <c r="Q625" s="200" t="str">
        <f t="shared" si="34"/>
        <v/>
      </c>
      <c r="R625" s="192"/>
      <c r="S625" s="60"/>
      <c r="T625" s="205"/>
    </row>
    <row r="626" spans="1:20" s="8" customFormat="1" ht="13.5" customHeight="1" x14ac:dyDescent="0.25">
      <c r="A626" s="214" t="s">
        <v>298</v>
      </c>
      <c r="B626" s="7" t="s">
        <v>277</v>
      </c>
      <c r="C626" s="190"/>
      <c r="D626" s="191"/>
      <c r="E626" s="191"/>
      <c r="F626" s="191"/>
      <c r="G626" s="200" t="str">
        <f t="shared" si="32"/>
        <v/>
      </c>
      <c r="H626" s="190"/>
      <c r="I626" s="191"/>
      <c r="J626" s="191"/>
      <c r="K626" s="191"/>
      <c r="L626" s="200" t="str">
        <f t="shared" si="33"/>
        <v/>
      </c>
      <c r="M626" s="190"/>
      <c r="N626" s="191"/>
      <c r="O626" s="191"/>
      <c r="P626" s="191"/>
      <c r="Q626" s="200" t="str">
        <f t="shared" si="34"/>
        <v/>
      </c>
      <c r="R626" s="190">
        <v>70</v>
      </c>
      <c r="S626" s="191"/>
      <c r="T626" s="200"/>
    </row>
    <row r="627" spans="1:20" s="8" customFormat="1" ht="13.5" customHeight="1" x14ac:dyDescent="0.25">
      <c r="A627" s="214" t="s">
        <v>298</v>
      </c>
      <c r="B627" s="7" t="s">
        <v>1640</v>
      </c>
      <c r="C627" s="192"/>
      <c r="D627" s="60"/>
      <c r="E627" s="60"/>
      <c r="F627" s="60"/>
      <c r="G627" s="200" t="str">
        <f t="shared" si="32"/>
        <v/>
      </c>
      <c r="H627" s="192"/>
      <c r="I627" s="60"/>
      <c r="J627" s="60"/>
      <c r="K627" s="60"/>
      <c r="L627" s="200" t="str">
        <f t="shared" si="33"/>
        <v/>
      </c>
      <c r="M627" s="192"/>
      <c r="N627" s="60"/>
      <c r="O627" s="60"/>
      <c r="P627" s="60"/>
      <c r="Q627" s="200" t="str">
        <f t="shared" si="34"/>
        <v/>
      </c>
      <c r="R627" s="192"/>
      <c r="S627" s="60"/>
      <c r="T627" s="205"/>
    </row>
    <row r="628" spans="1:20" s="8" customFormat="1" ht="13.5" customHeight="1" x14ac:dyDescent="0.25">
      <c r="A628" s="214" t="s">
        <v>298</v>
      </c>
      <c r="B628" s="7" t="s">
        <v>188</v>
      </c>
      <c r="C628" s="190"/>
      <c r="D628" s="191"/>
      <c r="E628" s="191"/>
      <c r="F628" s="191"/>
      <c r="G628" s="200" t="str">
        <f t="shared" si="32"/>
        <v/>
      </c>
      <c r="H628" s="190"/>
      <c r="I628" s="191"/>
      <c r="J628" s="191"/>
      <c r="K628" s="191"/>
      <c r="L628" s="200" t="str">
        <f t="shared" si="33"/>
        <v/>
      </c>
      <c r="M628" s="190"/>
      <c r="N628" s="191"/>
      <c r="O628" s="191"/>
      <c r="P628" s="191"/>
      <c r="Q628" s="200" t="str">
        <f t="shared" si="34"/>
        <v/>
      </c>
      <c r="R628" s="190"/>
      <c r="S628" s="191"/>
      <c r="T628" s="200"/>
    </row>
    <row r="629" spans="1:20" s="8" customFormat="1" ht="13.5" customHeight="1" x14ac:dyDescent="0.25">
      <c r="A629" s="214" t="s">
        <v>298</v>
      </c>
      <c r="B629" s="7" t="s">
        <v>1642</v>
      </c>
      <c r="C629" s="190"/>
      <c r="D629" s="60"/>
      <c r="E629" s="60"/>
      <c r="F629" s="60"/>
      <c r="G629" s="200" t="str">
        <f t="shared" si="32"/>
        <v/>
      </c>
      <c r="H629" s="192"/>
      <c r="I629" s="60"/>
      <c r="J629" s="60"/>
      <c r="K629" s="60"/>
      <c r="L629" s="200" t="str">
        <f t="shared" si="33"/>
        <v/>
      </c>
      <c r="M629" s="192"/>
      <c r="N629" s="60"/>
      <c r="O629" s="60"/>
      <c r="P629" s="60"/>
      <c r="Q629" s="200" t="str">
        <f t="shared" si="34"/>
        <v/>
      </c>
      <c r="R629" s="192"/>
      <c r="S629" s="60"/>
      <c r="T629" s="205"/>
    </row>
    <row r="630" spans="1:20" s="8" customFormat="1" ht="13.5" customHeight="1" x14ac:dyDescent="0.25">
      <c r="A630" s="214" t="s">
        <v>298</v>
      </c>
      <c r="B630" s="7" t="s">
        <v>1644</v>
      </c>
      <c r="C630" s="190"/>
      <c r="D630" s="60"/>
      <c r="E630" s="60"/>
      <c r="F630" s="60"/>
      <c r="G630" s="200" t="str">
        <f t="shared" si="32"/>
        <v/>
      </c>
      <c r="H630" s="192"/>
      <c r="I630" s="60"/>
      <c r="J630" s="60"/>
      <c r="K630" s="60"/>
      <c r="L630" s="200" t="str">
        <f t="shared" si="33"/>
        <v/>
      </c>
      <c r="M630" s="192"/>
      <c r="N630" s="60"/>
      <c r="O630" s="60"/>
      <c r="P630" s="60"/>
      <c r="Q630" s="200" t="str">
        <f t="shared" si="34"/>
        <v/>
      </c>
      <c r="R630" s="192"/>
      <c r="S630" s="60"/>
      <c r="T630" s="205"/>
    </row>
    <row r="631" spans="1:20" s="8" customFormat="1" ht="13.5" customHeight="1" x14ac:dyDescent="0.25">
      <c r="A631" s="214" t="s">
        <v>298</v>
      </c>
      <c r="B631" s="7" t="s">
        <v>1646</v>
      </c>
      <c r="C631" s="190"/>
      <c r="D631" s="60"/>
      <c r="E631" s="60"/>
      <c r="F631" s="60"/>
      <c r="G631" s="200" t="str">
        <f t="shared" si="32"/>
        <v/>
      </c>
      <c r="H631" s="192"/>
      <c r="I631" s="60"/>
      <c r="J631" s="60"/>
      <c r="K631" s="60"/>
      <c r="L631" s="200" t="str">
        <f t="shared" si="33"/>
        <v/>
      </c>
      <c r="M631" s="192"/>
      <c r="N631" s="60"/>
      <c r="O631" s="60"/>
      <c r="P631" s="60"/>
      <c r="Q631" s="200" t="str">
        <f t="shared" si="34"/>
        <v/>
      </c>
      <c r="R631" s="192"/>
      <c r="S631" s="60"/>
      <c r="T631" s="205"/>
    </row>
    <row r="632" spans="1:20" s="8" customFormat="1" ht="13.5" customHeight="1" x14ac:dyDescent="0.25">
      <c r="A632" s="214" t="s">
        <v>298</v>
      </c>
      <c r="B632" s="7" t="s">
        <v>251</v>
      </c>
      <c r="C632" s="190"/>
      <c r="D632" s="191"/>
      <c r="E632" s="191"/>
      <c r="F632" s="191"/>
      <c r="G632" s="200" t="str">
        <f t="shared" si="32"/>
        <v/>
      </c>
      <c r="H632" s="190"/>
      <c r="I632" s="191"/>
      <c r="J632" s="191"/>
      <c r="K632" s="191"/>
      <c r="L632" s="200" t="str">
        <f t="shared" si="33"/>
        <v/>
      </c>
      <c r="M632" s="190"/>
      <c r="N632" s="191"/>
      <c r="O632" s="191"/>
      <c r="P632" s="191"/>
      <c r="Q632" s="200" t="str">
        <f t="shared" si="34"/>
        <v/>
      </c>
      <c r="R632" s="190"/>
      <c r="S632" s="191">
        <v>75</v>
      </c>
      <c r="T632" s="200"/>
    </row>
    <row r="633" spans="1:20" s="8" customFormat="1" ht="13.5" customHeight="1" x14ac:dyDescent="0.25">
      <c r="A633" s="214" t="s">
        <v>298</v>
      </c>
      <c r="B633" s="7" t="s">
        <v>1648</v>
      </c>
      <c r="C633" s="190"/>
      <c r="D633" s="60"/>
      <c r="E633" s="60"/>
      <c r="F633" s="60"/>
      <c r="G633" s="200" t="str">
        <f t="shared" si="32"/>
        <v/>
      </c>
      <c r="H633" s="192"/>
      <c r="I633" s="60"/>
      <c r="J633" s="60"/>
      <c r="K633" s="60"/>
      <c r="L633" s="200" t="str">
        <f t="shared" si="33"/>
        <v/>
      </c>
      <c r="M633" s="192"/>
      <c r="N633" s="60"/>
      <c r="O633" s="60"/>
      <c r="P633" s="60"/>
      <c r="Q633" s="200" t="str">
        <f t="shared" si="34"/>
        <v/>
      </c>
      <c r="R633" s="192"/>
      <c r="S633" s="60"/>
      <c r="T633" s="205"/>
    </row>
    <row r="634" spans="1:20" s="8" customFormat="1" ht="13.5" customHeight="1" x14ac:dyDescent="0.25">
      <c r="A634" s="214" t="s">
        <v>298</v>
      </c>
      <c r="B634" s="7" t="s">
        <v>1649</v>
      </c>
      <c r="C634" s="190"/>
      <c r="D634" s="60"/>
      <c r="E634" s="60"/>
      <c r="F634" s="60"/>
      <c r="G634" s="200" t="str">
        <f t="shared" si="32"/>
        <v/>
      </c>
      <c r="H634" s="192"/>
      <c r="I634" s="60"/>
      <c r="J634" s="60"/>
      <c r="K634" s="60"/>
      <c r="L634" s="200" t="str">
        <f t="shared" si="33"/>
        <v/>
      </c>
      <c r="M634" s="192"/>
      <c r="N634" s="60"/>
      <c r="O634" s="60"/>
      <c r="P634" s="60"/>
      <c r="Q634" s="200" t="str">
        <f t="shared" si="34"/>
        <v/>
      </c>
      <c r="R634" s="192"/>
      <c r="S634" s="60"/>
      <c r="T634" s="205"/>
    </row>
    <row r="635" spans="1:20" s="8" customFormat="1" ht="13.5" customHeight="1" x14ac:dyDescent="0.25">
      <c r="A635" s="214" t="s">
        <v>298</v>
      </c>
      <c r="B635" s="22" t="s">
        <v>1652</v>
      </c>
      <c r="C635" s="190"/>
      <c r="D635" s="60"/>
      <c r="E635" s="60"/>
      <c r="F635" s="60"/>
      <c r="G635" s="200" t="str">
        <f t="shared" si="32"/>
        <v/>
      </c>
      <c r="H635" s="192"/>
      <c r="I635" s="60"/>
      <c r="J635" s="60"/>
      <c r="K635" s="60"/>
      <c r="L635" s="200" t="str">
        <f t="shared" si="33"/>
        <v/>
      </c>
      <c r="M635" s="192"/>
      <c r="N635" s="60"/>
      <c r="O635" s="60"/>
      <c r="P635" s="60"/>
      <c r="Q635" s="200" t="str">
        <f t="shared" si="34"/>
        <v/>
      </c>
      <c r="R635" s="192"/>
      <c r="S635" s="60"/>
      <c r="T635" s="205"/>
    </row>
    <row r="636" spans="1:20" s="8" customFormat="1" ht="13.5" customHeight="1" x14ac:dyDescent="0.25">
      <c r="A636" s="214" t="s">
        <v>298</v>
      </c>
      <c r="B636" s="22" t="s">
        <v>1655</v>
      </c>
      <c r="C636" s="190"/>
      <c r="D636" s="60"/>
      <c r="E636" s="60"/>
      <c r="F636" s="60"/>
      <c r="G636" s="200" t="str">
        <f t="shared" si="32"/>
        <v/>
      </c>
      <c r="H636" s="192"/>
      <c r="I636" s="60"/>
      <c r="J636" s="60"/>
      <c r="K636" s="60"/>
      <c r="L636" s="200" t="str">
        <f t="shared" si="33"/>
        <v/>
      </c>
      <c r="M636" s="192"/>
      <c r="N636" s="60"/>
      <c r="O636" s="60"/>
      <c r="P636" s="60"/>
      <c r="Q636" s="200" t="str">
        <f t="shared" si="34"/>
        <v/>
      </c>
      <c r="R636" s="192"/>
      <c r="S636" s="60"/>
      <c r="T636" s="205"/>
    </row>
    <row r="637" spans="1:20" s="8" customFormat="1" ht="13.5" customHeight="1" x14ac:dyDescent="0.25">
      <c r="A637" s="214" t="s">
        <v>298</v>
      </c>
      <c r="B637" s="18" t="s">
        <v>1658</v>
      </c>
      <c r="C637" s="190"/>
      <c r="D637" s="60"/>
      <c r="E637" s="60"/>
      <c r="F637" s="60"/>
      <c r="G637" s="200" t="str">
        <f t="shared" si="32"/>
        <v/>
      </c>
      <c r="H637" s="192"/>
      <c r="I637" s="60"/>
      <c r="J637" s="60"/>
      <c r="K637" s="60"/>
      <c r="L637" s="200" t="str">
        <f t="shared" si="33"/>
        <v/>
      </c>
      <c r="M637" s="192"/>
      <c r="N637" s="60"/>
      <c r="O637" s="60"/>
      <c r="P637" s="60"/>
      <c r="Q637" s="200" t="str">
        <f t="shared" si="34"/>
        <v/>
      </c>
      <c r="R637" s="192"/>
      <c r="S637" s="60"/>
      <c r="T637" s="205"/>
    </row>
    <row r="638" spans="1:20" s="8" customFormat="1" ht="13.5" customHeight="1" x14ac:dyDescent="0.25">
      <c r="A638" s="214" t="s">
        <v>298</v>
      </c>
      <c r="B638" s="18" t="s">
        <v>1661</v>
      </c>
      <c r="C638" s="190"/>
      <c r="D638" s="60"/>
      <c r="E638" s="60"/>
      <c r="F638" s="60"/>
      <c r="G638" s="200" t="str">
        <f t="shared" si="32"/>
        <v/>
      </c>
      <c r="H638" s="192"/>
      <c r="I638" s="60"/>
      <c r="J638" s="60"/>
      <c r="K638" s="60"/>
      <c r="L638" s="200" t="str">
        <f t="shared" si="33"/>
        <v/>
      </c>
      <c r="M638" s="192"/>
      <c r="N638" s="60"/>
      <c r="O638" s="60"/>
      <c r="P638" s="60"/>
      <c r="Q638" s="200" t="str">
        <f t="shared" si="34"/>
        <v/>
      </c>
      <c r="R638" s="192"/>
      <c r="S638" s="60"/>
      <c r="T638" s="205"/>
    </row>
    <row r="639" spans="1:20" s="8" customFormat="1" ht="13.5" customHeight="1" x14ac:dyDescent="0.25">
      <c r="A639" s="214" t="s">
        <v>298</v>
      </c>
      <c r="B639" s="7" t="s">
        <v>1663</v>
      </c>
      <c r="C639" s="190"/>
      <c r="D639" s="60"/>
      <c r="E639" s="60"/>
      <c r="F639" s="60"/>
      <c r="G639" s="200" t="str">
        <f t="shared" si="32"/>
        <v/>
      </c>
      <c r="H639" s="192"/>
      <c r="I639" s="60"/>
      <c r="J639" s="60"/>
      <c r="K639" s="60"/>
      <c r="L639" s="200" t="str">
        <f t="shared" si="33"/>
        <v/>
      </c>
      <c r="M639" s="192"/>
      <c r="N639" s="60"/>
      <c r="O639" s="60"/>
      <c r="P639" s="60"/>
      <c r="Q639" s="200" t="str">
        <f t="shared" si="34"/>
        <v/>
      </c>
      <c r="R639" s="192"/>
      <c r="S639" s="60"/>
      <c r="T639" s="205"/>
    </row>
    <row r="640" spans="1:20" s="8" customFormat="1" ht="13.5" customHeight="1" x14ac:dyDescent="0.25">
      <c r="A640" s="214" t="s">
        <v>298</v>
      </c>
      <c r="B640" s="7" t="s">
        <v>1666</v>
      </c>
      <c r="C640" s="190"/>
      <c r="D640" s="60"/>
      <c r="E640" s="60"/>
      <c r="F640" s="60"/>
      <c r="G640" s="200" t="str">
        <f t="shared" si="32"/>
        <v/>
      </c>
      <c r="H640" s="192"/>
      <c r="I640" s="60"/>
      <c r="J640" s="60"/>
      <c r="K640" s="60"/>
      <c r="L640" s="200" t="str">
        <f t="shared" si="33"/>
        <v/>
      </c>
      <c r="M640" s="192"/>
      <c r="N640" s="60"/>
      <c r="O640" s="60"/>
      <c r="P640" s="60"/>
      <c r="Q640" s="200" t="str">
        <f t="shared" si="34"/>
        <v/>
      </c>
      <c r="R640" s="192"/>
      <c r="S640" s="60"/>
      <c r="T640" s="205"/>
    </row>
    <row r="641" spans="1:20" s="8" customFormat="1" ht="13.5" customHeight="1" x14ac:dyDescent="0.25">
      <c r="A641" s="214" t="s">
        <v>298</v>
      </c>
      <c r="B641" s="7" t="s">
        <v>1669</v>
      </c>
      <c r="C641" s="190"/>
      <c r="D641" s="60"/>
      <c r="E641" s="60"/>
      <c r="F641" s="60"/>
      <c r="G641" s="200" t="str">
        <f t="shared" si="32"/>
        <v/>
      </c>
      <c r="H641" s="192"/>
      <c r="I641" s="60"/>
      <c r="J641" s="60"/>
      <c r="K641" s="60"/>
      <c r="L641" s="200" t="str">
        <f t="shared" si="33"/>
        <v/>
      </c>
      <c r="M641" s="192"/>
      <c r="N641" s="60"/>
      <c r="O641" s="60"/>
      <c r="P641" s="60"/>
      <c r="Q641" s="200" t="str">
        <f t="shared" si="34"/>
        <v/>
      </c>
      <c r="R641" s="192"/>
      <c r="S641" s="60"/>
      <c r="T641" s="205"/>
    </row>
    <row r="642" spans="1:20" s="8" customFormat="1" ht="13.5" customHeight="1" x14ac:dyDescent="0.25">
      <c r="A642" s="214" t="s">
        <v>298</v>
      </c>
      <c r="B642" s="7" t="s">
        <v>1672</v>
      </c>
      <c r="C642" s="190"/>
      <c r="D642" s="60"/>
      <c r="E642" s="60"/>
      <c r="F642" s="60"/>
      <c r="G642" s="200" t="str">
        <f t="shared" si="32"/>
        <v/>
      </c>
      <c r="H642" s="192"/>
      <c r="I642" s="60"/>
      <c r="J642" s="60"/>
      <c r="K642" s="60"/>
      <c r="L642" s="200" t="str">
        <f t="shared" si="33"/>
        <v/>
      </c>
      <c r="M642" s="192"/>
      <c r="N642" s="60"/>
      <c r="O642" s="60"/>
      <c r="P642" s="60"/>
      <c r="Q642" s="200" t="str">
        <f t="shared" si="34"/>
        <v/>
      </c>
      <c r="R642" s="192"/>
      <c r="S642" s="60"/>
      <c r="T642" s="205"/>
    </row>
    <row r="643" spans="1:20" s="8" customFormat="1" ht="13.5" customHeight="1" x14ac:dyDescent="0.25">
      <c r="A643" s="214" t="s">
        <v>298</v>
      </c>
      <c r="B643" s="7" t="s">
        <v>1675</v>
      </c>
      <c r="C643" s="190"/>
      <c r="D643" s="60"/>
      <c r="E643" s="60"/>
      <c r="F643" s="60"/>
      <c r="G643" s="200" t="str">
        <f t="shared" si="32"/>
        <v/>
      </c>
      <c r="H643" s="192"/>
      <c r="I643" s="60"/>
      <c r="J643" s="60"/>
      <c r="K643" s="60"/>
      <c r="L643" s="200" t="str">
        <f t="shared" si="33"/>
        <v/>
      </c>
      <c r="M643" s="192"/>
      <c r="N643" s="60"/>
      <c r="O643" s="60"/>
      <c r="P643" s="60"/>
      <c r="Q643" s="200" t="str">
        <f t="shared" si="34"/>
        <v/>
      </c>
      <c r="R643" s="192"/>
      <c r="S643" s="60"/>
      <c r="T643" s="205"/>
    </row>
    <row r="644" spans="1:20" s="8" customFormat="1" ht="13.5" customHeight="1" x14ac:dyDescent="0.25">
      <c r="A644" s="214" t="s">
        <v>298</v>
      </c>
      <c r="B644" s="7" t="s">
        <v>1677</v>
      </c>
      <c r="C644" s="190"/>
      <c r="D644" s="60"/>
      <c r="E644" s="60"/>
      <c r="F644" s="60"/>
      <c r="G644" s="200" t="str">
        <f t="shared" si="32"/>
        <v/>
      </c>
      <c r="H644" s="192"/>
      <c r="I644" s="60"/>
      <c r="J644" s="60"/>
      <c r="K644" s="60"/>
      <c r="L644" s="200" t="str">
        <f t="shared" si="33"/>
        <v/>
      </c>
      <c r="M644" s="192"/>
      <c r="N644" s="60"/>
      <c r="O644" s="60"/>
      <c r="P644" s="60"/>
      <c r="Q644" s="200" t="str">
        <f t="shared" si="34"/>
        <v/>
      </c>
      <c r="R644" s="192"/>
      <c r="S644" s="60"/>
      <c r="T644" s="205"/>
    </row>
    <row r="645" spans="1:20" s="8" customFormat="1" ht="13.5" customHeight="1" x14ac:dyDescent="0.25">
      <c r="A645" s="214" t="s">
        <v>298</v>
      </c>
      <c r="B645" s="7" t="s">
        <v>1679</v>
      </c>
      <c r="C645" s="190"/>
      <c r="D645" s="60"/>
      <c r="E645" s="60"/>
      <c r="F645" s="60"/>
      <c r="G645" s="200" t="str">
        <f t="shared" si="32"/>
        <v/>
      </c>
      <c r="H645" s="192"/>
      <c r="I645" s="60"/>
      <c r="J645" s="60"/>
      <c r="K645" s="60"/>
      <c r="L645" s="200" t="str">
        <f t="shared" si="33"/>
        <v/>
      </c>
      <c r="M645" s="192"/>
      <c r="N645" s="60"/>
      <c r="O645" s="60"/>
      <c r="P645" s="60"/>
      <c r="Q645" s="200" t="str">
        <f t="shared" si="34"/>
        <v/>
      </c>
      <c r="R645" s="192"/>
      <c r="S645" s="60"/>
      <c r="T645" s="205"/>
    </row>
    <row r="646" spans="1:20" s="8" customFormat="1" ht="13.5" customHeight="1" x14ac:dyDescent="0.25">
      <c r="A646" s="214" t="s">
        <v>298</v>
      </c>
      <c r="B646" s="7" t="s">
        <v>1682</v>
      </c>
      <c r="C646" s="190"/>
      <c r="D646" s="60"/>
      <c r="E646" s="60"/>
      <c r="F646" s="60"/>
      <c r="G646" s="200" t="str">
        <f t="shared" si="32"/>
        <v/>
      </c>
      <c r="H646" s="192"/>
      <c r="I646" s="60"/>
      <c r="J646" s="60"/>
      <c r="K646" s="60"/>
      <c r="L646" s="200" t="str">
        <f t="shared" si="33"/>
        <v/>
      </c>
      <c r="M646" s="192"/>
      <c r="N646" s="60"/>
      <c r="O646" s="60"/>
      <c r="P646" s="60"/>
      <c r="Q646" s="200" t="str">
        <f t="shared" si="34"/>
        <v/>
      </c>
      <c r="R646" s="192"/>
      <c r="S646" s="60"/>
      <c r="T646" s="205"/>
    </row>
    <row r="647" spans="1:20" s="8" customFormat="1" ht="13.5" customHeight="1" x14ac:dyDescent="0.25">
      <c r="A647" s="214" t="s">
        <v>298</v>
      </c>
      <c r="B647" s="7" t="s">
        <v>1685</v>
      </c>
      <c r="C647" s="190"/>
      <c r="D647" s="60"/>
      <c r="E647" s="60"/>
      <c r="F647" s="60"/>
      <c r="G647" s="200" t="str">
        <f t="shared" si="32"/>
        <v/>
      </c>
      <c r="H647" s="192"/>
      <c r="I647" s="60"/>
      <c r="J647" s="60"/>
      <c r="K647" s="60"/>
      <c r="L647" s="200" t="str">
        <f t="shared" si="33"/>
        <v/>
      </c>
      <c r="M647" s="192"/>
      <c r="N647" s="60"/>
      <c r="O647" s="60"/>
      <c r="P647" s="60"/>
      <c r="Q647" s="200" t="str">
        <f t="shared" si="34"/>
        <v/>
      </c>
      <c r="R647" s="192"/>
      <c r="S647" s="60"/>
      <c r="T647" s="205"/>
    </row>
    <row r="648" spans="1:20" s="8" customFormat="1" ht="13.5" customHeight="1" x14ac:dyDescent="0.25">
      <c r="A648" s="214" t="s">
        <v>298</v>
      </c>
      <c r="B648" s="7" t="s">
        <v>1688</v>
      </c>
      <c r="C648" s="190"/>
      <c r="D648" s="60"/>
      <c r="E648" s="60"/>
      <c r="F648" s="60"/>
      <c r="G648" s="200" t="str">
        <f t="shared" ref="G648:G698" si="37">IF(F648=1,"New","")</f>
        <v/>
      </c>
      <c r="H648" s="192"/>
      <c r="I648" s="60"/>
      <c r="J648" s="60"/>
      <c r="K648" s="60"/>
      <c r="L648" s="200" t="str">
        <f t="shared" si="33"/>
        <v/>
      </c>
      <c r="M648" s="192"/>
      <c r="N648" s="60"/>
      <c r="O648" s="60"/>
      <c r="P648" s="60"/>
      <c r="Q648" s="200" t="str">
        <f t="shared" si="34"/>
        <v/>
      </c>
      <c r="R648" s="192"/>
      <c r="S648" s="60"/>
      <c r="T648" s="205"/>
    </row>
    <row r="649" spans="1:20" s="8" customFormat="1" ht="13.5" customHeight="1" x14ac:dyDescent="0.25">
      <c r="A649" s="214" t="s">
        <v>298</v>
      </c>
      <c r="B649" s="7" t="s">
        <v>1691</v>
      </c>
      <c r="C649" s="190"/>
      <c r="D649" s="60"/>
      <c r="E649" s="60"/>
      <c r="F649" s="60"/>
      <c r="G649" s="200" t="str">
        <f t="shared" si="37"/>
        <v/>
      </c>
      <c r="H649" s="192"/>
      <c r="I649" s="60"/>
      <c r="J649" s="60"/>
      <c r="K649" s="60"/>
      <c r="L649" s="200" t="str">
        <f t="shared" ref="L649:L664" si="38">IF(K649=1,"New","")</f>
        <v/>
      </c>
      <c r="M649" s="192"/>
      <c r="N649" s="60"/>
      <c r="O649" s="60"/>
      <c r="P649" s="60"/>
      <c r="Q649" s="200" t="str">
        <f t="shared" ref="Q649:Q698" si="39">IF(P649=1,"New","")</f>
        <v/>
      </c>
      <c r="R649" s="192"/>
      <c r="S649" s="60"/>
      <c r="T649" s="205"/>
    </row>
    <row r="650" spans="1:20" s="8" customFormat="1" ht="13.5" customHeight="1" x14ac:dyDescent="0.25">
      <c r="A650" s="214" t="s">
        <v>298</v>
      </c>
      <c r="B650" s="7" t="s">
        <v>108</v>
      </c>
      <c r="C650" s="190"/>
      <c r="D650" s="191"/>
      <c r="E650" s="191"/>
      <c r="F650" s="191"/>
      <c r="G650" s="200" t="str">
        <f t="shared" si="37"/>
        <v/>
      </c>
      <c r="H650" s="190"/>
      <c r="I650" s="191"/>
      <c r="J650" s="191"/>
      <c r="K650" s="191"/>
      <c r="L650" s="200" t="str">
        <f t="shared" si="38"/>
        <v/>
      </c>
      <c r="M650" s="190"/>
      <c r="N650" s="191"/>
      <c r="O650" s="191"/>
      <c r="P650" s="191"/>
      <c r="Q650" s="200" t="str">
        <f t="shared" si="39"/>
        <v/>
      </c>
      <c r="R650" s="190"/>
      <c r="S650" s="191"/>
      <c r="T650" s="200"/>
    </row>
    <row r="651" spans="1:20" s="8" customFormat="1" ht="13.5" customHeight="1" x14ac:dyDescent="0.25">
      <c r="A651" s="214" t="s">
        <v>298</v>
      </c>
      <c r="B651" s="7" t="s">
        <v>1694</v>
      </c>
      <c r="C651" s="190"/>
      <c r="D651" s="60"/>
      <c r="E651" s="60"/>
      <c r="F651" s="60"/>
      <c r="G651" s="200" t="str">
        <f t="shared" si="37"/>
        <v/>
      </c>
      <c r="H651" s="192"/>
      <c r="I651" s="60"/>
      <c r="J651" s="60"/>
      <c r="K651" s="60"/>
      <c r="L651" s="200" t="str">
        <f t="shared" si="38"/>
        <v/>
      </c>
      <c r="M651" s="192"/>
      <c r="N651" s="60"/>
      <c r="O651" s="60"/>
      <c r="P651" s="60"/>
      <c r="Q651" s="200" t="str">
        <f t="shared" si="39"/>
        <v/>
      </c>
      <c r="R651" s="192"/>
      <c r="S651" s="60"/>
      <c r="T651" s="205"/>
    </row>
    <row r="652" spans="1:20" s="8" customFormat="1" ht="13.5" customHeight="1" x14ac:dyDescent="0.25">
      <c r="A652" s="214" t="s">
        <v>298</v>
      </c>
      <c r="B652" s="168" t="s">
        <v>1696</v>
      </c>
      <c r="C652" s="190"/>
      <c r="D652" s="60"/>
      <c r="E652" s="60"/>
      <c r="F652" s="60"/>
      <c r="G652" s="200" t="str">
        <f t="shared" si="37"/>
        <v/>
      </c>
      <c r="H652" s="192"/>
      <c r="I652" s="60"/>
      <c r="J652" s="60"/>
      <c r="K652" s="60"/>
      <c r="L652" s="200" t="str">
        <f t="shared" si="38"/>
        <v/>
      </c>
      <c r="M652" s="192"/>
      <c r="N652" s="60"/>
      <c r="O652" s="60"/>
      <c r="P652" s="60"/>
      <c r="Q652" s="200" t="str">
        <f t="shared" si="39"/>
        <v/>
      </c>
      <c r="R652" s="192"/>
      <c r="S652" s="60"/>
      <c r="T652" s="205"/>
    </row>
    <row r="653" spans="1:20" s="8" customFormat="1" ht="13.5" customHeight="1" x14ac:dyDescent="0.25">
      <c r="A653" s="214" t="s">
        <v>298</v>
      </c>
      <c r="B653" s="7" t="s">
        <v>1699</v>
      </c>
      <c r="C653" s="190"/>
      <c r="D653" s="60"/>
      <c r="E653" s="60"/>
      <c r="F653" s="60"/>
      <c r="G653" s="200" t="str">
        <f t="shared" si="37"/>
        <v/>
      </c>
      <c r="H653" s="192"/>
      <c r="I653" s="60"/>
      <c r="J653" s="60"/>
      <c r="K653" s="60"/>
      <c r="L653" s="200" t="str">
        <f t="shared" si="38"/>
        <v/>
      </c>
      <c r="M653" s="192"/>
      <c r="N653" s="60"/>
      <c r="O653" s="60"/>
      <c r="P653" s="60"/>
      <c r="Q653" s="200" t="str">
        <f t="shared" si="39"/>
        <v/>
      </c>
      <c r="R653" s="192"/>
      <c r="S653" s="60"/>
      <c r="T653" s="205"/>
    </row>
    <row r="654" spans="1:20" s="8" customFormat="1" ht="13.5" customHeight="1" x14ac:dyDescent="0.25">
      <c r="A654" s="214" t="s">
        <v>298</v>
      </c>
      <c r="B654" s="168" t="s">
        <v>1702</v>
      </c>
      <c r="C654" s="190"/>
      <c r="D654" s="60"/>
      <c r="E654" s="60"/>
      <c r="F654" s="60"/>
      <c r="G654" s="200" t="str">
        <f t="shared" si="37"/>
        <v/>
      </c>
      <c r="H654" s="192"/>
      <c r="I654" s="60"/>
      <c r="J654" s="60"/>
      <c r="K654" s="60"/>
      <c r="L654" s="200" t="str">
        <f t="shared" si="38"/>
        <v/>
      </c>
      <c r="M654" s="192"/>
      <c r="N654" s="60"/>
      <c r="O654" s="60"/>
      <c r="P654" s="60"/>
      <c r="Q654" s="200" t="str">
        <f t="shared" si="39"/>
        <v/>
      </c>
      <c r="R654" s="192"/>
      <c r="S654" s="60"/>
      <c r="T654" s="205"/>
    </row>
    <row r="655" spans="1:20" s="8" customFormat="1" ht="13.5" customHeight="1" x14ac:dyDescent="0.25">
      <c r="A655" s="214" t="s">
        <v>298</v>
      </c>
      <c r="B655" s="168" t="s">
        <v>1704</v>
      </c>
      <c r="C655" s="190"/>
      <c r="D655" s="60"/>
      <c r="E655" s="60"/>
      <c r="F655" s="60"/>
      <c r="G655" s="200" t="str">
        <f t="shared" si="37"/>
        <v/>
      </c>
      <c r="H655" s="192"/>
      <c r="I655" s="60"/>
      <c r="J655" s="60"/>
      <c r="K655" s="60"/>
      <c r="L655" s="200" t="str">
        <f t="shared" si="38"/>
        <v/>
      </c>
      <c r="M655" s="192"/>
      <c r="N655" s="60"/>
      <c r="O655" s="60"/>
      <c r="P655" s="60"/>
      <c r="Q655" s="200" t="str">
        <f t="shared" si="39"/>
        <v/>
      </c>
      <c r="R655" s="192"/>
      <c r="S655" s="60"/>
      <c r="T655" s="205"/>
    </row>
    <row r="656" spans="1:20" s="8" customFormat="1" ht="13.5" customHeight="1" x14ac:dyDescent="0.25">
      <c r="A656" s="214" t="s">
        <v>298</v>
      </c>
      <c r="B656" s="7" t="s">
        <v>1706</v>
      </c>
      <c r="C656" s="190"/>
      <c r="D656" s="60"/>
      <c r="E656" s="60"/>
      <c r="F656" s="60"/>
      <c r="G656" s="200" t="str">
        <f t="shared" si="37"/>
        <v/>
      </c>
      <c r="H656" s="192"/>
      <c r="I656" s="60"/>
      <c r="J656" s="60"/>
      <c r="K656" s="60"/>
      <c r="L656" s="200" t="str">
        <f t="shared" si="38"/>
        <v/>
      </c>
      <c r="M656" s="192"/>
      <c r="N656" s="60"/>
      <c r="O656" s="60"/>
      <c r="P656" s="60"/>
      <c r="Q656" s="200" t="str">
        <f t="shared" si="39"/>
        <v/>
      </c>
      <c r="R656" s="192"/>
      <c r="S656" s="60"/>
      <c r="T656" s="205"/>
    </row>
    <row r="657" spans="1:20" s="8" customFormat="1" ht="13.5" customHeight="1" x14ac:dyDescent="0.25">
      <c r="A657" s="214" t="s">
        <v>298</v>
      </c>
      <c r="B657" s="22" t="s">
        <v>34</v>
      </c>
      <c r="C657" s="190"/>
      <c r="D657" s="191"/>
      <c r="E657" s="191"/>
      <c r="F657" s="191"/>
      <c r="G657" s="200" t="str">
        <f t="shared" si="37"/>
        <v/>
      </c>
      <c r="H657" s="190"/>
      <c r="I657" s="191"/>
      <c r="J657" s="191"/>
      <c r="K657" s="191"/>
      <c r="L657" s="200" t="str">
        <f t="shared" si="38"/>
        <v/>
      </c>
      <c r="M657" s="190"/>
      <c r="N657" s="191"/>
      <c r="O657" s="191"/>
      <c r="P657" s="191"/>
      <c r="Q657" s="200" t="str">
        <f t="shared" si="39"/>
        <v/>
      </c>
      <c r="R657" s="190"/>
      <c r="S657" s="191"/>
      <c r="T657" s="200"/>
    </row>
    <row r="658" spans="1:20" s="8" customFormat="1" ht="13.5" customHeight="1" x14ac:dyDescent="0.25">
      <c r="A658" s="214" t="s">
        <v>298</v>
      </c>
      <c r="B658" s="22" t="s">
        <v>1710</v>
      </c>
      <c r="C658" s="190"/>
      <c r="D658" s="60"/>
      <c r="E658" s="60"/>
      <c r="F658" s="60"/>
      <c r="G658" s="200" t="str">
        <f t="shared" si="37"/>
        <v/>
      </c>
      <c r="H658" s="192"/>
      <c r="I658" s="60"/>
      <c r="J658" s="60"/>
      <c r="K658" s="60"/>
      <c r="L658" s="200" t="str">
        <f t="shared" si="38"/>
        <v/>
      </c>
      <c r="M658" s="192"/>
      <c r="N658" s="60"/>
      <c r="O658" s="60"/>
      <c r="P658" s="60"/>
      <c r="Q658" s="200" t="str">
        <f t="shared" si="39"/>
        <v/>
      </c>
      <c r="R658" s="192"/>
      <c r="S658" s="60"/>
      <c r="T658" s="205"/>
    </row>
    <row r="659" spans="1:20" s="8" customFormat="1" ht="13.5" customHeight="1" x14ac:dyDescent="0.25">
      <c r="A659" s="214" t="s">
        <v>298</v>
      </c>
      <c r="B659" s="22" t="s">
        <v>111</v>
      </c>
      <c r="C659" s="190"/>
      <c r="D659" s="191"/>
      <c r="E659" s="191"/>
      <c r="F659" s="191"/>
      <c r="G659" s="200" t="str">
        <f t="shared" si="37"/>
        <v/>
      </c>
      <c r="H659" s="190"/>
      <c r="I659" s="191"/>
      <c r="J659" s="191"/>
      <c r="K659" s="191"/>
      <c r="L659" s="200" t="str">
        <f t="shared" si="38"/>
        <v/>
      </c>
      <c r="M659" s="190" t="s">
        <v>310</v>
      </c>
      <c r="N659" s="191">
        <v>2</v>
      </c>
      <c r="O659" s="191"/>
      <c r="P659" s="191"/>
      <c r="Q659" s="200" t="str">
        <f t="shared" si="39"/>
        <v/>
      </c>
      <c r="R659" s="190"/>
      <c r="S659" s="191"/>
      <c r="T659" s="200"/>
    </row>
    <row r="660" spans="1:20" s="8" customFormat="1" ht="13.5" customHeight="1" x14ac:dyDescent="0.25">
      <c r="A660" s="214" t="s">
        <v>298</v>
      </c>
      <c r="B660" s="7" t="s">
        <v>1712</v>
      </c>
      <c r="C660" s="190"/>
      <c r="D660" s="60"/>
      <c r="E660" s="60"/>
      <c r="F660" s="60"/>
      <c r="G660" s="200" t="str">
        <f t="shared" si="37"/>
        <v/>
      </c>
      <c r="H660" s="192"/>
      <c r="I660" s="60"/>
      <c r="J660" s="60"/>
      <c r="K660" s="60"/>
      <c r="L660" s="200" t="str">
        <f t="shared" si="38"/>
        <v/>
      </c>
      <c r="M660" s="192"/>
      <c r="N660" s="60"/>
      <c r="O660" s="60"/>
      <c r="P660" s="60"/>
      <c r="Q660" s="200" t="str">
        <f t="shared" si="39"/>
        <v/>
      </c>
      <c r="R660" s="192"/>
      <c r="S660" s="60"/>
      <c r="T660" s="205"/>
    </row>
    <row r="661" spans="1:20" s="8" customFormat="1" ht="13.5" customHeight="1" x14ac:dyDescent="0.25">
      <c r="A661" s="214" t="s">
        <v>298</v>
      </c>
      <c r="B661" s="172" t="s">
        <v>1715</v>
      </c>
      <c r="C661" s="190"/>
      <c r="D661" s="60"/>
      <c r="E661" s="60"/>
      <c r="F661" s="60"/>
      <c r="G661" s="200" t="str">
        <f t="shared" si="37"/>
        <v/>
      </c>
      <c r="H661" s="192"/>
      <c r="I661" s="60"/>
      <c r="J661" s="60"/>
      <c r="K661" s="60"/>
      <c r="L661" s="200" t="str">
        <f t="shared" si="38"/>
        <v/>
      </c>
      <c r="M661" s="192"/>
      <c r="N661" s="60"/>
      <c r="O661" s="60"/>
      <c r="P661" s="60"/>
      <c r="Q661" s="200" t="str">
        <f t="shared" si="39"/>
        <v/>
      </c>
      <c r="R661" s="192"/>
      <c r="S661" s="60"/>
      <c r="T661" s="205"/>
    </row>
    <row r="662" spans="1:20" s="8" customFormat="1" ht="13.5" customHeight="1" x14ac:dyDescent="0.25">
      <c r="A662" s="214" t="s">
        <v>298</v>
      </c>
      <c r="B662" s="7" t="s">
        <v>1718</v>
      </c>
      <c r="C662" s="190"/>
      <c r="D662" s="60"/>
      <c r="E662" s="60"/>
      <c r="F662" s="60"/>
      <c r="G662" s="200" t="str">
        <f t="shared" si="37"/>
        <v/>
      </c>
      <c r="H662" s="192"/>
      <c r="I662" s="60"/>
      <c r="J662" s="60"/>
      <c r="K662" s="60"/>
      <c r="L662" s="200" t="str">
        <f t="shared" si="38"/>
        <v/>
      </c>
      <c r="M662" s="192"/>
      <c r="N662" s="60"/>
      <c r="O662" s="60"/>
      <c r="P662" s="60"/>
      <c r="Q662" s="200" t="str">
        <f t="shared" si="39"/>
        <v/>
      </c>
      <c r="R662" s="192"/>
      <c r="S662" s="60"/>
      <c r="T662" s="205"/>
    </row>
    <row r="663" spans="1:20" s="8" customFormat="1" ht="13.5" customHeight="1" x14ac:dyDescent="0.25">
      <c r="A663" s="214" t="s">
        <v>298</v>
      </c>
      <c r="B663" s="7" t="s">
        <v>1721</v>
      </c>
      <c r="C663" s="190"/>
      <c r="D663" s="60"/>
      <c r="E663" s="60"/>
      <c r="F663" s="60"/>
      <c r="G663" s="200" t="str">
        <f t="shared" si="37"/>
        <v/>
      </c>
      <c r="H663" s="192"/>
      <c r="I663" s="60"/>
      <c r="J663" s="60"/>
      <c r="K663" s="60"/>
      <c r="L663" s="200" t="str">
        <f t="shared" si="38"/>
        <v/>
      </c>
      <c r="M663" s="192"/>
      <c r="N663" s="60"/>
      <c r="O663" s="60"/>
      <c r="P663" s="60"/>
      <c r="Q663" s="200" t="str">
        <f t="shared" si="39"/>
        <v/>
      </c>
      <c r="R663" s="192"/>
      <c r="S663" s="60"/>
      <c r="T663" s="205"/>
    </row>
    <row r="664" spans="1:20" s="8" customFormat="1" ht="13.5" customHeight="1" x14ac:dyDescent="0.25">
      <c r="A664" s="214" t="s">
        <v>298</v>
      </c>
      <c r="B664" s="7" t="s">
        <v>280</v>
      </c>
      <c r="C664" s="190"/>
      <c r="D664" s="191"/>
      <c r="E664" s="191"/>
      <c r="F664" s="191"/>
      <c r="G664" s="200" t="str">
        <f t="shared" si="37"/>
        <v/>
      </c>
      <c r="H664" s="190"/>
      <c r="I664" s="191"/>
      <c r="J664" s="191"/>
      <c r="K664" s="191"/>
      <c r="L664" s="200" t="str">
        <f t="shared" si="38"/>
        <v/>
      </c>
      <c r="M664" s="190"/>
      <c r="N664" s="191"/>
      <c r="O664" s="191"/>
      <c r="P664" s="191"/>
      <c r="Q664" s="200" t="str">
        <f t="shared" si="39"/>
        <v/>
      </c>
      <c r="R664" s="190"/>
      <c r="S664" s="191">
        <v>55</v>
      </c>
      <c r="T664" s="200"/>
    </row>
    <row r="665" spans="1:20" s="8" customFormat="1" ht="13.5" customHeight="1" x14ac:dyDescent="0.25">
      <c r="A665" s="214" t="s">
        <v>298</v>
      </c>
      <c r="B665" s="7" t="s">
        <v>192</v>
      </c>
      <c r="C665" s="190"/>
      <c r="D665" s="191"/>
      <c r="E665" s="191"/>
      <c r="F665" s="191"/>
      <c r="G665" s="200" t="str">
        <f t="shared" si="37"/>
        <v/>
      </c>
      <c r="H665" s="190"/>
      <c r="I665" s="191"/>
      <c r="J665" s="191"/>
      <c r="K665" s="191"/>
      <c r="L665" s="200" t="str">
        <f>IF(K665=1,"New","")</f>
        <v/>
      </c>
      <c r="M665" s="190" t="s">
        <v>310</v>
      </c>
      <c r="N665" s="191">
        <v>2</v>
      </c>
      <c r="O665" s="191">
        <v>1</v>
      </c>
      <c r="P665" s="191"/>
      <c r="Q665" s="200" t="str">
        <f t="shared" si="39"/>
        <v/>
      </c>
      <c r="R665" s="190"/>
      <c r="S665" s="191">
        <v>40</v>
      </c>
      <c r="T665" s="200"/>
    </row>
    <row r="666" spans="1:20" s="8" customFormat="1" ht="13.5" customHeight="1" x14ac:dyDescent="0.25">
      <c r="A666" s="214" t="s">
        <v>298</v>
      </c>
      <c r="B666" s="7" t="s">
        <v>151</v>
      </c>
      <c r="C666" s="190"/>
      <c r="D666" s="191"/>
      <c r="E666" s="191"/>
      <c r="F666" s="191"/>
      <c r="G666" s="200" t="str">
        <f t="shared" si="37"/>
        <v/>
      </c>
      <c r="H666" s="190"/>
      <c r="I666" s="191"/>
      <c r="J666" s="191"/>
      <c r="K666" s="191"/>
      <c r="L666" s="200" t="str">
        <f t="shared" ref="L666:L698" si="40">IF(K666=1,"New","")</f>
        <v/>
      </c>
      <c r="M666" s="190"/>
      <c r="N666" s="191"/>
      <c r="O666" s="191"/>
      <c r="P666" s="191"/>
      <c r="Q666" s="200" t="str">
        <f t="shared" si="39"/>
        <v/>
      </c>
      <c r="R666" s="190"/>
      <c r="S666" s="191"/>
      <c r="T666" s="200"/>
    </row>
    <row r="667" spans="1:20" s="8" customFormat="1" ht="13.5" customHeight="1" x14ac:dyDescent="0.25">
      <c r="A667" s="214" t="s">
        <v>298</v>
      </c>
      <c r="B667" s="7" t="s">
        <v>1724</v>
      </c>
      <c r="C667" s="190"/>
      <c r="D667" s="60"/>
      <c r="E667" s="60"/>
      <c r="F667" s="60"/>
      <c r="G667" s="200" t="str">
        <f t="shared" si="37"/>
        <v/>
      </c>
      <c r="H667" s="192"/>
      <c r="I667" s="60"/>
      <c r="J667" s="60"/>
      <c r="K667" s="60"/>
      <c r="L667" s="200" t="str">
        <f t="shared" si="40"/>
        <v/>
      </c>
      <c r="M667" s="192"/>
      <c r="N667" s="60"/>
      <c r="O667" s="60"/>
      <c r="P667" s="60"/>
      <c r="Q667" s="200" t="str">
        <f t="shared" si="39"/>
        <v/>
      </c>
      <c r="R667" s="192"/>
      <c r="S667" s="60"/>
      <c r="T667" s="205"/>
    </row>
    <row r="668" spans="1:20" s="8" customFormat="1" ht="13.5" customHeight="1" x14ac:dyDescent="0.25">
      <c r="A668" s="214" t="s">
        <v>298</v>
      </c>
      <c r="B668" s="7" t="s">
        <v>1726</v>
      </c>
      <c r="C668" s="190"/>
      <c r="D668" s="60"/>
      <c r="E668" s="60"/>
      <c r="F668" s="60"/>
      <c r="G668" s="200" t="str">
        <f t="shared" si="37"/>
        <v/>
      </c>
      <c r="H668" s="192"/>
      <c r="I668" s="60"/>
      <c r="J668" s="60"/>
      <c r="K668" s="60"/>
      <c r="L668" s="200" t="str">
        <f t="shared" si="40"/>
        <v/>
      </c>
      <c r="M668" s="192"/>
      <c r="N668" s="60"/>
      <c r="O668" s="60"/>
      <c r="P668" s="60"/>
      <c r="Q668" s="200" t="str">
        <f t="shared" si="39"/>
        <v/>
      </c>
      <c r="R668" s="192"/>
      <c r="S668" s="60"/>
      <c r="T668" s="205"/>
    </row>
    <row r="669" spans="1:20" s="8" customFormat="1" ht="13.5" customHeight="1" x14ac:dyDescent="0.25">
      <c r="A669" s="214" t="s">
        <v>298</v>
      </c>
      <c r="B669" s="7" t="s">
        <v>1728</v>
      </c>
      <c r="C669" s="190"/>
      <c r="D669" s="60"/>
      <c r="E669" s="60"/>
      <c r="F669" s="60"/>
      <c r="G669" s="200" t="str">
        <f t="shared" si="37"/>
        <v/>
      </c>
      <c r="H669" s="192"/>
      <c r="I669" s="60"/>
      <c r="J669" s="60"/>
      <c r="K669" s="60"/>
      <c r="L669" s="200" t="str">
        <f t="shared" si="40"/>
        <v/>
      </c>
      <c r="M669" s="192"/>
      <c r="N669" s="60"/>
      <c r="O669" s="60"/>
      <c r="P669" s="60"/>
      <c r="Q669" s="200" t="str">
        <f t="shared" si="39"/>
        <v/>
      </c>
      <c r="R669" s="192"/>
      <c r="S669" s="60"/>
      <c r="T669" s="205"/>
    </row>
    <row r="670" spans="1:20" s="8" customFormat="1" ht="13.5" customHeight="1" x14ac:dyDescent="0.25">
      <c r="A670" s="214" t="s">
        <v>298</v>
      </c>
      <c r="B670" s="18" t="s">
        <v>23</v>
      </c>
      <c r="C670" s="190"/>
      <c r="D670" s="191"/>
      <c r="E670" s="191"/>
      <c r="F670" s="191"/>
      <c r="G670" s="200" t="str">
        <f t="shared" si="37"/>
        <v/>
      </c>
      <c r="H670" s="190"/>
      <c r="I670" s="191"/>
      <c r="J670" s="191"/>
      <c r="K670" s="191"/>
      <c r="L670" s="200" t="str">
        <f t="shared" si="40"/>
        <v/>
      </c>
      <c r="M670" s="190"/>
      <c r="N670" s="191"/>
      <c r="O670" s="191"/>
      <c r="P670" s="191"/>
      <c r="Q670" s="200" t="str">
        <f t="shared" si="39"/>
        <v/>
      </c>
      <c r="R670" s="190"/>
      <c r="S670" s="191">
        <v>40</v>
      </c>
      <c r="T670" s="200"/>
    </row>
    <row r="671" spans="1:20" s="8" customFormat="1" ht="13.5" customHeight="1" x14ac:dyDescent="0.25">
      <c r="A671" s="214" t="s">
        <v>298</v>
      </c>
      <c r="B671" s="7" t="s">
        <v>1731</v>
      </c>
      <c r="C671" s="190" t="s">
        <v>310</v>
      </c>
      <c r="D671" s="60">
        <v>1</v>
      </c>
      <c r="E671" s="60">
        <v>1</v>
      </c>
      <c r="F671" s="60"/>
      <c r="G671" s="200" t="str">
        <f t="shared" si="37"/>
        <v/>
      </c>
      <c r="H671" s="192"/>
      <c r="I671" s="60"/>
      <c r="J671" s="60"/>
      <c r="K671" s="60"/>
      <c r="L671" s="200" t="str">
        <f t="shared" si="40"/>
        <v/>
      </c>
      <c r="M671" s="192"/>
      <c r="N671" s="60"/>
      <c r="O671" s="60"/>
      <c r="P671" s="60"/>
      <c r="Q671" s="200" t="str">
        <f t="shared" si="39"/>
        <v/>
      </c>
      <c r="R671" s="192"/>
      <c r="S671" s="60"/>
      <c r="T671" s="205"/>
    </row>
    <row r="672" spans="1:20" s="8" customFormat="1" ht="13.5" customHeight="1" x14ac:dyDescent="0.25">
      <c r="A672" s="214" t="s">
        <v>298</v>
      </c>
      <c r="B672" s="7" t="s">
        <v>1733</v>
      </c>
      <c r="C672" s="190"/>
      <c r="D672" s="60"/>
      <c r="E672" s="60"/>
      <c r="F672" s="60"/>
      <c r="G672" s="200" t="str">
        <f t="shared" si="37"/>
        <v/>
      </c>
      <c r="H672" s="192"/>
      <c r="I672" s="60"/>
      <c r="J672" s="60"/>
      <c r="K672" s="60"/>
      <c r="L672" s="200" t="str">
        <f t="shared" si="40"/>
        <v/>
      </c>
      <c r="M672" s="192"/>
      <c r="N672" s="60"/>
      <c r="O672" s="60"/>
      <c r="P672" s="60"/>
      <c r="Q672" s="200" t="str">
        <f t="shared" si="39"/>
        <v/>
      </c>
      <c r="R672" s="192"/>
      <c r="S672" s="60"/>
      <c r="T672" s="205"/>
    </row>
    <row r="673" spans="1:20" s="8" customFormat="1" ht="13.5" customHeight="1" x14ac:dyDescent="0.25">
      <c r="A673" s="214" t="s">
        <v>298</v>
      </c>
      <c r="B673" s="7" t="s">
        <v>1736</v>
      </c>
      <c r="C673" s="190"/>
      <c r="D673" s="60"/>
      <c r="E673" s="60"/>
      <c r="F673" s="60"/>
      <c r="G673" s="200" t="str">
        <f t="shared" si="37"/>
        <v/>
      </c>
      <c r="H673" s="192"/>
      <c r="I673" s="60"/>
      <c r="J673" s="60"/>
      <c r="K673" s="60"/>
      <c r="L673" s="200" t="str">
        <f t="shared" si="40"/>
        <v/>
      </c>
      <c r="M673" s="192"/>
      <c r="N673" s="60"/>
      <c r="O673" s="60"/>
      <c r="P673" s="60"/>
      <c r="Q673" s="200" t="str">
        <f t="shared" si="39"/>
        <v/>
      </c>
      <c r="R673" s="192"/>
      <c r="S673" s="60"/>
      <c r="T673" s="205"/>
    </row>
    <row r="674" spans="1:20" s="8" customFormat="1" ht="13.5" customHeight="1" x14ac:dyDescent="0.25">
      <c r="A674" s="214" t="s">
        <v>298</v>
      </c>
      <c r="B674" s="7" t="s">
        <v>1739</v>
      </c>
      <c r="C674" s="190"/>
      <c r="D674" s="60"/>
      <c r="E674" s="60"/>
      <c r="F674" s="60"/>
      <c r="G674" s="200" t="str">
        <f t="shared" si="37"/>
        <v/>
      </c>
      <c r="H674" s="192"/>
      <c r="I674" s="60"/>
      <c r="J674" s="60"/>
      <c r="K674" s="60"/>
      <c r="L674" s="200" t="str">
        <f t="shared" si="40"/>
        <v/>
      </c>
      <c r="M674" s="192"/>
      <c r="N674" s="60"/>
      <c r="O674" s="60"/>
      <c r="P674" s="60"/>
      <c r="Q674" s="200" t="str">
        <f t="shared" si="39"/>
        <v/>
      </c>
      <c r="R674" s="192"/>
      <c r="S674" s="60"/>
      <c r="T674" s="205"/>
    </row>
    <row r="675" spans="1:20" s="8" customFormat="1" ht="13.5" customHeight="1" x14ac:dyDescent="0.25">
      <c r="A675" s="214" t="s">
        <v>298</v>
      </c>
      <c r="B675" s="7" t="s">
        <v>1804</v>
      </c>
      <c r="C675" s="190" t="s">
        <v>310</v>
      </c>
      <c r="D675" s="60">
        <v>1</v>
      </c>
      <c r="E675" s="60"/>
      <c r="F675" s="60"/>
      <c r="G675" s="200" t="str">
        <f t="shared" si="37"/>
        <v/>
      </c>
      <c r="H675" s="192"/>
      <c r="I675" s="60"/>
      <c r="J675" s="60"/>
      <c r="K675" s="60"/>
      <c r="L675" s="200"/>
      <c r="M675" s="192"/>
      <c r="N675" s="60"/>
      <c r="O675" s="60"/>
      <c r="P675" s="60"/>
      <c r="Q675" s="200"/>
      <c r="R675" s="192"/>
      <c r="S675" s="60"/>
      <c r="T675" s="205"/>
    </row>
    <row r="676" spans="1:20" s="8" customFormat="1" ht="13.5" customHeight="1" x14ac:dyDescent="0.25">
      <c r="A676" s="214" t="s">
        <v>298</v>
      </c>
      <c r="B676" s="7" t="s">
        <v>1807</v>
      </c>
      <c r="C676" s="190" t="s">
        <v>310</v>
      </c>
      <c r="D676" s="60">
        <v>1</v>
      </c>
      <c r="E676" s="60"/>
      <c r="F676" s="60"/>
      <c r="G676" s="200" t="str">
        <f t="shared" si="37"/>
        <v/>
      </c>
      <c r="H676" s="192"/>
      <c r="I676" s="60"/>
      <c r="J676" s="60"/>
      <c r="K676" s="60"/>
      <c r="L676" s="200"/>
      <c r="M676" s="192"/>
      <c r="N676" s="60"/>
      <c r="O676" s="60"/>
      <c r="P676" s="60"/>
      <c r="Q676" s="200"/>
      <c r="R676" s="192"/>
      <c r="S676" s="60"/>
      <c r="T676" s="205"/>
    </row>
    <row r="677" spans="1:20" s="8" customFormat="1" ht="13.5" customHeight="1" x14ac:dyDescent="0.25">
      <c r="A677" s="214" t="s">
        <v>298</v>
      </c>
      <c r="B677" s="7" t="s">
        <v>1808</v>
      </c>
      <c r="C677" s="190" t="s">
        <v>310</v>
      </c>
      <c r="D677" s="60">
        <v>1</v>
      </c>
      <c r="E677" s="60"/>
      <c r="F677" s="60"/>
      <c r="G677" s="200" t="str">
        <f t="shared" si="37"/>
        <v/>
      </c>
      <c r="H677" s="192"/>
      <c r="I677" s="60"/>
      <c r="J677" s="60"/>
      <c r="K677" s="60"/>
      <c r="L677" s="200"/>
      <c r="M677" s="192"/>
      <c r="N677" s="60"/>
      <c r="O677" s="60"/>
      <c r="P677" s="60"/>
      <c r="Q677" s="200"/>
      <c r="R677" s="192"/>
      <c r="S677" s="60"/>
      <c r="T677" s="205"/>
    </row>
    <row r="678" spans="1:20" s="8" customFormat="1" ht="13.5" customHeight="1" x14ac:dyDescent="0.25">
      <c r="A678" s="214" t="s">
        <v>298</v>
      </c>
      <c r="B678" s="7" t="s">
        <v>252</v>
      </c>
      <c r="C678" s="190"/>
      <c r="D678" s="191"/>
      <c r="E678" s="191"/>
      <c r="F678" s="191"/>
      <c r="G678" s="200" t="str">
        <f t="shared" si="37"/>
        <v/>
      </c>
      <c r="H678" s="190"/>
      <c r="I678" s="191"/>
      <c r="J678" s="191"/>
      <c r="K678" s="191"/>
      <c r="L678" s="200" t="str">
        <f t="shared" si="40"/>
        <v/>
      </c>
      <c r="M678" s="190"/>
      <c r="N678" s="191"/>
      <c r="O678" s="191"/>
      <c r="P678" s="191"/>
      <c r="Q678" s="200" t="str">
        <f t="shared" si="39"/>
        <v/>
      </c>
      <c r="R678" s="190"/>
      <c r="S678" s="191">
        <v>45</v>
      </c>
      <c r="T678" s="200"/>
    </row>
    <row r="679" spans="1:20" s="8" customFormat="1" ht="13.5" customHeight="1" x14ac:dyDescent="0.25">
      <c r="A679" s="214" t="s">
        <v>298</v>
      </c>
      <c r="B679" s="172" t="s">
        <v>1741</v>
      </c>
      <c r="C679" s="190"/>
      <c r="D679" s="60"/>
      <c r="E679" s="60"/>
      <c r="F679" s="60"/>
      <c r="G679" s="200" t="str">
        <f t="shared" si="37"/>
        <v/>
      </c>
      <c r="H679" s="192"/>
      <c r="I679" s="60"/>
      <c r="J679" s="60"/>
      <c r="K679" s="60"/>
      <c r="L679" s="200" t="str">
        <f t="shared" si="40"/>
        <v/>
      </c>
      <c r="M679" s="192"/>
      <c r="N679" s="60"/>
      <c r="O679" s="60"/>
      <c r="P679" s="60"/>
      <c r="Q679" s="200" t="str">
        <f t="shared" si="39"/>
        <v/>
      </c>
      <c r="R679" s="192"/>
      <c r="S679" s="60"/>
      <c r="T679" s="205"/>
    </row>
    <row r="680" spans="1:20" s="8" customFormat="1" ht="13.5" customHeight="1" x14ac:dyDescent="0.25">
      <c r="A680" s="214" t="s">
        <v>298</v>
      </c>
      <c r="B680" s="7" t="s">
        <v>1742</v>
      </c>
      <c r="C680" s="190"/>
      <c r="D680" s="60"/>
      <c r="E680" s="60"/>
      <c r="F680" s="60"/>
      <c r="G680" s="200" t="str">
        <f t="shared" si="37"/>
        <v/>
      </c>
      <c r="H680" s="192"/>
      <c r="I680" s="60"/>
      <c r="J680" s="60"/>
      <c r="K680" s="60"/>
      <c r="L680" s="200" t="str">
        <f t="shared" si="40"/>
        <v/>
      </c>
      <c r="M680" s="192"/>
      <c r="N680" s="60"/>
      <c r="O680" s="60"/>
      <c r="P680" s="60"/>
      <c r="Q680" s="200" t="str">
        <f t="shared" si="39"/>
        <v/>
      </c>
      <c r="R680" s="192"/>
      <c r="S680" s="60"/>
      <c r="T680" s="205"/>
    </row>
    <row r="681" spans="1:20" s="8" customFormat="1" ht="13.5" customHeight="1" x14ac:dyDescent="0.25">
      <c r="A681" s="214" t="s">
        <v>298</v>
      </c>
      <c r="B681" s="7" t="s">
        <v>159</v>
      </c>
      <c r="C681" s="190"/>
      <c r="D681" s="191"/>
      <c r="E681" s="191"/>
      <c r="F681" s="191"/>
      <c r="G681" s="200" t="str">
        <f t="shared" si="37"/>
        <v/>
      </c>
      <c r="H681" s="190"/>
      <c r="I681" s="191"/>
      <c r="J681" s="191"/>
      <c r="K681" s="191"/>
      <c r="L681" s="200" t="str">
        <f t="shared" si="40"/>
        <v/>
      </c>
      <c r="M681" s="190"/>
      <c r="N681" s="191"/>
      <c r="O681" s="191"/>
      <c r="P681" s="191"/>
      <c r="Q681" s="200" t="str">
        <f t="shared" si="39"/>
        <v/>
      </c>
      <c r="R681" s="190"/>
      <c r="S681" s="191">
        <v>60</v>
      </c>
      <c r="T681" s="200"/>
    </row>
    <row r="682" spans="1:20" s="8" customFormat="1" ht="13.5" customHeight="1" x14ac:dyDescent="0.25">
      <c r="A682" s="214" t="s">
        <v>298</v>
      </c>
      <c r="B682" s="7" t="s">
        <v>1744</v>
      </c>
      <c r="C682" s="202"/>
      <c r="D682" s="203"/>
      <c r="E682" s="203"/>
      <c r="F682" s="203"/>
      <c r="G682" s="200" t="str">
        <f t="shared" si="37"/>
        <v/>
      </c>
      <c r="H682" s="202"/>
      <c r="I682" s="203"/>
      <c r="J682" s="203"/>
      <c r="K682" s="203"/>
      <c r="L682" s="200" t="str">
        <f t="shared" si="40"/>
        <v/>
      </c>
      <c r="M682" s="202"/>
      <c r="N682" s="203"/>
      <c r="O682" s="203"/>
      <c r="P682" s="203"/>
      <c r="Q682" s="200" t="str">
        <f t="shared" si="39"/>
        <v/>
      </c>
      <c r="R682" s="202"/>
      <c r="S682" s="203"/>
      <c r="T682" s="211"/>
    </row>
    <row r="683" spans="1:20" s="8" customFormat="1" ht="13.5" customHeight="1" x14ac:dyDescent="0.25">
      <c r="A683" s="214" t="s">
        <v>298</v>
      </c>
      <c r="B683" s="7" t="s">
        <v>1745</v>
      </c>
      <c r="C683" s="190"/>
      <c r="D683" s="60"/>
      <c r="E683" s="60"/>
      <c r="F683" s="60"/>
      <c r="G683" s="200" t="str">
        <f t="shared" si="37"/>
        <v/>
      </c>
      <c r="H683" s="192"/>
      <c r="I683" s="60"/>
      <c r="J683" s="60"/>
      <c r="K683" s="60"/>
      <c r="L683" s="200" t="str">
        <f t="shared" si="40"/>
        <v/>
      </c>
      <c r="M683" s="192"/>
      <c r="N683" s="60"/>
      <c r="O683" s="60"/>
      <c r="P683" s="60"/>
      <c r="Q683" s="200" t="str">
        <f t="shared" si="39"/>
        <v/>
      </c>
      <c r="R683" s="192"/>
      <c r="S683" s="60"/>
      <c r="T683" s="205"/>
    </row>
    <row r="684" spans="1:20" s="8" customFormat="1" ht="13.5" customHeight="1" x14ac:dyDescent="0.25">
      <c r="A684" s="214" t="s">
        <v>298</v>
      </c>
      <c r="B684" s="172" t="s">
        <v>1747</v>
      </c>
      <c r="C684" s="202"/>
      <c r="D684" s="203"/>
      <c r="E684" s="203"/>
      <c r="F684" s="203"/>
      <c r="G684" s="200" t="str">
        <f t="shared" si="37"/>
        <v/>
      </c>
      <c r="H684" s="202"/>
      <c r="I684" s="203"/>
      <c r="J684" s="203"/>
      <c r="K684" s="203"/>
      <c r="L684" s="200" t="str">
        <f t="shared" si="40"/>
        <v/>
      </c>
      <c r="M684" s="202"/>
      <c r="N684" s="203"/>
      <c r="O684" s="203"/>
      <c r="P684" s="203"/>
      <c r="Q684" s="200" t="str">
        <f t="shared" si="39"/>
        <v/>
      </c>
      <c r="R684" s="202"/>
      <c r="S684" s="203"/>
      <c r="T684" s="211"/>
    </row>
    <row r="685" spans="1:20" s="8" customFormat="1" ht="13.5" customHeight="1" x14ac:dyDescent="0.25">
      <c r="A685" s="214" t="s">
        <v>298</v>
      </c>
      <c r="B685" s="172" t="s">
        <v>1777</v>
      </c>
      <c r="C685" s="202"/>
      <c r="D685" s="203"/>
      <c r="E685" s="203"/>
      <c r="F685" s="203"/>
      <c r="G685" s="200"/>
      <c r="H685" s="202"/>
      <c r="I685" s="203"/>
      <c r="J685" s="203"/>
      <c r="K685" s="203"/>
      <c r="L685" s="200"/>
      <c r="M685" s="202" t="s">
        <v>310</v>
      </c>
      <c r="N685" s="203">
        <v>1</v>
      </c>
      <c r="O685" s="203"/>
      <c r="P685" s="203"/>
      <c r="Q685" s="200" t="str">
        <f t="shared" si="39"/>
        <v/>
      </c>
      <c r="R685" s="202"/>
      <c r="S685" s="203"/>
      <c r="T685" s="211"/>
    </row>
    <row r="686" spans="1:20" s="9" customFormat="1" ht="13.5" customHeight="1" x14ac:dyDescent="0.25">
      <c r="A686" s="214" t="s">
        <v>298</v>
      </c>
      <c r="B686" s="7" t="s">
        <v>197</v>
      </c>
      <c r="C686" s="190"/>
      <c r="D686" s="191"/>
      <c r="E686" s="191"/>
      <c r="F686" s="191"/>
      <c r="G686" s="200" t="str">
        <f t="shared" si="37"/>
        <v/>
      </c>
      <c r="H686" s="190"/>
      <c r="I686" s="191"/>
      <c r="J686" s="191"/>
      <c r="K686" s="191"/>
      <c r="L686" s="200" t="str">
        <f t="shared" si="40"/>
        <v/>
      </c>
      <c r="M686" s="202" t="s">
        <v>310</v>
      </c>
      <c r="N686" s="203">
        <v>1</v>
      </c>
      <c r="O686" s="203"/>
      <c r="P686" s="203"/>
      <c r="Q686" s="200" t="str">
        <f t="shared" ref="Q686:Q687" si="41">IF(P686=1,"New","")</f>
        <v/>
      </c>
      <c r="R686" s="190"/>
      <c r="S686" s="191"/>
      <c r="T686" s="200"/>
    </row>
    <row r="687" spans="1:20" s="9" customFormat="1" ht="13.5" customHeight="1" x14ac:dyDescent="0.25">
      <c r="A687" s="214" t="s">
        <v>298</v>
      </c>
      <c r="B687" s="172" t="s">
        <v>1265</v>
      </c>
      <c r="C687" s="190"/>
      <c r="D687" s="191"/>
      <c r="E687" s="191"/>
      <c r="F687" s="191"/>
      <c r="G687" s="200"/>
      <c r="H687" s="190"/>
      <c r="I687" s="191"/>
      <c r="J687" s="191"/>
      <c r="K687" s="191"/>
      <c r="L687" s="200"/>
      <c r="M687" s="202" t="s">
        <v>310</v>
      </c>
      <c r="N687" s="203">
        <v>1</v>
      </c>
      <c r="O687" s="203"/>
      <c r="P687" s="203"/>
      <c r="Q687" s="200" t="str">
        <f t="shared" si="41"/>
        <v/>
      </c>
      <c r="R687" s="190"/>
      <c r="S687" s="191"/>
      <c r="T687" s="200"/>
    </row>
    <row r="688" spans="1:20" s="8" customFormat="1" ht="13.5" customHeight="1" x14ac:dyDescent="0.25">
      <c r="A688" s="214" t="s">
        <v>298</v>
      </c>
      <c r="B688" s="7" t="s">
        <v>1749</v>
      </c>
      <c r="C688" s="202"/>
      <c r="D688" s="203"/>
      <c r="E688" s="203"/>
      <c r="F688" s="203"/>
      <c r="G688" s="200" t="str">
        <f t="shared" si="37"/>
        <v/>
      </c>
      <c r="H688" s="202"/>
      <c r="I688" s="203"/>
      <c r="J688" s="203"/>
      <c r="K688" s="203"/>
      <c r="L688" s="200" t="str">
        <f t="shared" si="40"/>
        <v/>
      </c>
      <c r="M688" s="202"/>
      <c r="N688" s="203"/>
      <c r="O688" s="203"/>
      <c r="P688" s="203"/>
      <c r="Q688" s="200" t="str">
        <f t="shared" si="39"/>
        <v/>
      </c>
      <c r="R688" s="202"/>
      <c r="S688" s="203"/>
      <c r="T688" s="211"/>
    </row>
    <row r="689" spans="1:21" s="9" customFormat="1" ht="13.5" customHeight="1" x14ac:dyDescent="0.25">
      <c r="A689" s="214" t="s">
        <v>298</v>
      </c>
      <c r="B689" s="7" t="s">
        <v>1752</v>
      </c>
      <c r="C689" s="190"/>
      <c r="D689" s="60"/>
      <c r="E689" s="60"/>
      <c r="F689" s="60"/>
      <c r="G689" s="200" t="str">
        <f t="shared" si="37"/>
        <v/>
      </c>
      <c r="H689" s="192"/>
      <c r="I689" s="60"/>
      <c r="J689" s="60"/>
      <c r="K689" s="60"/>
      <c r="L689" s="200" t="str">
        <f t="shared" si="40"/>
        <v/>
      </c>
      <c r="M689" s="192"/>
      <c r="N689" s="60"/>
      <c r="O689" s="60"/>
      <c r="P689" s="60"/>
      <c r="Q689" s="200" t="str">
        <f t="shared" si="39"/>
        <v/>
      </c>
      <c r="R689" s="192"/>
      <c r="S689" s="60"/>
      <c r="T689" s="205"/>
    </row>
    <row r="690" spans="1:21" s="9" customFormat="1" ht="13.5" customHeight="1" x14ac:dyDescent="0.25">
      <c r="A690" s="214" t="s">
        <v>298</v>
      </c>
      <c r="B690" s="168" t="s">
        <v>1754</v>
      </c>
      <c r="C690" s="190"/>
      <c r="D690" s="60"/>
      <c r="E690" s="60"/>
      <c r="F690" s="60"/>
      <c r="G690" s="200" t="str">
        <f t="shared" si="37"/>
        <v/>
      </c>
      <c r="H690" s="192"/>
      <c r="I690" s="60"/>
      <c r="J690" s="60"/>
      <c r="K690" s="60"/>
      <c r="L690" s="200" t="str">
        <f t="shared" si="40"/>
        <v/>
      </c>
      <c r="M690" s="192"/>
      <c r="N690" s="60"/>
      <c r="O690" s="60"/>
      <c r="P690" s="60"/>
      <c r="Q690" s="200" t="str">
        <f t="shared" si="39"/>
        <v/>
      </c>
      <c r="R690" s="192"/>
      <c r="S690" s="60"/>
      <c r="T690" s="205"/>
    </row>
    <row r="691" spans="1:21" s="8" customFormat="1" ht="13.5" customHeight="1" x14ac:dyDescent="0.25">
      <c r="A691" s="214" t="s">
        <v>298</v>
      </c>
      <c r="B691" s="7" t="s">
        <v>1757</v>
      </c>
      <c r="C691" s="190"/>
      <c r="D691" s="60"/>
      <c r="E691" s="60"/>
      <c r="F691" s="60"/>
      <c r="G691" s="200" t="str">
        <f t="shared" si="37"/>
        <v/>
      </c>
      <c r="H691" s="192"/>
      <c r="I691" s="60"/>
      <c r="J691" s="60"/>
      <c r="K691" s="60"/>
      <c r="L691" s="200" t="str">
        <f t="shared" si="40"/>
        <v/>
      </c>
      <c r="M691" s="192"/>
      <c r="N691" s="60"/>
      <c r="O691" s="60"/>
      <c r="P691" s="60"/>
      <c r="Q691" s="200" t="str">
        <f t="shared" si="39"/>
        <v/>
      </c>
      <c r="R691" s="192"/>
      <c r="S691" s="60"/>
      <c r="T691" s="205"/>
    </row>
    <row r="692" spans="1:21" s="8" customFormat="1" ht="13.5" customHeight="1" x14ac:dyDescent="0.25">
      <c r="A692" s="214" t="s">
        <v>298</v>
      </c>
      <c r="B692" s="172" t="s">
        <v>1759</v>
      </c>
      <c r="C692" s="202"/>
      <c r="D692" s="203"/>
      <c r="E692" s="203"/>
      <c r="F692" s="203"/>
      <c r="G692" s="200" t="str">
        <f t="shared" si="37"/>
        <v/>
      </c>
      <c r="H692" s="202"/>
      <c r="I692" s="203"/>
      <c r="J692" s="203"/>
      <c r="K692" s="203"/>
      <c r="L692" s="200" t="str">
        <f t="shared" si="40"/>
        <v/>
      </c>
      <c r="M692" s="202"/>
      <c r="N692" s="203"/>
      <c r="O692" s="203"/>
      <c r="P692" s="203"/>
      <c r="Q692" s="200" t="str">
        <f t="shared" si="39"/>
        <v/>
      </c>
      <c r="R692" s="202"/>
      <c r="S692" s="203"/>
      <c r="T692" s="211"/>
    </row>
    <row r="693" spans="1:21" s="8" customFormat="1" ht="13.5" customHeight="1" x14ac:dyDescent="0.25">
      <c r="A693" s="214" t="s">
        <v>298</v>
      </c>
      <c r="B693" s="7" t="s">
        <v>282</v>
      </c>
      <c r="C693" s="190" t="s">
        <v>310</v>
      </c>
      <c r="D693" s="191">
        <v>2</v>
      </c>
      <c r="E693" s="191">
        <v>1</v>
      </c>
      <c r="F693" s="191"/>
      <c r="G693" s="200" t="str">
        <f t="shared" si="37"/>
        <v/>
      </c>
      <c r="H693" s="190"/>
      <c r="I693" s="191"/>
      <c r="J693" s="191"/>
      <c r="K693" s="191"/>
      <c r="L693" s="200" t="str">
        <f t="shared" si="40"/>
        <v/>
      </c>
      <c r="M693" s="190" t="s">
        <v>310</v>
      </c>
      <c r="N693" s="191">
        <v>1</v>
      </c>
      <c r="O693" s="191">
        <v>1</v>
      </c>
      <c r="P693" s="191"/>
      <c r="Q693" s="200" t="str">
        <f t="shared" si="39"/>
        <v/>
      </c>
      <c r="R693" s="190"/>
      <c r="S693" s="191"/>
      <c r="T693" s="200"/>
    </row>
    <row r="694" spans="1:21" s="9" customFormat="1" ht="13.5" customHeight="1" x14ac:dyDescent="0.25">
      <c r="A694" s="214" t="s">
        <v>298</v>
      </c>
      <c r="B694" s="7" t="s">
        <v>1762</v>
      </c>
      <c r="C694" s="190"/>
      <c r="D694" s="60"/>
      <c r="E694" s="60"/>
      <c r="F694" s="60"/>
      <c r="G694" s="200" t="str">
        <f t="shared" si="37"/>
        <v/>
      </c>
      <c r="H694" s="192"/>
      <c r="I694" s="60"/>
      <c r="J694" s="60"/>
      <c r="K694" s="60"/>
      <c r="L694" s="200" t="str">
        <f t="shared" si="40"/>
        <v/>
      </c>
      <c r="M694" s="192"/>
      <c r="N694" s="60"/>
      <c r="O694" s="60"/>
      <c r="P694" s="60"/>
      <c r="Q694" s="200" t="str">
        <f t="shared" si="39"/>
        <v/>
      </c>
      <c r="R694" s="192"/>
      <c r="S694" s="60"/>
      <c r="T694" s="205"/>
    </row>
    <row r="695" spans="1:21" s="8" customFormat="1" ht="12" customHeight="1" x14ac:dyDescent="0.25">
      <c r="A695" s="214" t="s">
        <v>298</v>
      </c>
      <c r="B695" s="7" t="s">
        <v>1764</v>
      </c>
      <c r="C695" s="190"/>
      <c r="D695" s="60"/>
      <c r="E695" s="60"/>
      <c r="F695" s="60"/>
      <c r="G695" s="200" t="str">
        <f t="shared" si="37"/>
        <v/>
      </c>
      <c r="H695" s="192"/>
      <c r="I695" s="60"/>
      <c r="J695" s="60"/>
      <c r="K695" s="60"/>
      <c r="L695" s="200" t="str">
        <f t="shared" si="40"/>
        <v/>
      </c>
      <c r="M695" s="192"/>
      <c r="N695" s="60"/>
      <c r="O695" s="60"/>
      <c r="P695" s="60"/>
      <c r="Q695" s="200" t="str">
        <f t="shared" si="39"/>
        <v/>
      </c>
      <c r="R695" s="192"/>
      <c r="S695" s="60"/>
      <c r="T695" s="205"/>
    </row>
    <row r="696" spans="1:21" s="8" customFormat="1" ht="12" customHeight="1" x14ac:dyDescent="0.25">
      <c r="A696" s="214" t="s">
        <v>298</v>
      </c>
      <c r="B696" s="7" t="s">
        <v>1766</v>
      </c>
      <c r="C696" s="190"/>
      <c r="D696" s="204"/>
      <c r="E696" s="204"/>
      <c r="F696" s="204"/>
      <c r="G696" s="200" t="str">
        <f t="shared" si="37"/>
        <v/>
      </c>
      <c r="H696" s="206"/>
      <c r="I696" s="204"/>
      <c r="J696" s="60"/>
      <c r="K696" s="60"/>
      <c r="L696" s="200" t="str">
        <f t="shared" si="40"/>
        <v/>
      </c>
      <c r="M696" s="192"/>
      <c r="N696" s="60"/>
      <c r="O696" s="60"/>
      <c r="P696" s="60"/>
      <c r="Q696" s="200" t="str">
        <f t="shared" si="39"/>
        <v/>
      </c>
      <c r="R696" s="192"/>
      <c r="S696" s="60"/>
      <c r="T696" s="205"/>
    </row>
    <row r="697" spans="1:21" s="8" customFormat="1" ht="12" customHeight="1" x14ac:dyDescent="0.25">
      <c r="A697" s="214" t="s">
        <v>298</v>
      </c>
      <c r="B697" s="7" t="s">
        <v>283</v>
      </c>
      <c r="C697" s="190" t="s">
        <v>310</v>
      </c>
      <c r="D697" s="191">
        <v>1</v>
      </c>
      <c r="E697" s="191"/>
      <c r="F697" s="191"/>
      <c r="G697" s="200" t="str">
        <f t="shared" si="37"/>
        <v/>
      </c>
      <c r="H697" s="190"/>
      <c r="I697" s="191"/>
      <c r="J697" s="191"/>
      <c r="K697" s="191"/>
      <c r="L697" s="200" t="str">
        <f t="shared" si="40"/>
        <v/>
      </c>
      <c r="M697" s="190"/>
      <c r="N697" s="191"/>
      <c r="O697" s="191"/>
      <c r="P697" s="191"/>
      <c r="Q697" s="200" t="str">
        <f t="shared" si="39"/>
        <v/>
      </c>
      <c r="R697" s="190"/>
      <c r="S697" s="191">
        <v>65</v>
      </c>
      <c r="T697" s="200"/>
    </row>
    <row r="698" spans="1:21" s="8" customFormat="1" ht="13.5" customHeight="1" x14ac:dyDescent="0.25">
      <c r="A698" s="216" t="s">
        <v>298</v>
      </c>
      <c r="B698" s="7" t="s">
        <v>1768</v>
      </c>
      <c r="C698" s="201"/>
      <c r="D698" s="185"/>
      <c r="E698" s="185"/>
      <c r="F698" s="185"/>
      <c r="G698" s="208" t="str">
        <f t="shared" si="37"/>
        <v/>
      </c>
      <c r="H698" s="207"/>
      <c r="I698" s="185"/>
      <c r="J698" s="187"/>
      <c r="K698" s="187"/>
      <c r="L698" s="208" t="str">
        <f t="shared" si="40"/>
        <v/>
      </c>
      <c r="M698" s="193"/>
      <c r="N698" s="187"/>
      <c r="O698" s="187"/>
      <c r="P698" s="187"/>
      <c r="Q698" s="208" t="str">
        <f t="shared" si="39"/>
        <v/>
      </c>
      <c r="R698" s="193"/>
      <c r="S698" s="187"/>
      <c r="T698" s="209"/>
    </row>
    <row r="699" spans="1:21" x14ac:dyDescent="0.25">
      <c r="A699" s="188"/>
      <c r="B699" s="188"/>
      <c r="C699" s="191"/>
      <c r="G699" s="191"/>
      <c r="H699" s="191"/>
      <c r="L699" s="191"/>
      <c r="M699" s="191"/>
      <c r="Q699" s="191"/>
      <c r="R699" s="191"/>
      <c r="T699" s="191"/>
      <c r="U699" s="188"/>
    </row>
    <row r="700" spans="1:21" x14ac:dyDescent="0.25">
      <c r="A700" s="188"/>
      <c r="B700" s="188"/>
      <c r="C700" s="191"/>
      <c r="G700" s="191"/>
      <c r="H700" s="191"/>
      <c r="L700" s="191"/>
      <c r="M700" s="191"/>
      <c r="Q700" s="191"/>
      <c r="R700" s="191"/>
      <c r="T700" s="191"/>
      <c r="U700" s="188"/>
    </row>
    <row r="701" spans="1:21" x14ac:dyDescent="0.25">
      <c r="A701" s="188"/>
      <c r="B701" s="188"/>
      <c r="C701" s="191"/>
      <c r="G701" s="191"/>
      <c r="H701" s="191"/>
      <c r="L701" s="191"/>
      <c r="M701" s="191"/>
      <c r="Q701" s="191"/>
      <c r="R701" s="191"/>
      <c r="T701" s="191"/>
      <c r="U701" s="188"/>
    </row>
    <row r="702" spans="1:21" x14ac:dyDescent="0.25">
      <c r="A702" s="188"/>
      <c r="B702" s="188"/>
      <c r="C702" s="191"/>
      <c r="G702" s="191"/>
      <c r="H702" s="191"/>
      <c r="L702" s="191"/>
      <c r="M702" s="191"/>
      <c r="Q702" s="191"/>
      <c r="R702" s="191"/>
      <c r="T702" s="191"/>
      <c r="U702" s="188"/>
    </row>
    <row r="703" spans="1:21" x14ac:dyDescent="0.25">
      <c r="A703" s="188"/>
      <c r="B703" s="188"/>
      <c r="C703" s="191"/>
      <c r="G703" s="191"/>
      <c r="H703" s="191"/>
      <c r="L703" s="191"/>
      <c r="M703" s="191"/>
      <c r="Q703" s="191"/>
      <c r="R703" s="191"/>
      <c r="T703" s="191"/>
      <c r="U703" s="188"/>
    </row>
    <row r="704" spans="1:21" x14ac:dyDescent="0.25">
      <c r="A704" s="188"/>
      <c r="B704" s="188"/>
      <c r="C704" s="191"/>
      <c r="G704" s="191"/>
      <c r="H704" s="191"/>
      <c r="L704" s="191"/>
      <c r="M704" s="191"/>
      <c r="Q704" s="191"/>
      <c r="R704" s="191"/>
      <c r="T704" s="191"/>
      <c r="U704" s="188"/>
    </row>
    <row r="705" spans="1:21" x14ac:dyDescent="0.25">
      <c r="A705" s="188"/>
      <c r="B705" s="188"/>
      <c r="C705" s="191"/>
      <c r="G705" s="191"/>
      <c r="H705" s="191"/>
      <c r="L705" s="191"/>
      <c r="M705" s="191"/>
      <c r="Q705" s="191"/>
      <c r="R705" s="191"/>
      <c r="T705" s="191"/>
      <c r="U705" s="188"/>
    </row>
    <row r="706" spans="1:21" x14ac:dyDescent="0.25">
      <c r="A706" s="188"/>
      <c r="B706" s="188"/>
      <c r="C706" s="191"/>
      <c r="G706" s="191"/>
      <c r="H706" s="191"/>
      <c r="L706" s="191"/>
      <c r="M706" s="191"/>
      <c r="Q706" s="191"/>
      <c r="R706" s="191"/>
      <c r="T706" s="191"/>
      <c r="U706" s="188"/>
    </row>
    <row r="707" spans="1:21" x14ac:dyDescent="0.25">
      <c r="A707" s="188"/>
      <c r="B707" s="188"/>
      <c r="C707" s="191"/>
      <c r="G707" s="191"/>
      <c r="H707" s="191"/>
      <c r="L707" s="191"/>
      <c r="M707" s="191"/>
      <c r="Q707" s="191"/>
      <c r="R707" s="191"/>
      <c r="T707" s="191"/>
      <c r="U707" s="188"/>
    </row>
    <row r="708" spans="1:21" x14ac:dyDescent="0.25">
      <c r="A708" s="188"/>
      <c r="B708" s="188"/>
      <c r="C708" s="191"/>
      <c r="G708" s="191"/>
      <c r="H708" s="191"/>
      <c r="L708" s="191"/>
      <c r="M708" s="191"/>
      <c r="Q708" s="191"/>
      <c r="R708" s="191"/>
      <c r="T708" s="191"/>
      <c r="U708" s="188"/>
    </row>
    <row r="709" spans="1:21" x14ac:dyDescent="0.25">
      <c r="A709" s="188"/>
      <c r="B709" s="188"/>
      <c r="C709" s="191"/>
      <c r="G709" s="191"/>
      <c r="H709" s="191"/>
      <c r="L709" s="191"/>
      <c r="M709" s="191"/>
      <c r="Q709" s="191"/>
      <c r="R709" s="191"/>
      <c r="T709" s="191"/>
      <c r="U709" s="188"/>
    </row>
    <row r="710" spans="1:21" x14ac:dyDescent="0.25">
      <c r="A710" s="188"/>
      <c r="B710" s="188"/>
      <c r="C710" s="191"/>
      <c r="G710" s="191"/>
      <c r="H710" s="191"/>
      <c r="L710" s="191"/>
      <c r="M710" s="191"/>
      <c r="Q710" s="191"/>
      <c r="R710" s="191"/>
      <c r="T710" s="191"/>
      <c r="U710" s="188"/>
    </row>
    <row r="711" spans="1:21" x14ac:dyDescent="0.25">
      <c r="A711" s="188"/>
      <c r="B711" s="188"/>
      <c r="C711" s="191"/>
      <c r="G711" s="191"/>
      <c r="H711" s="191"/>
      <c r="L711" s="191"/>
      <c r="M711" s="191"/>
      <c r="Q711" s="191"/>
      <c r="R711" s="191"/>
      <c r="T711" s="191"/>
      <c r="U711" s="188"/>
    </row>
    <row r="712" spans="1:21" x14ac:dyDescent="0.25">
      <c r="A712" s="188"/>
      <c r="B712" s="188"/>
      <c r="C712" s="191"/>
      <c r="G712" s="191"/>
      <c r="H712" s="191"/>
      <c r="L712" s="191"/>
      <c r="M712" s="191"/>
      <c r="Q712" s="191"/>
      <c r="R712" s="191"/>
      <c r="T712" s="191"/>
      <c r="U712" s="188"/>
    </row>
    <row r="713" spans="1:21" x14ac:dyDescent="0.25">
      <c r="A713" s="188"/>
      <c r="B713" s="188"/>
      <c r="C713" s="191"/>
      <c r="G713" s="191"/>
      <c r="H713" s="191"/>
      <c r="L713" s="191"/>
      <c r="M713" s="191"/>
      <c r="Q713" s="191"/>
      <c r="R713" s="191"/>
      <c r="T713" s="191"/>
      <c r="U713" s="188"/>
    </row>
    <row r="714" spans="1:21" x14ac:dyDescent="0.25">
      <c r="A714" s="188"/>
      <c r="B714" s="188"/>
      <c r="C714" s="191"/>
      <c r="G714" s="191"/>
      <c r="H714" s="191"/>
      <c r="L714" s="191"/>
      <c r="M714" s="191"/>
      <c r="Q714" s="191"/>
      <c r="R714" s="191"/>
      <c r="T714" s="191"/>
      <c r="U714" s="188"/>
    </row>
    <row r="715" spans="1:21" x14ac:dyDescent="0.25">
      <c r="A715" s="188"/>
      <c r="B715" s="188"/>
      <c r="C715" s="191"/>
      <c r="G715" s="191"/>
      <c r="H715" s="191"/>
      <c r="L715" s="191"/>
      <c r="M715" s="191"/>
      <c r="Q715" s="191"/>
      <c r="R715" s="191"/>
      <c r="T715" s="191"/>
      <c r="U715" s="188"/>
    </row>
    <row r="716" spans="1:21" x14ac:dyDescent="0.25">
      <c r="A716" s="188"/>
      <c r="B716" s="188"/>
      <c r="C716" s="191"/>
      <c r="G716" s="191"/>
      <c r="H716" s="191"/>
      <c r="L716" s="191"/>
      <c r="M716" s="191"/>
      <c r="Q716" s="191"/>
      <c r="R716" s="191"/>
      <c r="T716" s="191"/>
      <c r="U716" s="188"/>
    </row>
    <row r="717" spans="1:21" x14ac:dyDescent="0.25">
      <c r="A717" s="188"/>
      <c r="B717" s="188"/>
      <c r="C717" s="191"/>
      <c r="G717" s="191"/>
      <c r="H717" s="191"/>
      <c r="L717" s="191"/>
      <c r="M717" s="191"/>
      <c r="Q717" s="191"/>
      <c r="R717" s="191"/>
      <c r="T717" s="191"/>
      <c r="U717" s="188"/>
    </row>
    <row r="718" spans="1:21" x14ac:dyDescent="0.25">
      <c r="A718" s="188"/>
      <c r="B718" s="188"/>
      <c r="C718" s="191"/>
      <c r="G718" s="191"/>
      <c r="H718" s="191"/>
      <c r="L718" s="191"/>
      <c r="M718" s="191"/>
      <c r="Q718" s="191"/>
      <c r="R718" s="191"/>
      <c r="T718" s="191"/>
      <c r="U718" s="188"/>
    </row>
    <row r="719" spans="1:21" x14ac:dyDescent="0.25">
      <c r="A719" s="188"/>
      <c r="B719" s="188"/>
      <c r="C719" s="191"/>
      <c r="G719" s="191"/>
      <c r="H719" s="191"/>
      <c r="L719" s="191"/>
      <c r="M719" s="191"/>
      <c r="Q719" s="191"/>
      <c r="R719" s="191"/>
      <c r="T719" s="191"/>
      <c r="U719" s="188"/>
    </row>
    <row r="720" spans="1:21" x14ac:dyDescent="0.25">
      <c r="A720" s="188"/>
      <c r="B720" s="188"/>
      <c r="C720" s="191"/>
      <c r="G720" s="191"/>
      <c r="H720" s="191"/>
      <c r="L720" s="191"/>
      <c r="M720" s="191"/>
      <c r="Q720" s="191"/>
      <c r="R720" s="191"/>
      <c r="T720" s="191"/>
      <c r="U720" s="188"/>
    </row>
    <row r="721" spans="1:21" x14ac:dyDescent="0.25">
      <c r="A721" s="188"/>
      <c r="B721" s="188"/>
      <c r="C721" s="191"/>
      <c r="G721" s="191"/>
      <c r="H721" s="191"/>
      <c r="L721" s="191"/>
      <c r="M721" s="191"/>
      <c r="Q721" s="191"/>
      <c r="R721" s="191"/>
      <c r="T721" s="191"/>
      <c r="U721" s="188"/>
    </row>
    <row r="722" spans="1:21" x14ac:dyDescent="0.25">
      <c r="A722" s="188"/>
      <c r="B722" s="188"/>
      <c r="C722" s="191"/>
      <c r="G722" s="191"/>
      <c r="H722" s="191"/>
      <c r="L722" s="191"/>
      <c r="M722" s="191"/>
      <c r="Q722" s="191"/>
      <c r="R722" s="191"/>
      <c r="T722" s="191"/>
      <c r="U722" s="188"/>
    </row>
    <row r="723" spans="1:21" x14ac:dyDescent="0.25">
      <c r="A723" s="188"/>
      <c r="B723" s="188"/>
      <c r="C723" s="191"/>
      <c r="G723" s="191"/>
      <c r="H723" s="191"/>
      <c r="L723" s="191"/>
      <c r="M723" s="191"/>
      <c r="Q723" s="191"/>
      <c r="R723" s="191"/>
      <c r="T723" s="191"/>
      <c r="U723" s="188"/>
    </row>
    <row r="724" spans="1:21" x14ac:dyDescent="0.25">
      <c r="A724" s="188"/>
      <c r="B724" s="188"/>
      <c r="C724" s="191"/>
      <c r="G724" s="191"/>
      <c r="H724" s="191"/>
      <c r="L724" s="191"/>
      <c r="M724" s="191"/>
      <c r="Q724" s="191"/>
      <c r="R724" s="191"/>
      <c r="T724" s="191"/>
      <c r="U724" s="188"/>
    </row>
    <row r="725" spans="1:21" x14ac:dyDescent="0.25">
      <c r="A725" s="188"/>
      <c r="B725" s="188"/>
      <c r="C725" s="191"/>
      <c r="G725" s="191"/>
      <c r="H725" s="191"/>
      <c r="L725" s="191"/>
      <c r="M725" s="191"/>
      <c r="Q725" s="191"/>
      <c r="R725" s="191"/>
      <c r="T725" s="191"/>
      <c r="U725" s="188"/>
    </row>
    <row r="726" spans="1:21" x14ac:dyDescent="0.25">
      <c r="A726" s="188"/>
      <c r="B726" s="188"/>
      <c r="C726" s="191"/>
      <c r="G726" s="191"/>
      <c r="H726" s="191"/>
      <c r="L726" s="191"/>
      <c r="M726" s="191"/>
      <c r="Q726" s="191"/>
      <c r="R726" s="191"/>
      <c r="T726" s="191"/>
      <c r="U726" s="188"/>
    </row>
    <row r="727" spans="1:21" x14ac:dyDescent="0.25">
      <c r="A727" s="188"/>
      <c r="B727" s="188"/>
      <c r="C727" s="191"/>
      <c r="G727" s="191"/>
      <c r="H727" s="191"/>
      <c r="L727" s="191"/>
      <c r="M727" s="191"/>
      <c r="Q727" s="191"/>
      <c r="R727" s="191"/>
      <c r="T727" s="191"/>
      <c r="U727" s="188"/>
    </row>
    <row r="728" spans="1:21" x14ac:dyDescent="0.25">
      <c r="A728" s="188"/>
      <c r="B728" s="188"/>
      <c r="C728" s="191"/>
      <c r="G728" s="191"/>
      <c r="H728" s="191"/>
      <c r="L728" s="191"/>
      <c r="M728" s="191"/>
      <c r="Q728" s="191"/>
      <c r="R728" s="191"/>
      <c r="T728" s="191"/>
      <c r="U728" s="188"/>
    </row>
    <row r="729" spans="1:21" x14ac:dyDescent="0.25">
      <c r="A729" s="188"/>
      <c r="B729" s="188"/>
      <c r="C729" s="191"/>
      <c r="G729" s="191"/>
      <c r="H729" s="191"/>
      <c r="L729" s="191"/>
      <c r="M729" s="191"/>
      <c r="Q729" s="191"/>
      <c r="R729" s="191"/>
      <c r="T729" s="191"/>
      <c r="U729" s="188"/>
    </row>
    <row r="730" spans="1:21" x14ac:dyDescent="0.25">
      <c r="A730" s="188"/>
      <c r="B730" s="188"/>
      <c r="C730" s="191"/>
      <c r="G730" s="191"/>
      <c r="H730" s="191"/>
      <c r="L730" s="191"/>
      <c r="M730" s="191"/>
      <c r="Q730" s="191"/>
      <c r="R730" s="191"/>
      <c r="T730" s="191"/>
      <c r="U730" s="188"/>
    </row>
    <row r="731" spans="1:21" x14ac:dyDescent="0.25">
      <c r="A731" s="188"/>
      <c r="B731" s="188"/>
      <c r="C731" s="191"/>
      <c r="G731" s="191"/>
      <c r="H731" s="191"/>
      <c r="L731" s="191"/>
      <c r="M731" s="191"/>
      <c r="Q731" s="191"/>
      <c r="R731" s="191"/>
      <c r="T731" s="191"/>
      <c r="U731" s="188"/>
    </row>
    <row r="732" spans="1:21" x14ac:dyDescent="0.25">
      <c r="A732" s="188"/>
      <c r="B732" s="188"/>
      <c r="C732" s="191"/>
      <c r="G732" s="191"/>
      <c r="H732" s="191"/>
      <c r="L732" s="191"/>
      <c r="M732" s="191"/>
      <c r="Q732" s="191"/>
      <c r="R732" s="191"/>
      <c r="T732" s="191"/>
      <c r="U732" s="188"/>
    </row>
    <row r="733" spans="1:21" x14ac:dyDescent="0.25">
      <c r="A733" s="188"/>
      <c r="B733" s="188"/>
      <c r="C733" s="191"/>
      <c r="G733" s="191"/>
      <c r="H733" s="191"/>
      <c r="L733" s="191"/>
      <c r="M733" s="191"/>
      <c r="Q733" s="191"/>
      <c r="R733" s="191"/>
      <c r="T733" s="191"/>
      <c r="U733" s="188"/>
    </row>
    <row r="734" spans="1:21" x14ac:dyDescent="0.25">
      <c r="A734" s="188"/>
      <c r="B734" s="188"/>
      <c r="C734" s="191"/>
      <c r="G734" s="191"/>
      <c r="H734" s="191"/>
      <c r="L734" s="191"/>
      <c r="M734" s="191"/>
      <c r="Q734" s="191"/>
      <c r="R734" s="191"/>
      <c r="T734" s="191"/>
      <c r="U734" s="188"/>
    </row>
    <row r="735" spans="1:21" x14ac:dyDescent="0.25">
      <c r="A735" s="188"/>
      <c r="B735" s="188"/>
      <c r="C735" s="191"/>
      <c r="G735" s="191"/>
      <c r="H735" s="191"/>
      <c r="L735" s="191"/>
      <c r="M735" s="191"/>
      <c r="Q735" s="191"/>
      <c r="R735" s="191"/>
      <c r="T735" s="191"/>
      <c r="U735" s="188"/>
    </row>
    <row r="736" spans="1:21" x14ac:dyDescent="0.25">
      <c r="A736" s="188"/>
      <c r="B736" s="188"/>
      <c r="C736" s="191"/>
      <c r="G736" s="191"/>
      <c r="H736" s="191"/>
      <c r="L736" s="191"/>
      <c r="M736" s="191"/>
      <c r="Q736" s="191"/>
      <c r="R736" s="191"/>
      <c r="T736" s="191"/>
      <c r="U736" s="188"/>
    </row>
    <row r="737" spans="1:21" x14ac:dyDescent="0.25">
      <c r="A737" s="188"/>
      <c r="B737" s="188"/>
      <c r="C737" s="191"/>
      <c r="G737" s="191"/>
      <c r="H737" s="191"/>
      <c r="L737" s="191"/>
      <c r="M737" s="191"/>
      <c r="Q737" s="191"/>
      <c r="R737" s="191"/>
      <c r="T737" s="191"/>
      <c r="U737" s="188"/>
    </row>
    <row r="738" spans="1:21" x14ac:dyDescent="0.25">
      <c r="A738" s="188"/>
      <c r="B738" s="188"/>
      <c r="C738" s="191"/>
      <c r="G738" s="191"/>
      <c r="H738" s="191"/>
      <c r="L738" s="191"/>
      <c r="M738" s="191"/>
      <c r="Q738" s="191"/>
      <c r="R738" s="191"/>
      <c r="T738" s="191"/>
      <c r="U738" s="188"/>
    </row>
    <row r="739" spans="1:21" x14ac:dyDescent="0.25">
      <c r="A739" s="188"/>
      <c r="B739" s="188"/>
      <c r="C739" s="191"/>
      <c r="G739" s="191"/>
      <c r="H739" s="191"/>
      <c r="L739" s="191"/>
      <c r="M739" s="191"/>
      <c r="Q739" s="191"/>
      <c r="R739" s="191"/>
      <c r="T739" s="191"/>
      <c r="U739" s="188"/>
    </row>
    <row r="740" spans="1:21" x14ac:dyDescent="0.25">
      <c r="A740" s="188"/>
      <c r="B740" s="188"/>
      <c r="C740" s="191"/>
      <c r="G740" s="191"/>
      <c r="H740" s="191"/>
      <c r="L740" s="191"/>
      <c r="M740" s="191"/>
      <c r="Q740" s="191"/>
      <c r="R740" s="191"/>
      <c r="T740" s="191"/>
      <c r="U740" s="188"/>
    </row>
    <row r="741" spans="1:21" x14ac:dyDescent="0.25">
      <c r="A741" s="188"/>
      <c r="B741" s="188"/>
      <c r="C741" s="191"/>
      <c r="G741" s="191"/>
      <c r="H741" s="191"/>
      <c r="L741" s="191"/>
      <c r="M741" s="191"/>
      <c r="Q741" s="191"/>
      <c r="R741" s="191"/>
      <c r="T741" s="191"/>
      <c r="U741" s="188"/>
    </row>
    <row r="742" spans="1:21" x14ac:dyDescent="0.25">
      <c r="A742" s="188"/>
      <c r="B742" s="188"/>
      <c r="C742" s="191"/>
      <c r="G742" s="191"/>
      <c r="H742" s="191"/>
      <c r="L742" s="191"/>
      <c r="M742" s="191"/>
      <c r="Q742" s="191"/>
      <c r="R742" s="191"/>
      <c r="T742" s="191"/>
      <c r="U742" s="188"/>
    </row>
    <row r="743" spans="1:21" x14ac:dyDescent="0.25">
      <c r="A743" s="188"/>
      <c r="B743" s="188"/>
      <c r="C743" s="191"/>
      <c r="G743" s="191"/>
      <c r="H743" s="191"/>
      <c r="L743" s="191"/>
      <c r="M743" s="191"/>
      <c r="Q743" s="191"/>
      <c r="R743" s="191"/>
      <c r="T743" s="191"/>
      <c r="U743" s="188"/>
    </row>
    <row r="744" spans="1:21" x14ac:dyDescent="0.25">
      <c r="A744" s="188"/>
      <c r="B744" s="188"/>
      <c r="C744" s="191"/>
      <c r="G744" s="191"/>
      <c r="H744" s="191"/>
      <c r="L744" s="191"/>
      <c r="M744" s="191"/>
      <c r="Q744" s="191"/>
      <c r="R744" s="191"/>
      <c r="T744" s="191"/>
      <c r="U744" s="188"/>
    </row>
    <row r="745" spans="1:21" x14ac:dyDescent="0.25">
      <c r="A745" s="188"/>
      <c r="B745" s="188"/>
      <c r="C745" s="191"/>
      <c r="G745" s="191"/>
      <c r="H745" s="191"/>
      <c r="L745" s="191"/>
      <c r="M745" s="191"/>
      <c r="Q745" s="191"/>
      <c r="R745" s="191"/>
      <c r="T745" s="191"/>
      <c r="U745" s="188"/>
    </row>
    <row r="746" spans="1:21" x14ac:dyDescent="0.25">
      <c r="A746" s="188"/>
      <c r="B746" s="188"/>
      <c r="C746" s="191"/>
      <c r="G746" s="191"/>
      <c r="H746" s="191"/>
      <c r="L746" s="191"/>
      <c r="M746" s="191"/>
      <c r="Q746" s="191"/>
      <c r="R746" s="191"/>
      <c r="T746" s="191"/>
      <c r="U746" s="188"/>
    </row>
    <row r="747" spans="1:21" x14ac:dyDescent="0.25">
      <c r="A747" s="188"/>
      <c r="B747" s="188"/>
      <c r="C747" s="191"/>
      <c r="G747" s="191"/>
      <c r="H747" s="191"/>
      <c r="L747" s="191"/>
      <c r="M747" s="191"/>
      <c r="Q747" s="191"/>
      <c r="R747" s="191"/>
      <c r="T747" s="191"/>
      <c r="U747" s="188"/>
    </row>
    <row r="748" spans="1:21" x14ac:dyDescent="0.25">
      <c r="A748" s="188"/>
      <c r="B748" s="188"/>
      <c r="C748" s="191"/>
      <c r="G748" s="191"/>
      <c r="H748" s="191"/>
      <c r="L748" s="191"/>
      <c r="M748" s="191"/>
      <c r="Q748" s="191"/>
      <c r="R748" s="191"/>
      <c r="T748" s="191"/>
      <c r="U748" s="188"/>
    </row>
    <row r="749" spans="1:21" x14ac:dyDescent="0.25">
      <c r="A749" s="188"/>
      <c r="B749" s="188"/>
      <c r="C749" s="191"/>
      <c r="G749" s="191"/>
      <c r="H749" s="191"/>
      <c r="L749" s="191"/>
      <c r="M749" s="191"/>
      <c r="Q749" s="191"/>
      <c r="R749" s="191"/>
      <c r="T749" s="191"/>
      <c r="U749" s="188"/>
    </row>
    <row r="750" spans="1:21" x14ac:dyDescent="0.25">
      <c r="A750" s="188"/>
      <c r="B750" s="188"/>
      <c r="C750" s="191"/>
      <c r="G750" s="191"/>
      <c r="H750" s="191"/>
      <c r="L750" s="191"/>
      <c r="M750" s="191"/>
      <c r="Q750" s="191"/>
      <c r="R750" s="191"/>
      <c r="T750" s="191"/>
      <c r="U750" s="188"/>
    </row>
    <row r="751" spans="1:21" x14ac:dyDescent="0.25">
      <c r="A751" s="188"/>
      <c r="B751" s="188"/>
      <c r="C751" s="191"/>
      <c r="G751" s="191"/>
      <c r="H751" s="191"/>
      <c r="L751" s="191"/>
      <c r="M751" s="191"/>
      <c r="Q751" s="191"/>
      <c r="R751" s="191"/>
      <c r="T751" s="191"/>
      <c r="U751" s="188"/>
    </row>
    <row r="752" spans="1:21" x14ac:dyDescent="0.25">
      <c r="A752" s="188"/>
      <c r="B752" s="188"/>
      <c r="C752" s="191"/>
      <c r="G752" s="191"/>
      <c r="H752" s="191"/>
      <c r="L752" s="191"/>
      <c r="M752" s="191"/>
      <c r="Q752" s="191"/>
      <c r="R752" s="191"/>
      <c r="T752" s="191"/>
      <c r="U752" s="188"/>
    </row>
    <row r="753" spans="1:21" x14ac:dyDescent="0.25">
      <c r="A753" s="188"/>
      <c r="B753" s="188"/>
      <c r="C753" s="191"/>
      <c r="G753" s="191"/>
      <c r="H753" s="191"/>
      <c r="L753" s="191"/>
      <c r="M753" s="191"/>
      <c r="Q753" s="191"/>
      <c r="R753" s="191"/>
      <c r="T753" s="191"/>
      <c r="U753" s="188"/>
    </row>
    <row r="754" spans="1:21" x14ac:dyDescent="0.25">
      <c r="A754" s="188"/>
      <c r="B754" s="188"/>
      <c r="C754" s="191"/>
      <c r="G754" s="191"/>
      <c r="H754" s="191"/>
      <c r="L754" s="191"/>
      <c r="M754" s="191"/>
      <c r="Q754" s="191"/>
      <c r="R754" s="191"/>
      <c r="T754" s="191"/>
      <c r="U754" s="188"/>
    </row>
    <row r="755" spans="1:21" x14ac:dyDescent="0.25">
      <c r="A755" s="188"/>
      <c r="B755" s="188"/>
      <c r="C755" s="191"/>
      <c r="G755" s="191"/>
      <c r="H755" s="191"/>
      <c r="L755" s="191"/>
      <c r="M755" s="191"/>
      <c r="Q755" s="191"/>
      <c r="R755" s="191"/>
      <c r="T755" s="191"/>
      <c r="U755" s="188"/>
    </row>
    <row r="756" spans="1:21" x14ac:dyDescent="0.25">
      <c r="A756" s="188"/>
      <c r="B756" s="188"/>
      <c r="C756" s="191"/>
      <c r="G756" s="191"/>
      <c r="H756" s="191"/>
      <c r="L756" s="191"/>
      <c r="M756" s="191"/>
      <c r="Q756" s="191"/>
      <c r="R756" s="191"/>
      <c r="T756" s="191"/>
      <c r="U756" s="188"/>
    </row>
    <row r="757" spans="1:21" x14ac:dyDescent="0.25">
      <c r="A757" s="188"/>
      <c r="B757" s="188"/>
      <c r="C757" s="191"/>
      <c r="G757" s="191"/>
      <c r="H757" s="191"/>
      <c r="L757" s="191"/>
      <c r="M757" s="191"/>
      <c r="Q757" s="191"/>
      <c r="R757" s="191"/>
      <c r="T757" s="191"/>
      <c r="U757" s="188"/>
    </row>
    <row r="758" spans="1:21" x14ac:dyDescent="0.25">
      <c r="A758" s="188"/>
      <c r="B758" s="188"/>
      <c r="C758" s="191"/>
      <c r="G758" s="191"/>
      <c r="H758" s="191"/>
      <c r="L758" s="191"/>
      <c r="M758" s="191"/>
      <c r="Q758" s="191"/>
      <c r="R758" s="191"/>
      <c r="T758" s="191"/>
      <c r="U758" s="188"/>
    </row>
    <row r="759" spans="1:21" x14ac:dyDescent="0.25">
      <c r="A759" s="188"/>
      <c r="B759" s="188"/>
      <c r="C759" s="191"/>
      <c r="G759" s="191"/>
      <c r="H759" s="191"/>
      <c r="L759" s="191"/>
      <c r="M759" s="191"/>
      <c r="Q759" s="191"/>
      <c r="R759" s="191"/>
      <c r="T759" s="191"/>
      <c r="U759" s="188"/>
    </row>
    <row r="760" spans="1:21" x14ac:dyDescent="0.25">
      <c r="A760" s="188"/>
      <c r="B760" s="188"/>
      <c r="C760" s="191"/>
      <c r="G760" s="191"/>
      <c r="H760" s="191"/>
      <c r="L760" s="191"/>
      <c r="M760" s="191"/>
      <c r="Q760" s="191"/>
      <c r="R760" s="191"/>
      <c r="T760" s="191"/>
      <c r="U760" s="188"/>
    </row>
    <row r="761" spans="1:21" x14ac:dyDescent="0.25">
      <c r="A761" s="188"/>
      <c r="B761" s="188"/>
      <c r="C761" s="191"/>
      <c r="G761" s="191"/>
      <c r="H761" s="191"/>
      <c r="L761" s="191"/>
      <c r="M761" s="191"/>
      <c r="Q761" s="191"/>
      <c r="R761" s="191"/>
      <c r="T761" s="191"/>
      <c r="U761" s="188"/>
    </row>
    <row r="762" spans="1:21" x14ac:dyDescent="0.25">
      <c r="A762" s="188"/>
      <c r="B762" s="188"/>
      <c r="C762" s="191"/>
      <c r="G762" s="191"/>
      <c r="H762" s="191"/>
      <c r="L762" s="191"/>
      <c r="M762" s="191"/>
      <c r="Q762" s="191"/>
      <c r="R762" s="191"/>
      <c r="T762" s="191"/>
      <c r="U762" s="188"/>
    </row>
    <row r="763" spans="1:21" x14ac:dyDescent="0.25">
      <c r="A763" s="188"/>
      <c r="B763" s="188"/>
      <c r="C763" s="191"/>
      <c r="G763" s="191"/>
      <c r="H763" s="191"/>
      <c r="L763" s="191"/>
      <c r="M763" s="191"/>
      <c r="Q763" s="191"/>
      <c r="R763" s="191"/>
      <c r="T763" s="191"/>
      <c r="U763" s="188"/>
    </row>
    <row r="764" spans="1:21" x14ac:dyDescent="0.25">
      <c r="A764" s="188"/>
      <c r="B764" s="188"/>
      <c r="C764" s="191"/>
      <c r="G764" s="191"/>
      <c r="H764" s="191"/>
      <c r="L764" s="191"/>
      <c r="M764" s="191"/>
      <c r="Q764" s="191"/>
      <c r="R764" s="191"/>
      <c r="T764" s="191"/>
      <c r="U764" s="188"/>
    </row>
    <row r="765" spans="1:21" x14ac:dyDescent="0.25">
      <c r="A765" s="188"/>
      <c r="B765" s="188"/>
      <c r="C765" s="191"/>
      <c r="G765" s="191"/>
      <c r="H765" s="191"/>
      <c r="L765" s="191"/>
      <c r="M765" s="191"/>
      <c r="Q765" s="191"/>
      <c r="R765" s="191"/>
      <c r="T765" s="191"/>
      <c r="U765" s="188"/>
    </row>
    <row r="766" spans="1:21" x14ac:dyDescent="0.25">
      <c r="A766" s="188"/>
      <c r="B766" s="188"/>
      <c r="C766" s="191"/>
      <c r="G766" s="191"/>
      <c r="H766" s="191"/>
      <c r="L766" s="191"/>
      <c r="M766" s="191"/>
      <c r="Q766" s="191"/>
      <c r="R766" s="191"/>
      <c r="T766" s="191"/>
      <c r="U766" s="188"/>
    </row>
    <row r="767" spans="1:21" x14ac:dyDescent="0.25">
      <c r="A767" s="188"/>
      <c r="B767" s="188"/>
      <c r="C767" s="191"/>
      <c r="G767" s="191"/>
      <c r="H767" s="191"/>
      <c r="L767" s="191"/>
      <c r="M767" s="191"/>
      <c r="Q767" s="191"/>
      <c r="R767" s="191"/>
      <c r="T767" s="191"/>
      <c r="U767" s="188"/>
    </row>
    <row r="768" spans="1:21" x14ac:dyDescent="0.25">
      <c r="A768" s="188"/>
      <c r="B768" s="188"/>
      <c r="C768" s="191"/>
      <c r="G768" s="191"/>
      <c r="H768" s="191"/>
      <c r="L768" s="191"/>
      <c r="M768" s="191"/>
      <c r="Q768" s="191"/>
      <c r="R768" s="191"/>
      <c r="T768" s="191"/>
      <c r="U768" s="188"/>
    </row>
    <row r="769" spans="1:21" x14ac:dyDescent="0.25">
      <c r="A769" s="188"/>
      <c r="B769" s="188"/>
      <c r="C769" s="191"/>
      <c r="G769" s="191"/>
      <c r="H769" s="191"/>
      <c r="L769" s="191"/>
      <c r="M769" s="191"/>
      <c r="Q769" s="191"/>
      <c r="R769" s="191"/>
      <c r="T769" s="191"/>
      <c r="U769" s="188"/>
    </row>
    <row r="770" spans="1:21" x14ac:dyDescent="0.25">
      <c r="A770" s="188"/>
      <c r="B770" s="188"/>
      <c r="C770" s="191"/>
      <c r="G770" s="191"/>
      <c r="H770" s="191"/>
      <c r="L770" s="191"/>
      <c r="M770" s="191"/>
      <c r="Q770" s="191"/>
      <c r="R770" s="191"/>
      <c r="T770" s="191"/>
      <c r="U770" s="188"/>
    </row>
    <row r="771" spans="1:21" x14ac:dyDescent="0.25">
      <c r="A771" s="188"/>
      <c r="B771" s="188"/>
      <c r="C771" s="191"/>
      <c r="G771" s="191"/>
      <c r="H771" s="191"/>
      <c r="L771" s="191"/>
      <c r="M771" s="191"/>
      <c r="Q771" s="191"/>
      <c r="R771" s="191"/>
      <c r="T771" s="191"/>
      <c r="U771" s="188"/>
    </row>
    <row r="772" spans="1:21" x14ac:dyDescent="0.25">
      <c r="A772" s="188"/>
      <c r="B772" s="188"/>
      <c r="C772" s="191"/>
      <c r="G772" s="191"/>
      <c r="H772" s="191"/>
      <c r="L772" s="191"/>
      <c r="M772" s="191"/>
      <c r="Q772" s="191"/>
      <c r="R772" s="191"/>
      <c r="T772" s="191"/>
      <c r="U772" s="188"/>
    </row>
    <row r="773" spans="1:21" x14ac:dyDescent="0.25">
      <c r="A773" s="188"/>
      <c r="B773" s="188"/>
      <c r="C773" s="191"/>
      <c r="G773" s="191"/>
      <c r="H773" s="191"/>
      <c r="L773" s="191"/>
      <c r="M773" s="191"/>
      <c r="Q773" s="191"/>
      <c r="R773" s="191"/>
      <c r="T773" s="191"/>
      <c r="U773" s="188"/>
    </row>
    <row r="774" spans="1:21" x14ac:dyDescent="0.25">
      <c r="A774" s="188"/>
      <c r="B774" s="188"/>
      <c r="C774" s="191"/>
      <c r="G774" s="191"/>
      <c r="H774" s="191"/>
      <c r="L774" s="191"/>
      <c r="M774" s="191"/>
      <c r="Q774" s="191"/>
      <c r="R774" s="191"/>
      <c r="T774" s="191"/>
      <c r="U774" s="188"/>
    </row>
    <row r="775" spans="1:21" x14ac:dyDescent="0.25">
      <c r="A775" s="188"/>
      <c r="B775" s="188"/>
      <c r="C775" s="191"/>
      <c r="G775" s="191"/>
      <c r="H775" s="191"/>
      <c r="L775" s="191"/>
      <c r="M775" s="191"/>
      <c r="Q775" s="191"/>
      <c r="R775" s="191"/>
      <c r="T775" s="191"/>
      <c r="U775" s="188"/>
    </row>
    <row r="776" spans="1:21" x14ac:dyDescent="0.25">
      <c r="A776" s="188"/>
      <c r="B776" s="188"/>
      <c r="C776" s="191"/>
      <c r="G776" s="191"/>
      <c r="H776" s="191"/>
      <c r="L776" s="191"/>
      <c r="M776" s="191"/>
      <c r="Q776" s="191"/>
      <c r="R776" s="191"/>
      <c r="T776" s="191"/>
      <c r="U776" s="188"/>
    </row>
    <row r="777" spans="1:21" x14ac:dyDescent="0.25">
      <c r="A777" s="188"/>
      <c r="B777" s="188"/>
      <c r="C777" s="191"/>
      <c r="G777" s="191"/>
      <c r="H777" s="191"/>
      <c r="L777" s="191"/>
      <c r="M777" s="191"/>
      <c r="Q777" s="191"/>
      <c r="R777" s="191"/>
      <c r="T777" s="191"/>
      <c r="U777" s="188"/>
    </row>
    <row r="778" spans="1:21" x14ac:dyDescent="0.25">
      <c r="A778" s="188"/>
      <c r="B778" s="188"/>
      <c r="C778" s="191"/>
      <c r="G778" s="191"/>
      <c r="H778" s="191"/>
      <c r="L778" s="191"/>
      <c r="M778" s="191"/>
      <c r="Q778" s="191"/>
      <c r="R778" s="191"/>
      <c r="T778" s="191"/>
      <c r="U778" s="188"/>
    </row>
    <row r="779" spans="1:21" x14ac:dyDescent="0.25">
      <c r="A779" s="188"/>
      <c r="B779" s="188"/>
      <c r="C779" s="191"/>
      <c r="G779" s="191"/>
      <c r="H779" s="191"/>
      <c r="L779" s="191"/>
      <c r="M779" s="191"/>
      <c r="Q779" s="191"/>
      <c r="R779" s="191"/>
      <c r="T779" s="191"/>
      <c r="U779" s="188"/>
    </row>
    <row r="780" spans="1:21" x14ac:dyDescent="0.25">
      <c r="A780" s="188"/>
      <c r="B780" s="188"/>
      <c r="C780" s="191"/>
      <c r="G780" s="191"/>
      <c r="H780" s="191"/>
      <c r="L780" s="191"/>
      <c r="M780" s="191"/>
      <c r="Q780" s="191"/>
      <c r="R780" s="191"/>
      <c r="T780" s="191"/>
      <c r="U780" s="188"/>
    </row>
    <row r="781" spans="1:21" x14ac:dyDescent="0.25">
      <c r="A781" s="188"/>
      <c r="B781" s="188"/>
      <c r="C781" s="191"/>
      <c r="G781" s="191"/>
      <c r="H781" s="191"/>
      <c r="L781" s="191"/>
      <c r="M781" s="191"/>
      <c r="Q781" s="191"/>
      <c r="R781" s="191"/>
      <c r="T781" s="191"/>
      <c r="U781" s="188"/>
    </row>
    <row r="782" spans="1:21" x14ac:dyDescent="0.25">
      <c r="A782" s="188"/>
      <c r="B782" s="188"/>
      <c r="C782" s="191"/>
      <c r="G782" s="191"/>
      <c r="H782" s="191"/>
      <c r="L782" s="191"/>
      <c r="M782" s="191"/>
      <c r="Q782" s="191"/>
      <c r="R782" s="191"/>
      <c r="T782" s="191"/>
      <c r="U782" s="188"/>
    </row>
    <row r="783" spans="1:21" x14ac:dyDescent="0.25">
      <c r="A783" s="188"/>
      <c r="B783" s="188"/>
      <c r="C783" s="191"/>
      <c r="G783" s="191"/>
      <c r="H783" s="191"/>
      <c r="L783" s="191"/>
      <c r="M783" s="191"/>
      <c r="Q783" s="191"/>
      <c r="R783" s="191"/>
      <c r="T783" s="191"/>
      <c r="U783" s="188"/>
    </row>
    <row r="784" spans="1:21" x14ac:dyDescent="0.25">
      <c r="A784" s="188"/>
      <c r="B784" s="188"/>
      <c r="C784" s="191"/>
      <c r="G784" s="191"/>
      <c r="H784" s="191"/>
      <c r="L784" s="191"/>
      <c r="M784" s="191"/>
      <c r="Q784" s="191"/>
      <c r="R784" s="191"/>
      <c r="T784" s="191"/>
      <c r="U784" s="188"/>
    </row>
    <row r="785" spans="1:21" x14ac:dyDescent="0.25">
      <c r="A785" s="188"/>
      <c r="B785" s="188"/>
      <c r="C785" s="191"/>
      <c r="G785" s="191"/>
      <c r="H785" s="191"/>
      <c r="L785" s="191"/>
      <c r="M785" s="191"/>
      <c r="Q785" s="191"/>
      <c r="R785" s="191"/>
      <c r="T785" s="191"/>
      <c r="U785" s="188"/>
    </row>
    <row r="786" spans="1:21" x14ac:dyDescent="0.25">
      <c r="A786" s="188"/>
      <c r="B786" s="188"/>
      <c r="C786" s="191"/>
      <c r="G786" s="191"/>
      <c r="H786" s="191"/>
      <c r="L786" s="191"/>
      <c r="M786" s="191"/>
      <c r="Q786" s="191"/>
      <c r="R786" s="191"/>
      <c r="T786" s="191"/>
      <c r="U786" s="188"/>
    </row>
    <row r="787" spans="1:21" x14ac:dyDescent="0.25">
      <c r="A787" s="188"/>
      <c r="B787" s="188"/>
      <c r="C787" s="191"/>
      <c r="G787" s="191"/>
      <c r="H787" s="191"/>
      <c r="L787" s="191"/>
      <c r="M787" s="191"/>
      <c r="Q787" s="191"/>
      <c r="R787" s="191"/>
      <c r="T787" s="191"/>
      <c r="U787" s="188"/>
    </row>
    <row r="788" spans="1:21" x14ac:dyDescent="0.25">
      <c r="A788" s="188"/>
      <c r="B788" s="188"/>
      <c r="C788" s="191"/>
      <c r="G788" s="191"/>
      <c r="H788" s="191"/>
      <c r="L788" s="191"/>
      <c r="M788" s="191"/>
      <c r="Q788" s="191"/>
      <c r="R788" s="191"/>
      <c r="T788" s="191"/>
      <c r="U788" s="188"/>
    </row>
    <row r="789" spans="1:21" x14ac:dyDescent="0.25">
      <c r="A789" s="188"/>
      <c r="B789" s="188"/>
      <c r="C789" s="191"/>
      <c r="G789" s="191"/>
      <c r="H789" s="191"/>
      <c r="L789" s="191"/>
      <c r="M789" s="191"/>
      <c r="Q789" s="191"/>
      <c r="R789" s="191"/>
      <c r="T789" s="191"/>
      <c r="U789" s="188"/>
    </row>
    <row r="790" spans="1:21" x14ac:dyDescent="0.25">
      <c r="A790" s="188"/>
      <c r="B790" s="188"/>
      <c r="C790" s="191"/>
      <c r="G790" s="191"/>
      <c r="H790" s="191"/>
      <c r="L790" s="191"/>
      <c r="M790" s="191"/>
      <c r="Q790" s="191"/>
      <c r="R790" s="191"/>
      <c r="T790" s="191"/>
      <c r="U790" s="188"/>
    </row>
    <row r="791" spans="1:21" x14ac:dyDescent="0.25">
      <c r="A791" s="188"/>
      <c r="B791" s="188"/>
      <c r="C791" s="191"/>
      <c r="G791" s="191"/>
      <c r="H791" s="191"/>
      <c r="L791" s="191"/>
      <c r="M791" s="191"/>
      <c r="Q791" s="191"/>
      <c r="R791" s="191"/>
      <c r="T791" s="191"/>
      <c r="U791" s="188"/>
    </row>
    <row r="792" spans="1:21" x14ac:dyDescent="0.25">
      <c r="A792" s="188"/>
      <c r="B792" s="188"/>
      <c r="C792" s="191"/>
      <c r="G792" s="191"/>
      <c r="H792" s="191"/>
      <c r="L792" s="191"/>
      <c r="M792" s="191"/>
      <c r="Q792" s="191"/>
      <c r="R792" s="191"/>
      <c r="T792" s="191"/>
      <c r="U792" s="188"/>
    </row>
    <row r="793" spans="1:21" x14ac:dyDescent="0.25">
      <c r="A793" s="188"/>
      <c r="B793" s="188"/>
      <c r="C793" s="191"/>
      <c r="G793" s="191"/>
      <c r="H793" s="191"/>
      <c r="L793" s="191"/>
      <c r="M793" s="191"/>
      <c r="Q793" s="191"/>
      <c r="R793" s="191"/>
      <c r="T793" s="191"/>
      <c r="U793" s="188"/>
    </row>
    <row r="794" spans="1:21" x14ac:dyDescent="0.25">
      <c r="A794" s="188"/>
      <c r="B794" s="188"/>
      <c r="C794" s="191"/>
      <c r="G794" s="191"/>
      <c r="H794" s="191"/>
      <c r="L794" s="191"/>
      <c r="M794" s="191"/>
      <c r="Q794" s="191"/>
      <c r="R794" s="191"/>
      <c r="T794" s="191"/>
      <c r="U794" s="188"/>
    </row>
    <row r="795" spans="1:21" x14ac:dyDescent="0.25">
      <c r="A795" s="188"/>
      <c r="B795" s="188"/>
      <c r="C795" s="191"/>
      <c r="G795" s="191"/>
      <c r="H795" s="191"/>
      <c r="L795" s="191"/>
      <c r="M795" s="191"/>
      <c r="Q795" s="191"/>
      <c r="R795" s="191"/>
      <c r="T795" s="191"/>
      <c r="U795" s="188"/>
    </row>
    <row r="796" spans="1:21" x14ac:dyDescent="0.25">
      <c r="A796" s="188"/>
      <c r="B796" s="188"/>
      <c r="C796" s="191"/>
      <c r="G796" s="191"/>
      <c r="H796" s="191"/>
      <c r="L796" s="191"/>
      <c r="M796" s="191"/>
      <c r="Q796" s="191"/>
      <c r="R796" s="191"/>
      <c r="T796" s="191"/>
      <c r="U796" s="188"/>
    </row>
    <row r="797" spans="1:21" x14ac:dyDescent="0.25">
      <c r="A797" s="188"/>
      <c r="B797" s="188"/>
      <c r="C797" s="191"/>
      <c r="G797" s="191"/>
      <c r="H797" s="191"/>
      <c r="L797" s="191"/>
      <c r="M797" s="191"/>
      <c r="Q797" s="191"/>
      <c r="R797" s="191"/>
      <c r="T797" s="191"/>
      <c r="U797" s="188"/>
    </row>
    <row r="798" spans="1:21" x14ac:dyDescent="0.25">
      <c r="A798" s="188"/>
      <c r="B798" s="188"/>
      <c r="C798" s="191"/>
      <c r="G798" s="191"/>
      <c r="H798" s="191"/>
      <c r="L798" s="191"/>
      <c r="M798" s="191"/>
      <c r="Q798" s="191"/>
      <c r="R798" s="191"/>
      <c r="T798" s="191"/>
      <c r="U798" s="188"/>
    </row>
    <row r="799" spans="1:21" x14ac:dyDescent="0.25">
      <c r="A799" s="188"/>
      <c r="B799" s="188"/>
      <c r="C799" s="191"/>
      <c r="G799" s="191"/>
      <c r="H799" s="191"/>
      <c r="L799" s="191"/>
      <c r="M799" s="191"/>
      <c r="Q799" s="191"/>
      <c r="R799" s="191"/>
      <c r="T799" s="191"/>
      <c r="U799" s="188"/>
    </row>
    <row r="800" spans="1:21" x14ac:dyDescent="0.25">
      <c r="A800" s="188"/>
      <c r="B800" s="188"/>
      <c r="C800" s="191"/>
      <c r="G800" s="191"/>
      <c r="H800" s="191"/>
      <c r="L800" s="191"/>
      <c r="M800" s="191"/>
      <c r="Q800" s="191"/>
      <c r="R800" s="191"/>
      <c r="T800" s="191"/>
      <c r="U800" s="188"/>
    </row>
    <row r="801" spans="1:21" x14ac:dyDescent="0.25">
      <c r="A801" s="188"/>
      <c r="B801" s="188"/>
      <c r="C801" s="191"/>
      <c r="G801" s="191"/>
      <c r="H801" s="191"/>
      <c r="L801" s="191"/>
      <c r="M801" s="191"/>
      <c r="Q801" s="191"/>
      <c r="R801" s="191"/>
      <c r="T801" s="191"/>
      <c r="U801" s="188"/>
    </row>
    <row r="802" spans="1:21" x14ac:dyDescent="0.25">
      <c r="A802" s="188"/>
      <c r="B802" s="188"/>
      <c r="C802" s="191"/>
      <c r="G802" s="191"/>
      <c r="H802" s="191"/>
      <c r="L802" s="191"/>
      <c r="M802" s="191"/>
      <c r="Q802" s="191"/>
      <c r="R802" s="191"/>
      <c r="T802" s="191"/>
      <c r="U802" s="188"/>
    </row>
    <row r="803" spans="1:21" x14ac:dyDescent="0.25">
      <c r="A803" s="188"/>
      <c r="B803" s="188"/>
      <c r="C803" s="191"/>
      <c r="G803" s="191"/>
      <c r="H803" s="191"/>
      <c r="L803" s="191"/>
      <c r="M803" s="191"/>
      <c r="Q803" s="191"/>
      <c r="R803" s="191"/>
      <c r="T803" s="191"/>
      <c r="U803" s="188"/>
    </row>
    <row r="804" spans="1:21" x14ac:dyDescent="0.25">
      <c r="A804" s="188"/>
      <c r="B804" s="188"/>
      <c r="C804" s="191"/>
      <c r="G804" s="191"/>
      <c r="H804" s="191"/>
      <c r="L804" s="191"/>
      <c r="M804" s="191"/>
      <c r="Q804" s="191"/>
      <c r="R804" s="191"/>
      <c r="T804" s="191"/>
      <c r="U804" s="188"/>
    </row>
    <row r="805" spans="1:21" x14ac:dyDescent="0.25">
      <c r="A805" s="188"/>
      <c r="B805" s="188"/>
      <c r="C805" s="191"/>
      <c r="G805" s="191"/>
      <c r="H805" s="191"/>
      <c r="L805" s="191"/>
      <c r="M805" s="191"/>
      <c r="Q805" s="191"/>
      <c r="R805" s="191"/>
      <c r="T805" s="191"/>
      <c r="U805" s="188"/>
    </row>
    <row r="806" spans="1:21" x14ac:dyDescent="0.25">
      <c r="A806" s="188"/>
      <c r="B806" s="188"/>
      <c r="C806" s="191"/>
      <c r="G806" s="191"/>
      <c r="H806" s="191"/>
      <c r="L806" s="191"/>
      <c r="M806" s="191"/>
      <c r="Q806" s="191"/>
      <c r="R806" s="191"/>
      <c r="T806" s="191"/>
      <c r="U806" s="188"/>
    </row>
    <row r="807" spans="1:21" x14ac:dyDescent="0.25">
      <c r="A807" s="188"/>
      <c r="B807" s="188"/>
      <c r="C807" s="191"/>
      <c r="G807" s="191"/>
      <c r="H807" s="191"/>
      <c r="L807" s="191"/>
      <c r="M807" s="191"/>
      <c r="Q807" s="191"/>
      <c r="R807" s="191"/>
      <c r="T807" s="191"/>
      <c r="U807" s="188"/>
    </row>
    <row r="808" spans="1:21" x14ac:dyDescent="0.25">
      <c r="A808" s="188"/>
      <c r="B808" s="188"/>
      <c r="C808" s="191"/>
      <c r="G808" s="191"/>
      <c r="H808" s="191"/>
      <c r="L808" s="191"/>
      <c r="M808" s="191"/>
      <c r="Q808" s="191"/>
      <c r="R808" s="191"/>
      <c r="T808" s="191"/>
      <c r="U808" s="188"/>
    </row>
    <row r="809" spans="1:21" x14ac:dyDescent="0.25">
      <c r="A809" s="188"/>
      <c r="B809" s="188"/>
      <c r="C809" s="191"/>
      <c r="G809" s="191"/>
      <c r="H809" s="191"/>
      <c r="L809" s="191"/>
      <c r="M809" s="191"/>
      <c r="Q809" s="191"/>
      <c r="R809" s="191"/>
      <c r="T809" s="191"/>
      <c r="U809" s="188"/>
    </row>
    <row r="810" spans="1:21" x14ac:dyDescent="0.25">
      <c r="A810" s="188"/>
      <c r="B810" s="188"/>
      <c r="C810" s="191"/>
      <c r="G810" s="191"/>
      <c r="H810" s="191"/>
      <c r="L810" s="191"/>
      <c r="M810" s="191"/>
      <c r="Q810" s="191"/>
      <c r="R810" s="191"/>
      <c r="T810" s="191"/>
      <c r="U810" s="188"/>
    </row>
    <row r="811" spans="1:21" x14ac:dyDescent="0.25">
      <c r="A811" s="188"/>
      <c r="B811" s="188"/>
      <c r="C811" s="191"/>
      <c r="G811" s="191"/>
      <c r="H811" s="191"/>
      <c r="L811" s="191"/>
      <c r="M811" s="191"/>
      <c r="Q811" s="191"/>
      <c r="R811" s="191"/>
      <c r="T811" s="191"/>
      <c r="U811" s="188"/>
    </row>
    <row r="812" spans="1:21" x14ac:dyDescent="0.25">
      <c r="A812" s="188"/>
      <c r="B812" s="188"/>
      <c r="C812" s="191"/>
      <c r="G812" s="191"/>
      <c r="H812" s="191"/>
      <c r="L812" s="191"/>
      <c r="M812" s="191"/>
      <c r="Q812" s="191"/>
      <c r="R812" s="191"/>
      <c r="T812" s="191"/>
      <c r="U812" s="188"/>
    </row>
    <row r="813" spans="1:21" x14ac:dyDescent="0.25">
      <c r="A813" s="188"/>
      <c r="B813" s="188"/>
      <c r="C813" s="191"/>
      <c r="G813" s="191"/>
      <c r="H813" s="191"/>
      <c r="L813" s="191"/>
      <c r="M813" s="191"/>
      <c r="Q813" s="191"/>
      <c r="R813" s="191"/>
      <c r="T813" s="191"/>
      <c r="U813" s="188"/>
    </row>
    <row r="814" spans="1:21" x14ac:dyDescent="0.25">
      <c r="A814" s="188"/>
      <c r="B814" s="188"/>
      <c r="C814" s="191"/>
      <c r="G814" s="191"/>
      <c r="H814" s="191"/>
      <c r="L814" s="191"/>
      <c r="M814" s="191"/>
      <c r="Q814" s="191"/>
      <c r="R814" s="191"/>
      <c r="T814" s="191"/>
      <c r="U814" s="188"/>
    </row>
    <row r="815" spans="1:21" x14ac:dyDescent="0.25">
      <c r="A815" s="188"/>
      <c r="B815" s="188"/>
      <c r="C815" s="191"/>
      <c r="G815" s="191"/>
      <c r="H815" s="191"/>
      <c r="L815" s="191"/>
      <c r="M815" s="191"/>
      <c r="Q815" s="191"/>
      <c r="R815" s="191"/>
      <c r="T815" s="191"/>
      <c r="U815" s="188"/>
    </row>
    <row r="816" spans="1:21" x14ac:dyDescent="0.25">
      <c r="A816" s="188"/>
      <c r="B816" s="188"/>
      <c r="C816" s="191"/>
      <c r="G816" s="191"/>
      <c r="H816" s="191"/>
      <c r="L816" s="191"/>
      <c r="M816" s="191"/>
      <c r="Q816" s="191"/>
      <c r="R816" s="191"/>
      <c r="T816" s="191"/>
      <c r="U816" s="188"/>
    </row>
    <row r="817" spans="1:21" x14ac:dyDescent="0.25">
      <c r="A817" s="188"/>
      <c r="B817" s="188"/>
      <c r="C817" s="191"/>
      <c r="G817" s="191"/>
      <c r="H817" s="191"/>
      <c r="L817" s="191"/>
      <c r="M817" s="191"/>
      <c r="Q817" s="191"/>
      <c r="R817" s="191"/>
      <c r="T817" s="191"/>
      <c r="U817" s="188"/>
    </row>
    <row r="818" spans="1:21" x14ac:dyDescent="0.25">
      <c r="A818" s="188"/>
      <c r="B818" s="188"/>
      <c r="C818" s="191"/>
      <c r="G818" s="191"/>
      <c r="H818" s="191"/>
      <c r="L818" s="191"/>
      <c r="M818" s="191"/>
      <c r="Q818" s="191"/>
      <c r="R818" s="191"/>
      <c r="T818" s="191"/>
      <c r="U818" s="188"/>
    </row>
    <row r="819" spans="1:21" x14ac:dyDescent="0.25">
      <c r="A819" s="188"/>
      <c r="B819" s="188"/>
      <c r="C819" s="191"/>
      <c r="G819" s="191"/>
      <c r="H819" s="191"/>
      <c r="L819" s="191"/>
      <c r="M819" s="191"/>
      <c r="Q819" s="191"/>
      <c r="R819" s="191"/>
      <c r="T819" s="191"/>
      <c r="U819" s="188"/>
    </row>
    <row r="820" spans="1:21" x14ac:dyDescent="0.25">
      <c r="A820" s="188"/>
      <c r="B820" s="188"/>
      <c r="C820" s="191"/>
      <c r="G820" s="191"/>
      <c r="H820" s="191"/>
      <c r="L820" s="191"/>
      <c r="M820" s="191"/>
      <c r="Q820" s="191"/>
      <c r="R820" s="191"/>
      <c r="T820" s="191"/>
      <c r="U820" s="188"/>
    </row>
    <row r="821" spans="1:21" x14ac:dyDescent="0.25">
      <c r="A821" s="188"/>
      <c r="B821" s="188"/>
      <c r="C821" s="191"/>
      <c r="G821" s="191"/>
      <c r="H821" s="191"/>
      <c r="L821" s="191"/>
      <c r="M821" s="191"/>
      <c r="Q821" s="191"/>
      <c r="R821" s="191"/>
      <c r="T821" s="191"/>
      <c r="U821" s="188"/>
    </row>
    <row r="822" spans="1:21" x14ac:dyDescent="0.25">
      <c r="A822" s="188"/>
      <c r="B822" s="188"/>
      <c r="C822" s="191"/>
      <c r="G822" s="191"/>
      <c r="H822" s="191"/>
      <c r="L822" s="191"/>
      <c r="M822" s="191"/>
      <c r="Q822" s="191"/>
      <c r="R822" s="191"/>
      <c r="T822" s="191"/>
      <c r="U822" s="188"/>
    </row>
    <row r="823" spans="1:21" x14ac:dyDescent="0.25">
      <c r="A823" s="188"/>
      <c r="B823" s="188"/>
      <c r="C823" s="191"/>
      <c r="G823" s="191"/>
      <c r="H823" s="191"/>
      <c r="L823" s="191"/>
      <c r="M823" s="191"/>
      <c r="Q823" s="191"/>
      <c r="R823" s="191"/>
      <c r="T823" s="191"/>
      <c r="U823" s="188"/>
    </row>
    <row r="824" spans="1:21" x14ac:dyDescent="0.25">
      <c r="A824" s="188"/>
      <c r="B824" s="188"/>
      <c r="C824" s="191"/>
      <c r="G824" s="191"/>
      <c r="H824" s="191"/>
      <c r="L824" s="191"/>
      <c r="M824" s="191"/>
      <c r="Q824" s="191"/>
      <c r="R824" s="191"/>
      <c r="T824" s="191"/>
      <c r="U824" s="188"/>
    </row>
    <row r="825" spans="1:21" x14ac:dyDescent="0.25">
      <c r="A825" s="188"/>
      <c r="B825" s="188"/>
      <c r="C825" s="191"/>
      <c r="G825" s="191"/>
      <c r="H825" s="191"/>
      <c r="L825" s="191"/>
      <c r="M825" s="191"/>
      <c r="Q825" s="191"/>
      <c r="R825" s="191"/>
      <c r="T825" s="191"/>
      <c r="U825" s="188"/>
    </row>
    <row r="826" spans="1:21" x14ac:dyDescent="0.25">
      <c r="A826" s="188"/>
      <c r="B826" s="188"/>
      <c r="C826" s="191"/>
      <c r="G826" s="191"/>
      <c r="H826" s="191"/>
      <c r="L826" s="191"/>
      <c r="M826" s="191"/>
      <c r="Q826" s="191"/>
      <c r="R826" s="191"/>
      <c r="T826" s="191"/>
      <c r="U826" s="188"/>
    </row>
    <row r="827" spans="1:21" x14ac:dyDescent="0.25">
      <c r="A827" s="188"/>
      <c r="B827" s="188"/>
      <c r="C827" s="191"/>
      <c r="G827" s="191"/>
      <c r="H827" s="191"/>
      <c r="L827" s="191"/>
      <c r="M827" s="191"/>
      <c r="Q827" s="191"/>
      <c r="R827" s="191"/>
      <c r="T827" s="191"/>
      <c r="U827" s="188"/>
    </row>
    <row r="828" spans="1:21" x14ac:dyDescent="0.25">
      <c r="A828" s="188"/>
      <c r="B828" s="188"/>
      <c r="C828" s="191"/>
      <c r="G828" s="191"/>
      <c r="H828" s="191"/>
      <c r="L828" s="191"/>
      <c r="M828" s="191"/>
      <c r="Q828" s="191"/>
      <c r="R828" s="191"/>
      <c r="T828" s="191"/>
      <c r="U828" s="188"/>
    </row>
    <row r="829" spans="1:21" x14ac:dyDescent="0.25">
      <c r="A829" s="188"/>
      <c r="B829" s="188"/>
      <c r="C829" s="191"/>
      <c r="G829" s="191"/>
      <c r="H829" s="191"/>
      <c r="L829" s="191"/>
      <c r="M829" s="191"/>
      <c r="Q829" s="191"/>
      <c r="R829" s="191"/>
      <c r="T829" s="191"/>
      <c r="U829" s="188"/>
    </row>
    <row r="830" spans="1:21" x14ac:dyDescent="0.25">
      <c r="A830" s="188"/>
      <c r="B830" s="188"/>
      <c r="C830" s="191"/>
      <c r="G830" s="191"/>
      <c r="H830" s="191"/>
      <c r="L830" s="191"/>
      <c r="M830" s="191"/>
      <c r="Q830" s="191"/>
      <c r="R830" s="191"/>
      <c r="T830" s="191"/>
      <c r="U830" s="188"/>
    </row>
    <row r="831" spans="1:21" x14ac:dyDescent="0.25">
      <c r="A831" s="188"/>
      <c r="B831" s="188"/>
      <c r="C831" s="191"/>
      <c r="G831" s="191"/>
      <c r="H831" s="191"/>
      <c r="L831" s="191"/>
      <c r="M831" s="191"/>
      <c r="Q831" s="191"/>
      <c r="R831" s="191"/>
      <c r="T831" s="191"/>
      <c r="U831" s="188"/>
    </row>
    <row r="832" spans="1:21" x14ac:dyDescent="0.25">
      <c r="A832" s="188"/>
      <c r="B832" s="188"/>
      <c r="C832" s="191"/>
      <c r="G832" s="191"/>
      <c r="H832" s="191"/>
      <c r="L832" s="191"/>
      <c r="M832" s="191"/>
      <c r="Q832" s="191"/>
      <c r="R832" s="191"/>
      <c r="T832" s="191"/>
      <c r="U832" s="188"/>
    </row>
    <row r="833" spans="1:21" x14ac:dyDescent="0.25">
      <c r="A833" s="188"/>
      <c r="B833" s="188"/>
      <c r="C833" s="191"/>
      <c r="G833" s="191"/>
      <c r="H833" s="191"/>
      <c r="L833" s="191"/>
      <c r="M833" s="191"/>
      <c r="Q833" s="191"/>
      <c r="R833" s="191"/>
      <c r="T833" s="191"/>
      <c r="U833" s="188"/>
    </row>
    <row r="834" spans="1:21" x14ac:dyDescent="0.25">
      <c r="A834" s="188"/>
      <c r="B834" s="188"/>
      <c r="C834" s="191"/>
      <c r="G834" s="191"/>
      <c r="H834" s="191"/>
      <c r="L834" s="191"/>
      <c r="M834" s="191"/>
      <c r="Q834" s="191"/>
      <c r="R834" s="191"/>
      <c r="T834" s="191"/>
      <c r="U834" s="188"/>
    </row>
    <row r="835" spans="1:21" x14ac:dyDescent="0.25">
      <c r="A835" s="188"/>
      <c r="B835" s="188"/>
      <c r="C835" s="191"/>
      <c r="G835" s="191"/>
      <c r="H835" s="191"/>
      <c r="L835" s="191"/>
      <c r="M835" s="191"/>
      <c r="Q835" s="191"/>
      <c r="R835" s="191"/>
      <c r="T835" s="191"/>
      <c r="U835" s="188"/>
    </row>
    <row r="836" spans="1:21" x14ac:dyDescent="0.25">
      <c r="A836" s="188"/>
      <c r="B836" s="188"/>
      <c r="C836" s="191"/>
      <c r="G836" s="191"/>
      <c r="H836" s="191"/>
      <c r="L836" s="191"/>
      <c r="M836" s="191"/>
      <c r="Q836" s="191"/>
      <c r="R836" s="191"/>
      <c r="T836" s="191"/>
      <c r="U836" s="188"/>
    </row>
    <row r="837" spans="1:21" x14ac:dyDescent="0.25">
      <c r="A837" s="188"/>
      <c r="B837" s="188"/>
      <c r="C837" s="191"/>
      <c r="G837" s="191"/>
      <c r="H837" s="191"/>
      <c r="L837" s="191"/>
      <c r="M837" s="191"/>
      <c r="Q837" s="191"/>
      <c r="R837" s="191"/>
      <c r="T837" s="191"/>
      <c r="U837" s="188"/>
    </row>
    <row r="838" spans="1:21" x14ac:dyDescent="0.25">
      <c r="A838" s="188"/>
      <c r="B838" s="188"/>
      <c r="C838" s="191"/>
      <c r="G838" s="191"/>
      <c r="H838" s="191"/>
      <c r="L838" s="191"/>
      <c r="M838" s="191"/>
      <c r="Q838" s="191"/>
      <c r="R838" s="191"/>
      <c r="T838" s="191"/>
      <c r="U838" s="188"/>
    </row>
    <row r="839" spans="1:21" x14ac:dyDescent="0.25">
      <c r="A839" s="188"/>
      <c r="B839" s="188"/>
      <c r="C839" s="191"/>
      <c r="G839" s="191"/>
      <c r="H839" s="191"/>
      <c r="L839" s="191"/>
      <c r="M839" s="191"/>
      <c r="Q839" s="191"/>
      <c r="R839" s="191"/>
      <c r="T839" s="191"/>
      <c r="U839" s="188"/>
    </row>
    <row r="840" spans="1:21" x14ac:dyDescent="0.25">
      <c r="A840" s="188"/>
      <c r="B840" s="188"/>
      <c r="C840" s="191"/>
      <c r="G840" s="191"/>
      <c r="H840" s="191"/>
      <c r="L840" s="191"/>
      <c r="M840" s="191"/>
      <c r="Q840" s="191"/>
      <c r="R840" s="191"/>
      <c r="T840" s="191"/>
      <c r="U840" s="188"/>
    </row>
    <row r="841" spans="1:21" x14ac:dyDescent="0.25">
      <c r="A841" s="188"/>
      <c r="B841" s="188"/>
      <c r="C841" s="191"/>
      <c r="G841" s="191"/>
      <c r="H841" s="191"/>
      <c r="L841" s="191"/>
      <c r="M841" s="191"/>
      <c r="Q841" s="191"/>
      <c r="R841" s="191"/>
      <c r="T841" s="191"/>
      <c r="U841" s="188"/>
    </row>
    <row r="842" spans="1:21" x14ac:dyDescent="0.25">
      <c r="A842" s="188"/>
      <c r="B842" s="188"/>
      <c r="C842" s="191"/>
      <c r="G842" s="191"/>
      <c r="H842" s="191"/>
      <c r="L842" s="191"/>
      <c r="M842" s="191"/>
      <c r="Q842" s="191"/>
      <c r="R842" s="191"/>
      <c r="T842" s="191"/>
      <c r="U842" s="188"/>
    </row>
    <row r="843" spans="1:21" x14ac:dyDescent="0.25">
      <c r="A843" s="188"/>
      <c r="B843" s="188"/>
      <c r="C843" s="191"/>
      <c r="G843" s="191"/>
      <c r="H843" s="191"/>
      <c r="L843" s="191"/>
      <c r="M843" s="191"/>
      <c r="Q843" s="191"/>
      <c r="R843" s="191"/>
      <c r="T843" s="191"/>
      <c r="U843" s="188"/>
    </row>
    <row r="844" spans="1:21" x14ac:dyDescent="0.25">
      <c r="A844" s="188"/>
      <c r="B844" s="188"/>
      <c r="C844" s="191"/>
      <c r="G844" s="191"/>
      <c r="H844" s="191"/>
      <c r="L844" s="191"/>
      <c r="M844" s="191"/>
      <c r="Q844" s="191"/>
      <c r="R844" s="191"/>
      <c r="T844" s="191"/>
      <c r="U844" s="188"/>
    </row>
    <row r="845" spans="1:21" x14ac:dyDescent="0.25">
      <c r="A845" s="188"/>
      <c r="B845" s="188"/>
      <c r="C845" s="191"/>
      <c r="G845" s="191"/>
      <c r="H845" s="191"/>
      <c r="L845" s="191"/>
      <c r="M845" s="191"/>
      <c r="Q845" s="191"/>
      <c r="R845" s="191"/>
      <c r="T845" s="191"/>
      <c r="U845" s="188"/>
    </row>
    <row r="846" spans="1:21" x14ac:dyDescent="0.25">
      <c r="A846" s="188"/>
      <c r="B846" s="188"/>
      <c r="C846" s="191"/>
      <c r="G846" s="191"/>
      <c r="H846" s="191"/>
      <c r="L846" s="191"/>
      <c r="M846" s="191"/>
      <c r="Q846" s="191"/>
      <c r="R846" s="191"/>
      <c r="T846" s="191"/>
      <c r="U846" s="188"/>
    </row>
    <row r="847" spans="1:21" x14ac:dyDescent="0.25">
      <c r="A847" s="188"/>
      <c r="B847" s="188"/>
      <c r="C847" s="191"/>
      <c r="G847" s="191"/>
      <c r="H847" s="191"/>
      <c r="L847" s="191"/>
      <c r="M847" s="191"/>
      <c r="Q847" s="191"/>
      <c r="R847" s="191"/>
      <c r="T847" s="191"/>
      <c r="U847" s="188"/>
    </row>
    <row r="848" spans="1:21" x14ac:dyDescent="0.25">
      <c r="A848" s="188"/>
      <c r="B848" s="188"/>
      <c r="C848" s="191"/>
      <c r="G848" s="191"/>
      <c r="H848" s="191"/>
      <c r="L848" s="191"/>
      <c r="M848" s="191"/>
      <c r="Q848" s="191"/>
      <c r="R848" s="191"/>
      <c r="T848" s="191"/>
      <c r="U848" s="188"/>
    </row>
    <row r="849" spans="1:21" x14ac:dyDescent="0.25">
      <c r="A849" s="188"/>
      <c r="B849" s="188"/>
      <c r="C849" s="191"/>
      <c r="G849" s="191"/>
      <c r="H849" s="191"/>
      <c r="L849" s="191"/>
      <c r="M849" s="191"/>
      <c r="Q849" s="191"/>
      <c r="R849" s="191"/>
      <c r="T849" s="191"/>
      <c r="U849" s="188"/>
    </row>
    <row r="850" spans="1:21" x14ac:dyDescent="0.25">
      <c r="A850" s="188"/>
      <c r="B850" s="188"/>
      <c r="C850" s="191"/>
      <c r="G850" s="191"/>
      <c r="H850" s="191"/>
      <c r="L850" s="191"/>
      <c r="M850" s="191"/>
      <c r="Q850" s="191"/>
      <c r="R850" s="191"/>
      <c r="T850" s="191"/>
      <c r="U850" s="188"/>
    </row>
    <row r="851" spans="1:21" x14ac:dyDescent="0.25">
      <c r="A851" s="188"/>
      <c r="B851" s="188"/>
      <c r="C851" s="191"/>
      <c r="G851" s="191"/>
      <c r="H851" s="191"/>
      <c r="L851" s="191"/>
      <c r="M851" s="191"/>
      <c r="Q851" s="191"/>
      <c r="R851" s="191"/>
      <c r="T851" s="191"/>
      <c r="U851" s="188"/>
    </row>
    <row r="852" spans="1:21" x14ac:dyDescent="0.25">
      <c r="A852" s="188"/>
      <c r="B852" s="188"/>
      <c r="C852" s="191"/>
      <c r="G852" s="191"/>
      <c r="H852" s="191"/>
      <c r="L852" s="191"/>
      <c r="M852" s="191"/>
      <c r="Q852" s="191"/>
      <c r="R852" s="191"/>
      <c r="T852" s="191"/>
      <c r="U852" s="188"/>
    </row>
    <row r="853" spans="1:21" x14ac:dyDescent="0.25">
      <c r="A853" s="188"/>
      <c r="B853" s="188"/>
      <c r="C853" s="191"/>
      <c r="G853" s="191"/>
      <c r="H853" s="191"/>
      <c r="L853" s="191"/>
      <c r="M853" s="191"/>
      <c r="Q853" s="191"/>
      <c r="R853" s="191"/>
      <c r="T853" s="191"/>
      <c r="U853" s="188"/>
    </row>
    <row r="854" spans="1:21" x14ac:dyDescent="0.25">
      <c r="A854" s="188"/>
      <c r="B854" s="188"/>
      <c r="C854" s="191"/>
      <c r="G854" s="191"/>
      <c r="H854" s="191"/>
      <c r="L854" s="191"/>
      <c r="M854" s="191"/>
      <c r="Q854" s="191"/>
      <c r="R854" s="191"/>
      <c r="T854" s="191"/>
      <c r="U854" s="188"/>
    </row>
    <row r="855" spans="1:21" x14ac:dyDescent="0.25">
      <c r="A855" s="188"/>
      <c r="B855" s="188"/>
      <c r="C855" s="191"/>
      <c r="G855" s="191"/>
      <c r="H855" s="191"/>
      <c r="L855" s="191"/>
      <c r="M855" s="191"/>
      <c r="Q855" s="191"/>
      <c r="R855" s="191"/>
      <c r="T855" s="191"/>
      <c r="U855" s="188"/>
    </row>
    <row r="856" spans="1:21" x14ac:dyDescent="0.25">
      <c r="A856" s="188"/>
      <c r="B856" s="188"/>
      <c r="C856" s="191"/>
      <c r="G856" s="191"/>
      <c r="H856" s="191"/>
      <c r="L856" s="191"/>
      <c r="M856" s="191"/>
      <c r="Q856" s="191"/>
      <c r="R856" s="191"/>
      <c r="T856" s="191"/>
      <c r="U856" s="188"/>
    </row>
    <row r="857" spans="1:21" x14ac:dyDescent="0.25">
      <c r="A857" s="188"/>
      <c r="B857" s="188"/>
      <c r="C857" s="191"/>
      <c r="G857" s="191"/>
      <c r="H857" s="191"/>
      <c r="L857" s="191"/>
      <c r="M857" s="191"/>
      <c r="Q857" s="191"/>
      <c r="R857" s="191"/>
      <c r="T857" s="191"/>
      <c r="U857" s="188"/>
    </row>
    <row r="858" spans="1:21" x14ac:dyDescent="0.25">
      <c r="A858" s="188"/>
      <c r="B858" s="188"/>
      <c r="C858" s="191"/>
      <c r="G858" s="191"/>
      <c r="H858" s="191"/>
      <c r="L858" s="191"/>
      <c r="M858" s="191"/>
      <c r="Q858" s="191"/>
      <c r="R858" s="191"/>
      <c r="T858" s="191"/>
      <c r="U858" s="188"/>
    </row>
    <row r="859" spans="1:21" x14ac:dyDescent="0.25">
      <c r="A859" s="188"/>
      <c r="B859" s="188"/>
      <c r="C859" s="191"/>
      <c r="G859" s="191"/>
      <c r="H859" s="191"/>
      <c r="L859" s="191"/>
      <c r="M859" s="191"/>
      <c r="Q859" s="191"/>
      <c r="R859" s="191"/>
      <c r="T859" s="191"/>
      <c r="U859" s="188"/>
    </row>
    <row r="860" spans="1:21" x14ac:dyDescent="0.25">
      <c r="A860" s="188"/>
      <c r="B860" s="188"/>
      <c r="C860" s="191"/>
      <c r="G860" s="191"/>
      <c r="H860" s="191"/>
      <c r="L860" s="191"/>
      <c r="M860" s="191"/>
      <c r="Q860" s="191"/>
      <c r="R860" s="191"/>
      <c r="T860" s="191"/>
      <c r="U860" s="188"/>
    </row>
    <row r="861" spans="1:21" x14ac:dyDescent="0.25">
      <c r="A861" s="188"/>
      <c r="B861" s="188"/>
      <c r="C861" s="191"/>
      <c r="G861" s="191"/>
      <c r="H861" s="191"/>
      <c r="L861" s="191"/>
      <c r="M861" s="191"/>
      <c r="Q861" s="191"/>
      <c r="R861" s="191"/>
      <c r="T861" s="191"/>
      <c r="U861" s="188"/>
    </row>
    <row r="862" spans="1:21" x14ac:dyDescent="0.25">
      <c r="A862" s="188"/>
      <c r="B862" s="188"/>
      <c r="C862" s="191"/>
      <c r="G862" s="191"/>
      <c r="H862" s="191"/>
      <c r="L862" s="191"/>
      <c r="M862" s="191"/>
      <c r="Q862" s="191"/>
      <c r="R862" s="191"/>
      <c r="T862" s="191"/>
      <c r="U862" s="188"/>
    </row>
    <row r="863" spans="1:21" x14ac:dyDescent="0.25">
      <c r="A863" s="188"/>
      <c r="B863" s="188"/>
      <c r="C863" s="191"/>
      <c r="G863" s="191"/>
      <c r="H863" s="191"/>
      <c r="L863" s="191"/>
      <c r="M863" s="191"/>
      <c r="Q863" s="191"/>
      <c r="R863" s="191"/>
      <c r="T863" s="191"/>
      <c r="U863" s="188"/>
    </row>
    <row r="864" spans="1:21" x14ac:dyDescent="0.25">
      <c r="A864" s="188"/>
      <c r="B864" s="188"/>
      <c r="C864" s="191"/>
      <c r="G864" s="191"/>
      <c r="H864" s="191"/>
      <c r="L864" s="191"/>
      <c r="M864" s="191"/>
      <c r="Q864" s="191"/>
      <c r="R864" s="191"/>
      <c r="T864" s="191"/>
      <c r="U864" s="188"/>
    </row>
    <row r="865" spans="1:21" x14ac:dyDescent="0.25">
      <c r="A865" s="188"/>
      <c r="B865" s="188"/>
      <c r="C865" s="191"/>
      <c r="G865" s="191"/>
      <c r="H865" s="191"/>
      <c r="L865" s="191"/>
      <c r="M865" s="191"/>
      <c r="Q865" s="191"/>
      <c r="R865" s="191"/>
      <c r="T865" s="191"/>
      <c r="U865" s="188"/>
    </row>
    <row r="866" spans="1:21" x14ac:dyDescent="0.25">
      <c r="A866" s="188"/>
      <c r="B866" s="188"/>
      <c r="C866" s="191"/>
      <c r="G866" s="191"/>
      <c r="H866" s="191"/>
      <c r="L866" s="191"/>
      <c r="M866" s="191"/>
      <c r="Q866" s="191"/>
      <c r="R866" s="191"/>
      <c r="T866" s="191"/>
      <c r="U866" s="188"/>
    </row>
    <row r="867" spans="1:21" x14ac:dyDescent="0.25">
      <c r="A867" s="188"/>
      <c r="B867" s="188"/>
      <c r="C867" s="191"/>
      <c r="G867" s="191"/>
      <c r="H867" s="191"/>
      <c r="L867" s="191"/>
      <c r="M867" s="191"/>
      <c r="Q867" s="191"/>
      <c r="R867" s="191"/>
      <c r="T867" s="191"/>
      <c r="U867" s="188"/>
    </row>
    <row r="868" spans="1:21" x14ac:dyDescent="0.25">
      <c r="A868" s="188"/>
      <c r="B868" s="188"/>
      <c r="C868" s="191"/>
      <c r="G868" s="191"/>
      <c r="H868" s="191"/>
      <c r="L868" s="191"/>
      <c r="M868" s="191"/>
      <c r="Q868" s="191"/>
      <c r="R868" s="191"/>
      <c r="T868" s="191"/>
      <c r="U868" s="188"/>
    </row>
    <row r="869" spans="1:21" x14ac:dyDescent="0.25">
      <c r="A869" s="188"/>
      <c r="B869" s="188"/>
      <c r="C869" s="191"/>
      <c r="G869" s="191"/>
      <c r="H869" s="191"/>
      <c r="L869" s="191"/>
      <c r="M869" s="191"/>
      <c r="Q869" s="191"/>
      <c r="R869" s="191"/>
      <c r="T869" s="191"/>
      <c r="U869" s="188"/>
    </row>
    <row r="870" spans="1:21" x14ac:dyDescent="0.25">
      <c r="A870" s="188"/>
      <c r="B870" s="188"/>
      <c r="C870" s="191"/>
      <c r="G870" s="191"/>
      <c r="H870" s="191"/>
      <c r="L870" s="191"/>
      <c r="M870" s="191"/>
      <c r="Q870" s="191"/>
      <c r="R870" s="191"/>
      <c r="T870" s="191"/>
      <c r="U870" s="188"/>
    </row>
    <row r="871" spans="1:21" x14ac:dyDescent="0.25">
      <c r="A871" s="188"/>
      <c r="B871" s="188"/>
      <c r="C871" s="191"/>
      <c r="G871" s="191"/>
      <c r="H871" s="191"/>
      <c r="L871" s="191"/>
      <c r="M871" s="191"/>
      <c r="Q871" s="191"/>
      <c r="R871" s="191"/>
      <c r="T871" s="191"/>
      <c r="U871" s="188"/>
    </row>
    <row r="872" spans="1:21" x14ac:dyDescent="0.25">
      <c r="A872" s="188"/>
      <c r="B872" s="188"/>
      <c r="C872" s="191"/>
      <c r="G872" s="191"/>
      <c r="H872" s="191"/>
      <c r="L872" s="191"/>
      <c r="M872" s="191"/>
      <c r="Q872" s="191"/>
      <c r="R872" s="191"/>
      <c r="T872" s="191"/>
      <c r="U872" s="188"/>
    </row>
    <row r="873" spans="1:21" x14ac:dyDescent="0.25">
      <c r="A873" s="188"/>
      <c r="B873" s="188"/>
      <c r="C873" s="191"/>
      <c r="G873" s="191"/>
      <c r="H873" s="191"/>
      <c r="L873" s="191"/>
      <c r="M873" s="191"/>
      <c r="Q873" s="191"/>
      <c r="R873" s="191"/>
      <c r="T873" s="191"/>
      <c r="U873" s="188"/>
    </row>
    <row r="874" spans="1:21" x14ac:dyDescent="0.25">
      <c r="A874" s="188"/>
      <c r="B874" s="188"/>
      <c r="C874" s="191"/>
      <c r="G874" s="191"/>
      <c r="H874" s="191"/>
      <c r="L874" s="191"/>
      <c r="M874" s="191"/>
      <c r="Q874" s="191"/>
      <c r="R874" s="191"/>
      <c r="T874" s="191"/>
      <c r="U874" s="188"/>
    </row>
    <row r="875" spans="1:21" x14ac:dyDescent="0.25">
      <c r="A875" s="188"/>
      <c r="B875" s="188"/>
      <c r="C875" s="191"/>
      <c r="G875" s="191"/>
      <c r="H875" s="191"/>
      <c r="L875" s="191"/>
      <c r="M875" s="191"/>
      <c r="Q875" s="191"/>
      <c r="R875" s="191"/>
      <c r="T875" s="191"/>
      <c r="U875" s="188"/>
    </row>
    <row r="876" spans="1:21" x14ac:dyDescent="0.25">
      <c r="A876" s="188"/>
      <c r="B876" s="188"/>
      <c r="C876" s="191"/>
      <c r="G876" s="191"/>
      <c r="H876" s="191"/>
      <c r="L876" s="191"/>
      <c r="M876" s="191"/>
      <c r="Q876" s="191"/>
      <c r="R876" s="191"/>
      <c r="T876" s="191"/>
      <c r="U876" s="188"/>
    </row>
    <row r="877" spans="1:21" x14ac:dyDescent="0.25">
      <c r="A877" s="188"/>
      <c r="B877" s="188"/>
      <c r="C877" s="191"/>
      <c r="G877" s="191"/>
      <c r="H877" s="191"/>
      <c r="L877" s="191"/>
      <c r="M877" s="191"/>
      <c r="Q877" s="191"/>
      <c r="R877" s="191"/>
      <c r="T877" s="191"/>
      <c r="U877" s="188"/>
    </row>
    <row r="878" spans="1:21" x14ac:dyDescent="0.25">
      <c r="A878" s="188"/>
      <c r="B878" s="188"/>
      <c r="C878" s="191"/>
      <c r="G878" s="191"/>
      <c r="H878" s="191"/>
      <c r="L878" s="191"/>
      <c r="M878" s="191"/>
      <c r="Q878" s="191"/>
      <c r="R878" s="191"/>
      <c r="T878" s="191"/>
      <c r="U878" s="188"/>
    </row>
    <row r="879" spans="1:21" x14ac:dyDescent="0.25">
      <c r="A879" s="188"/>
      <c r="B879" s="188"/>
      <c r="C879" s="191"/>
      <c r="G879" s="191"/>
      <c r="H879" s="191"/>
      <c r="L879" s="191"/>
      <c r="M879" s="191"/>
      <c r="Q879" s="191"/>
      <c r="R879" s="191"/>
      <c r="T879" s="191"/>
      <c r="U879" s="188"/>
    </row>
    <row r="880" spans="1:21" x14ac:dyDescent="0.25">
      <c r="A880" s="188"/>
      <c r="B880" s="188"/>
      <c r="C880" s="191"/>
      <c r="G880" s="191"/>
      <c r="H880" s="191"/>
      <c r="L880" s="191"/>
      <c r="M880" s="191"/>
      <c r="Q880" s="191"/>
      <c r="R880" s="191"/>
      <c r="T880" s="191"/>
      <c r="U880" s="188"/>
    </row>
    <row r="881" spans="1:21" x14ac:dyDescent="0.25">
      <c r="A881" s="188"/>
      <c r="B881" s="188"/>
      <c r="C881" s="191"/>
      <c r="G881" s="191"/>
      <c r="H881" s="191"/>
      <c r="L881" s="191"/>
      <c r="M881" s="191"/>
      <c r="Q881" s="191"/>
      <c r="R881" s="191"/>
      <c r="T881" s="191"/>
      <c r="U881" s="188"/>
    </row>
    <row r="882" spans="1:21" x14ac:dyDescent="0.25">
      <c r="A882" s="188"/>
      <c r="B882" s="188"/>
      <c r="C882" s="191"/>
      <c r="G882" s="191"/>
      <c r="H882" s="191"/>
      <c r="L882" s="191"/>
      <c r="M882" s="191"/>
      <c r="Q882" s="191"/>
      <c r="R882" s="191"/>
      <c r="T882" s="191"/>
      <c r="U882" s="188"/>
    </row>
    <row r="883" spans="1:21" x14ac:dyDescent="0.25">
      <c r="A883" s="188"/>
      <c r="B883" s="188"/>
      <c r="C883" s="191"/>
      <c r="G883" s="191"/>
      <c r="H883" s="191"/>
      <c r="L883" s="191"/>
      <c r="M883" s="191"/>
      <c r="Q883" s="191"/>
      <c r="R883" s="191"/>
      <c r="T883" s="191"/>
      <c r="U883" s="188"/>
    </row>
    <row r="884" spans="1:21" x14ac:dyDescent="0.25">
      <c r="A884" s="188"/>
      <c r="B884" s="188"/>
      <c r="C884" s="191"/>
      <c r="G884" s="191"/>
      <c r="H884" s="191"/>
      <c r="L884" s="191"/>
      <c r="M884" s="191"/>
      <c r="Q884" s="191"/>
      <c r="R884" s="191"/>
      <c r="T884" s="191"/>
      <c r="U884" s="188"/>
    </row>
    <row r="885" spans="1:21" x14ac:dyDescent="0.25">
      <c r="A885" s="188"/>
      <c r="B885" s="188"/>
      <c r="C885" s="191"/>
      <c r="G885" s="191"/>
      <c r="H885" s="191"/>
      <c r="L885" s="191"/>
      <c r="M885" s="191"/>
      <c r="Q885" s="191"/>
      <c r="R885" s="191"/>
      <c r="T885" s="191"/>
      <c r="U885" s="188"/>
    </row>
    <row r="886" spans="1:21" x14ac:dyDescent="0.25">
      <c r="A886" s="188"/>
      <c r="B886" s="188"/>
      <c r="C886" s="191"/>
      <c r="G886" s="191"/>
      <c r="H886" s="191"/>
      <c r="L886" s="191"/>
      <c r="M886" s="191"/>
      <c r="Q886" s="191"/>
      <c r="R886" s="191"/>
      <c r="T886" s="191"/>
      <c r="U886" s="188"/>
    </row>
    <row r="887" spans="1:21" x14ac:dyDescent="0.25">
      <c r="A887" s="188"/>
      <c r="B887" s="188"/>
      <c r="C887" s="191"/>
      <c r="G887" s="191"/>
      <c r="H887" s="191"/>
      <c r="L887" s="191"/>
      <c r="M887" s="191"/>
      <c r="Q887" s="191"/>
      <c r="R887" s="191"/>
      <c r="T887" s="191"/>
      <c r="U887" s="188"/>
    </row>
    <row r="888" spans="1:21" x14ac:dyDescent="0.25">
      <c r="A888" s="188"/>
      <c r="B888" s="188"/>
      <c r="C888" s="191"/>
      <c r="G888" s="191"/>
      <c r="H888" s="191"/>
      <c r="L888" s="191"/>
      <c r="M888" s="191"/>
      <c r="Q888" s="191"/>
      <c r="R888" s="191"/>
      <c r="T888" s="191"/>
      <c r="U888" s="188"/>
    </row>
    <row r="889" spans="1:21" x14ac:dyDescent="0.25">
      <c r="A889" s="188"/>
      <c r="B889" s="188"/>
      <c r="C889" s="191"/>
      <c r="G889" s="191"/>
      <c r="H889" s="191"/>
      <c r="L889" s="191"/>
      <c r="M889" s="191"/>
      <c r="Q889" s="191"/>
      <c r="R889" s="191"/>
      <c r="T889" s="191"/>
      <c r="U889" s="188"/>
    </row>
    <row r="890" spans="1:21" x14ac:dyDescent="0.25">
      <c r="A890" s="188"/>
      <c r="B890" s="188"/>
      <c r="C890" s="191"/>
      <c r="G890" s="191"/>
      <c r="H890" s="191"/>
      <c r="L890" s="191"/>
      <c r="M890" s="191"/>
      <c r="Q890" s="191"/>
      <c r="R890" s="191"/>
      <c r="T890" s="191"/>
      <c r="U890" s="188"/>
    </row>
    <row r="891" spans="1:21" x14ac:dyDescent="0.25">
      <c r="A891" s="188"/>
      <c r="B891" s="188"/>
      <c r="C891" s="191"/>
      <c r="G891" s="191"/>
      <c r="H891" s="191"/>
      <c r="L891" s="191"/>
      <c r="M891" s="191"/>
      <c r="Q891" s="191"/>
      <c r="R891" s="191"/>
      <c r="T891" s="191"/>
      <c r="U891" s="188"/>
    </row>
    <row r="892" spans="1:21" x14ac:dyDescent="0.25">
      <c r="A892" s="188"/>
      <c r="B892" s="188"/>
      <c r="C892" s="191"/>
      <c r="G892" s="191"/>
      <c r="H892" s="191"/>
      <c r="L892" s="191"/>
      <c r="M892" s="191"/>
      <c r="Q892" s="191"/>
      <c r="R892" s="191"/>
      <c r="T892" s="191"/>
      <c r="U892" s="188"/>
    </row>
    <row r="893" spans="1:21" x14ac:dyDescent="0.25">
      <c r="A893" s="188"/>
      <c r="B893" s="188"/>
      <c r="C893" s="191"/>
      <c r="G893" s="191"/>
      <c r="H893" s="191"/>
      <c r="L893" s="191"/>
      <c r="M893" s="191"/>
      <c r="Q893" s="191"/>
      <c r="R893" s="191"/>
      <c r="T893" s="191"/>
      <c r="U893" s="188"/>
    </row>
    <row r="894" spans="1:21" x14ac:dyDescent="0.25">
      <c r="A894" s="188"/>
      <c r="B894" s="188"/>
      <c r="C894" s="191"/>
      <c r="G894" s="191"/>
      <c r="H894" s="191"/>
      <c r="L894" s="191"/>
      <c r="M894" s="191"/>
      <c r="Q894" s="191"/>
      <c r="R894" s="191"/>
      <c r="T894" s="191"/>
      <c r="U894" s="188"/>
    </row>
    <row r="895" spans="1:21" x14ac:dyDescent="0.25">
      <c r="A895" s="188"/>
      <c r="B895" s="188"/>
      <c r="C895" s="191"/>
      <c r="G895" s="191"/>
      <c r="H895" s="191"/>
      <c r="L895" s="191"/>
      <c r="M895" s="191"/>
      <c r="Q895" s="191"/>
      <c r="R895" s="191"/>
      <c r="T895" s="191"/>
      <c r="U895" s="188"/>
    </row>
    <row r="896" spans="1:21" x14ac:dyDescent="0.25">
      <c r="A896" s="188"/>
      <c r="B896" s="188"/>
      <c r="C896" s="191"/>
      <c r="G896" s="191"/>
      <c r="H896" s="191"/>
      <c r="L896" s="191"/>
      <c r="M896" s="191"/>
      <c r="Q896" s="191"/>
      <c r="R896" s="191"/>
      <c r="T896" s="191"/>
      <c r="U896" s="188"/>
    </row>
    <row r="897" spans="1:21" x14ac:dyDescent="0.25">
      <c r="A897" s="188"/>
      <c r="B897" s="188"/>
      <c r="C897" s="191"/>
      <c r="G897" s="191"/>
      <c r="H897" s="191"/>
      <c r="L897" s="191"/>
      <c r="M897" s="191"/>
      <c r="Q897" s="191"/>
      <c r="R897" s="191"/>
      <c r="T897" s="191"/>
      <c r="U897" s="188"/>
    </row>
    <row r="898" spans="1:21" x14ac:dyDescent="0.25">
      <c r="A898" s="188"/>
      <c r="B898" s="188"/>
      <c r="C898" s="191"/>
      <c r="G898" s="191"/>
      <c r="H898" s="191"/>
      <c r="L898" s="191"/>
      <c r="M898" s="191"/>
      <c r="Q898" s="191"/>
      <c r="R898" s="191"/>
      <c r="T898" s="191"/>
      <c r="U898" s="188"/>
    </row>
    <row r="899" spans="1:21" x14ac:dyDescent="0.25">
      <c r="A899" s="188"/>
      <c r="B899" s="188"/>
      <c r="C899" s="191"/>
      <c r="G899" s="191"/>
      <c r="H899" s="191"/>
      <c r="L899" s="191"/>
      <c r="M899" s="191"/>
      <c r="Q899" s="191"/>
      <c r="R899" s="191"/>
      <c r="T899" s="191"/>
      <c r="U899" s="188"/>
    </row>
    <row r="900" spans="1:21" x14ac:dyDescent="0.25">
      <c r="A900" s="188"/>
      <c r="B900" s="188"/>
      <c r="C900" s="191"/>
      <c r="G900" s="191"/>
      <c r="H900" s="191"/>
      <c r="L900" s="191"/>
      <c r="M900" s="191"/>
      <c r="Q900" s="191"/>
      <c r="R900" s="191"/>
      <c r="T900" s="191"/>
      <c r="U900" s="188"/>
    </row>
    <row r="901" spans="1:21" x14ac:dyDescent="0.25">
      <c r="A901" s="188"/>
      <c r="B901" s="188"/>
      <c r="C901" s="191"/>
      <c r="G901" s="191"/>
      <c r="H901" s="191"/>
      <c r="L901" s="191"/>
      <c r="M901" s="191"/>
      <c r="Q901" s="191"/>
      <c r="R901" s="191"/>
      <c r="T901" s="191"/>
      <c r="U901" s="188"/>
    </row>
    <row r="902" spans="1:21" x14ac:dyDescent="0.25">
      <c r="A902" s="188"/>
      <c r="B902" s="188"/>
      <c r="C902" s="191"/>
      <c r="G902" s="191"/>
      <c r="H902" s="191"/>
      <c r="L902" s="191"/>
      <c r="M902" s="191"/>
      <c r="Q902" s="191"/>
      <c r="R902" s="191"/>
      <c r="T902" s="191"/>
      <c r="U902" s="188"/>
    </row>
    <row r="903" spans="1:21" x14ac:dyDescent="0.25">
      <c r="A903" s="188"/>
      <c r="B903" s="188"/>
      <c r="C903" s="191"/>
      <c r="G903" s="191"/>
      <c r="H903" s="191"/>
      <c r="L903" s="191"/>
      <c r="M903" s="191"/>
      <c r="Q903" s="191"/>
      <c r="R903" s="191"/>
      <c r="T903" s="191"/>
      <c r="U903" s="188"/>
    </row>
    <row r="904" spans="1:21" x14ac:dyDescent="0.25">
      <c r="A904" s="188"/>
      <c r="B904" s="188"/>
      <c r="C904" s="191"/>
      <c r="G904" s="191"/>
      <c r="H904" s="191"/>
      <c r="L904" s="191"/>
      <c r="M904" s="191"/>
      <c r="Q904" s="191"/>
      <c r="R904" s="191"/>
      <c r="T904" s="191"/>
      <c r="U904" s="188"/>
    </row>
    <row r="905" spans="1:21" x14ac:dyDescent="0.25">
      <c r="A905" s="188"/>
      <c r="B905" s="188"/>
      <c r="C905" s="191"/>
      <c r="G905" s="191"/>
      <c r="H905" s="191"/>
      <c r="L905" s="191"/>
      <c r="M905" s="191"/>
      <c r="Q905" s="191"/>
      <c r="R905" s="191"/>
      <c r="T905" s="191"/>
      <c r="U905" s="188"/>
    </row>
    <row r="906" spans="1:21" x14ac:dyDescent="0.25">
      <c r="A906" s="188"/>
      <c r="B906" s="188"/>
      <c r="C906" s="191"/>
      <c r="G906" s="191"/>
      <c r="H906" s="191"/>
      <c r="L906" s="191"/>
      <c r="M906" s="191"/>
      <c r="Q906" s="191"/>
      <c r="R906" s="191"/>
      <c r="T906" s="191"/>
      <c r="U906" s="188"/>
    </row>
    <row r="907" spans="1:21" x14ac:dyDescent="0.25">
      <c r="A907" s="188"/>
      <c r="B907" s="188"/>
      <c r="C907" s="191"/>
      <c r="G907" s="191"/>
      <c r="H907" s="191"/>
      <c r="L907" s="191"/>
      <c r="M907" s="191"/>
      <c r="Q907" s="191"/>
      <c r="R907" s="191"/>
      <c r="T907" s="191"/>
      <c r="U907" s="188"/>
    </row>
    <row r="908" spans="1:21" x14ac:dyDescent="0.25">
      <c r="A908" s="188"/>
      <c r="B908" s="188"/>
      <c r="C908" s="191"/>
      <c r="G908" s="191"/>
      <c r="H908" s="191"/>
      <c r="L908" s="191"/>
      <c r="M908" s="191"/>
      <c r="Q908" s="191"/>
      <c r="R908" s="191"/>
      <c r="T908" s="191"/>
      <c r="U908" s="188"/>
    </row>
    <row r="909" spans="1:21" x14ac:dyDescent="0.25">
      <c r="A909" s="188"/>
      <c r="B909" s="188"/>
      <c r="C909" s="191"/>
      <c r="G909" s="191"/>
      <c r="H909" s="191"/>
      <c r="L909" s="191"/>
      <c r="M909" s="191"/>
      <c r="Q909" s="191"/>
      <c r="R909" s="191"/>
      <c r="T909" s="191"/>
      <c r="U909" s="188"/>
    </row>
    <row r="910" spans="1:21" x14ac:dyDescent="0.25">
      <c r="A910" s="188"/>
      <c r="B910" s="188"/>
      <c r="C910" s="191"/>
      <c r="G910" s="191"/>
      <c r="H910" s="191"/>
      <c r="L910" s="191"/>
      <c r="M910" s="191"/>
      <c r="Q910" s="191"/>
      <c r="R910" s="191"/>
      <c r="T910" s="191"/>
      <c r="U910" s="188"/>
    </row>
    <row r="911" spans="1:21" x14ac:dyDescent="0.25">
      <c r="A911" s="188"/>
      <c r="B911" s="188"/>
      <c r="C911" s="191"/>
      <c r="G911" s="191"/>
      <c r="H911" s="191"/>
      <c r="L911" s="191"/>
      <c r="M911" s="191"/>
      <c r="Q911" s="191"/>
      <c r="R911" s="191"/>
      <c r="T911" s="191"/>
      <c r="U911" s="188"/>
    </row>
    <row r="912" spans="1:21" x14ac:dyDescent="0.25">
      <c r="A912" s="188"/>
      <c r="B912" s="188"/>
      <c r="C912" s="191"/>
      <c r="G912" s="191"/>
      <c r="H912" s="191"/>
      <c r="L912" s="191"/>
      <c r="M912" s="191"/>
      <c r="Q912" s="191"/>
      <c r="R912" s="191"/>
      <c r="T912" s="191"/>
      <c r="U912" s="188"/>
    </row>
    <row r="913" spans="1:21" x14ac:dyDescent="0.25">
      <c r="A913" s="188"/>
      <c r="B913" s="188"/>
      <c r="C913" s="191"/>
      <c r="G913" s="191"/>
      <c r="H913" s="191"/>
      <c r="L913" s="191"/>
      <c r="M913" s="191"/>
      <c r="Q913" s="191"/>
      <c r="R913" s="191"/>
      <c r="T913" s="191"/>
      <c r="U913" s="188"/>
    </row>
    <row r="914" spans="1:21" x14ac:dyDescent="0.25">
      <c r="A914" s="188"/>
      <c r="B914" s="188"/>
      <c r="C914" s="191"/>
      <c r="G914" s="191"/>
      <c r="H914" s="191"/>
      <c r="L914" s="191"/>
      <c r="M914" s="191"/>
      <c r="Q914" s="191"/>
      <c r="R914" s="191"/>
      <c r="T914" s="191"/>
      <c r="U914" s="188"/>
    </row>
    <row r="915" spans="1:21" x14ac:dyDescent="0.25">
      <c r="A915" s="188"/>
      <c r="B915" s="188"/>
      <c r="C915" s="191"/>
      <c r="G915" s="191"/>
      <c r="H915" s="191"/>
      <c r="L915" s="191"/>
      <c r="M915" s="191"/>
      <c r="Q915" s="191"/>
      <c r="R915" s="191"/>
      <c r="T915" s="191"/>
      <c r="U915" s="188"/>
    </row>
    <row r="916" spans="1:21" x14ac:dyDescent="0.25">
      <c r="A916" s="188"/>
      <c r="B916" s="188"/>
      <c r="C916" s="191"/>
      <c r="G916" s="191"/>
      <c r="H916" s="191"/>
      <c r="L916" s="191"/>
      <c r="M916" s="191"/>
      <c r="Q916" s="191"/>
      <c r="R916" s="191"/>
      <c r="T916" s="191"/>
      <c r="U916" s="188"/>
    </row>
    <row r="917" spans="1:21" x14ac:dyDescent="0.25">
      <c r="A917" s="188"/>
      <c r="B917" s="188"/>
      <c r="C917" s="191"/>
      <c r="G917" s="191"/>
      <c r="H917" s="191"/>
      <c r="L917" s="191"/>
      <c r="M917" s="191"/>
      <c r="Q917" s="191"/>
      <c r="R917" s="191"/>
      <c r="T917" s="191"/>
      <c r="U917" s="188"/>
    </row>
    <row r="918" spans="1:21" x14ac:dyDescent="0.25">
      <c r="A918" s="188"/>
      <c r="B918" s="188"/>
      <c r="C918" s="191"/>
      <c r="G918" s="191"/>
      <c r="H918" s="191"/>
      <c r="L918" s="191"/>
      <c r="M918" s="191"/>
      <c r="Q918" s="191"/>
      <c r="R918" s="191"/>
      <c r="T918" s="191"/>
      <c r="U918" s="188"/>
    </row>
    <row r="919" spans="1:21" x14ac:dyDescent="0.25">
      <c r="A919" s="188"/>
      <c r="B919" s="188"/>
      <c r="C919" s="191"/>
      <c r="G919" s="191"/>
      <c r="H919" s="191"/>
      <c r="L919" s="191"/>
      <c r="M919" s="191"/>
      <c r="Q919" s="191"/>
      <c r="R919" s="191"/>
      <c r="T919" s="191"/>
      <c r="U919" s="188"/>
    </row>
    <row r="920" spans="1:21" x14ac:dyDescent="0.25">
      <c r="A920" s="188"/>
      <c r="B920" s="188"/>
      <c r="C920" s="191"/>
      <c r="G920" s="191"/>
      <c r="H920" s="191"/>
      <c r="L920" s="191"/>
      <c r="M920" s="191"/>
      <c r="Q920" s="191"/>
      <c r="R920" s="191"/>
      <c r="T920" s="191"/>
      <c r="U920" s="188"/>
    </row>
    <row r="921" spans="1:21" x14ac:dyDescent="0.25">
      <c r="A921" s="188"/>
      <c r="B921" s="188"/>
      <c r="C921" s="191"/>
      <c r="G921" s="191"/>
      <c r="H921" s="191"/>
      <c r="L921" s="191"/>
      <c r="M921" s="191"/>
      <c r="Q921" s="191"/>
      <c r="R921" s="191"/>
      <c r="T921" s="191"/>
      <c r="U921" s="188"/>
    </row>
    <row r="922" spans="1:21" x14ac:dyDescent="0.25">
      <c r="A922" s="188"/>
      <c r="B922" s="188"/>
      <c r="C922" s="191"/>
      <c r="G922" s="191"/>
      <c r="H922" s="191"/>
      <c r="L922" s="191"/>
      <c r="M922" s="191"/>
      <c r="Q922" s="191"/>
      <c r="R922" s="191"/>
      <c r="T922" s="191"/>
      <c r="U922" s="188"/>
    </row>
    <row r="923" spans="1:21" x14ac:dyDescent="0.25">
      <c r="A923" s="188"/>
      <c r="B923" s="188"/>
      <c r="C923" s="191"/>
      <c r="G923" s="191"/>
      <c r="H923" s="191"/>
      <c r="L923" s="191"/>
      <c r="M923" s="191"/>
      <c r="Q923" s="191"/>
      <c r="R923" s="191"/>
      <c r="T923" s="191"/>
      <c r="U923" s="188"/>
    </row>
    <row r="924" spans="1:21" x14ac:dyDescent="0.25">
      <c r="A924" s="188"/>
      <c r="B924" s="188"/>
      <c r="C924" s="191"/>
      <c r="G924" s="191"/>
      <c r="H924" s="191"/>
      <c r="L924" s="191"/>
      <c r="M924" s="191"/>
      <c r="Q924" s="191"/>
      <c r="R924" s="191"/>
      <c r="T924" s="191"/>
      <c r="U924" s="188"/>
    </row>
    <row r="925" spans="1:21" x14ac:dyDescent="0.25">
      <c r="A925" s="188"/>
      <c r="B925" s="188"/>
      <c r="C925" s="191"/>
      <c r="G925" s="191"/>
      <c r="H925" s="191"/>
      <c r="L925" s="191"/>
      <c r="M925" s="191"/>
      <c r="Q925" s="191"/>
      <c r="R925" s="191"/>
      <c r="T925" s="191"/>
      <c r="U925" s="188"/>
    </row>
    <row r="926" spans="1:21" x14ac:dyDescent="0.25">
      <c r="A926" s="188"/>
      <c r="B926" s="188"/>
      <c r="C926" s="191"/>
      <c r="G926" s="191"/>
      <c r="H926" s="191"/>
      <c r="L926" s="191"/>
      <c r="M926" s="191"/>
      <c r="Q926" s="191"/>
      <c r="R926" s="191"/>
      <c r="T926" s="191"/>
      <c r="U926" s="188"/>
    </row>
    <row r="927" spans="1:21" x14ac:dyDescent="0.25">
      <c r="A927" s="188"/>
      <c r="B927" s="188"/>
      <c r="C927" s="191"/>
      <c r="G927" s="191"/>
      <c r="H927" s="191"/>
      <c r="L927" s="191"/>
      <c r="M927" s="191"/>
      <c r="Q927" s="191"/>
      <c r="R927" s="191"/>
      <c r="T927" s="191"/>
      <c r="U927" s="188"/>
    </row>
    <row r="928" spans="1:21" x14ac:dyDescent="0.25">
      <c r="A928" s="188"/>
      <c r="B928" s="188"/>
      <c r="C928" s="191"/>
      <c r="G928" s="191"/>
      <c r="H928" s="191"/>
      <c r="L928" s="191"/>
      <c r="M928" s="191"/>
      <c r="Q928" s="191"/>
      <c r="R928" s="191"/>
      <c r="T928" s="191"/>
      <c r="U928" s="188"/>
    </row>
    <row r="929" spans="1:21" x14ac:dyDescent="0.25">
      <c r="A929" s="188"/>
      <c r="B929" s="188"/>
      <c r="C929" s="191"/>
      <c r="G929" s="191"/>
      <c r="H929" s="191"/>
      <c r="L929" s="191"/>
      <c r="M929" s="191"/>
      <c r="Q929" s="191"/>
      <c r="R929" s="191"/>
      <c r="T929" s="191"/>
      <c r="U929" s="188"/>
    </row>
    <row r="930" spans="1:21" x14ac:dyDescent="0.25">
      <c r="A930" s="188"/>
      <c r="B930" s="188"/>
      <c r="C930" s="191"/>
      <c r="G930" s="191"/>
      <c r="H930" s="191"/>
      <c r="L930" s="191"/>
      <c r="M930" s="191"/>
      <c r="Q930" s="191"/>
      <c r="R930" s="191"/>
      <c r="T930" s="191"/>
      <c r="U930" s="188"/>
    </row>
    <row r="931" spans="1:21" x14ac:dyDescent="0.25">
      <c r="A931" s="188"/>
      <c r="B931" s="188"/>
      <c r="C931" s="191"/>
      <c r="G931" s="191"/>
      <c r="H931" s="191"/>
      <c r="L931" s="191"/>
      <c r="M931" s="191"/>
      <c r="Q931" s="191"/>
      <c r="R931" s="191"/>
      <c r="T931" s="191"/>
      <c r="U931" s="188"/>
    </row>
    <row r="932" spans="1:21" x14ac:dyDescent="0.25">
      <c r="A932" s="188"/>
      <c r="B932" s="188"/>
      <c r="C932" s="191"/>
      <c r="G932" s="191"/>
      <c r="H932" s="191"/>
      <c r="L932" s="191"/>
      <c r="M932" s="191"/>
      <c r="Q932" s="191"/>
      <c r="R932" s="191"/>
      <c r="T932" s="191"/>
      <c r="U932" s="188"/>
    </row>
    <row r="933" spans="1:21" x14ac:dyDescent="0.25">
      <c r="A933" s="188"/>
      <c r="B933" s="188"/>
      <c r="C933" s="191"/>
      <c r="G933" s="191"/>
      <c r="H933" s="191"/>
      <c r="L933" s="191"/>
      <c r="M933" s="191"/>
      <c r="Q933" s="191"/>
      <c r="R933" s="191"/>
      <c r="T933" s="191"/>
      <c r="U933" s="188"/>
    </row>
    <row r="934" spans="1:21" x14ac:dyDescent="0.25">
      <c r="A934" s="188"/>
      <c r="B934" s="188"/>
      <c r="C934" s="191"/>
      <c r="G934" s="191"/>
      <c r="H934" s="191"/>
      <c r="L934" s="191"/>
      <c r="M934" s="191"/>
      <c r="Q934" s="191"/>
      <c r="R934" s="191"/>
      <c r="T934" s="191"/>
      <c r="U934" s="188"/>
    </row>
    <row r="935" spans="1:21" x14ac:dyDescent="0.25">
      <c r="A935" s="188"/>
      <c r="B935" s="188"/>
      <c r="C935" s="191"/>
      <c r="G935" s="191"/>
      <c r="H935" s="191"/>
      <c r="L935" s="191"/>
      <c r="M935" s="191"/>
      <c r="Q935" s="191"/>
      <c r="R935" s="191"/>
      <c r="T935" s="191"/>
      <c r="U935" s="188"/>
    </row>
    <row r="936" spans="1:21" x14ac:dyDescent="0.25">
      <c r="A936" s="188"/>
      <c r="B936" s="188"/>
      <c r="C936" s="191"/>
      <c r="G936" s="191"/>
      <c r="H936" s="191"/>
      <c r="L936" s="191"/>
      <c r="M936" s="191"/>
      <c r="Q936" s="191"/>
      <c r="R936" s="191"/>
      <c r="T936" s="191"/>
      <c r="U936" s="188"/>
    </row>
    <row r="937" spans="1:21" x14ac:dyDescent="0.25">
      <c r="A937" s="188"/>
      <c r="B937" s="188"/>
      <c r="C937" s="191"/>
      <c r="G937" s="191"/>
      <c r="H937" s="191"/>
      <c r="L937" s="191"/>
      <c r="M937" s="191"/>
      <c r="Q937" s="191"/>
      <c r="R937" s="191"/>
      <c r="T937" s="191"/>
      <c r="U937" s="188"/>
    </row>
    <row r="938" spans="1:21" x14ac:dyDescent="0.25">
      <c r="A938" s="188"/>
      <c r="B938" s="188"/>
      <c r="C938" s="191"/>
      <c r="G938" s="191"/>
      <c r="H938" s="191"/>
      <c r="L938" s="191"/>
      <c r="M938" s="191"/>
      <c r="Q938" s="191"/>
      <c r="R938" s="191"/>
      <c r="T938" s="191"/>
      <c r="U938" s="188"/>
    </row>
    <row r="939" spans="1:21" x14ac:dyDescent="0.25">
      <c r="A939" s="188"/>
      <c r="B939" s="188"/>
      <c r="C939" s="191"/>
      <c r="G939" s="191"/>
      <c r="H939" s="191"/>
      <c r="L939" s="191"/>
      <c r="M939" s="191"/>
      <c r="Q939" s="191"/>
      <c r="R939" s="191"/>
      <c r="T939" s="191"/>
      <c r="U939" s="188"/>
    </row>
    <row r="940" spans="1:21" x14ac:dyDescent="0.25">
      <c r="A940" s="188"/>
      <c r="B940" s="188"/>
      <c r="C940" s="191"/>
      <c r="G940" s="191"/>
      <c r="H940" s="191"/>
      <c r="L940" s="191"/>
      <c r="M940" s="191"/>
      <c r="Q940" s="191"/>
      <c r="R940" s="191"/>
      <c r="T940" s="191"/>
      <c r="U940" s="188"/>
    </row>
    <row r="941" spans="1:21" x14ac:dyDescent="0.25">
      <c r="A941" s="188"/>
      <c r="B941" s="188"/>
      <c r="C941" s="191"/>
      <c r="G941" s="191"/>
      <c r="H941" s="191"/>
      <c r="L941" s="191"/>
      <c r="M941" s="191"/>
      <c r="Q941" s="191"/>
      <c r="R941" s="191"/>
      <c r="T941" s="191"/>
      <c r="U941" s="188"/>
    </row>
    <row r="942" spans="1:21" x14ac:dyDescent="0.25">
      <c r="A942" s="188"/>
      <c r="B942" s="188"/>
      <c r="C942" s="191"/>
      <c r="G942" s="191"/>
      <c r="H942" s="191"/>
      <c r="L942" s="191"/>
      <c r="M942" s="191"/>
      <c r="Q942" s="191"/>
      <c r="R942" s="191"/>
      <c r="T942" s="191"/>
      <c r="U942" s="188"/>
    </row>
    <row r="943" spans="1:21" x14ac:dyDescent="0.25">
      <c r="A943" s="188"/>
      <c r="B943" s="188"/>
      <c r="C943" s="191"/>
      <c r="G943" s="191"/>
      <c r="H943" s="191"/>
      <c r="L943" s="191"/>
      <c r="M943" s="191"/>
      <c r="Q943" s="191"/>
      <c r="R943" s="191"/>
      <c r="T943" s="191"/>
      <c r="U943" s="188"/>
    </row>
    <row r="944" spans="1:21" x14ac:dyDescent="0.25">
      <c r="A944" s="188"/>
      <c r="B944" s="188"/>
      <c r="C944" s="191"/>
      <c r="G944" s="191"/>
      <c r="H944" s="191"/>
      <c r="L944" s="191"/>
      <c r="M944" s="191"/>
      <c r="Q944" s="191"/>
      <c r="R944" s="191"/>
      <c r="T944" s="191"/>
      <c r="U944" s="188"/>
    </row>
    <row r="945" spans="1:21" x14ac:dyDescent="0.25">
      <c r="A945" s="188"/>
      <c r="B945" s="188"/>
      <c r="C945" s="191"/>
      <c r="G945" s="191"/>
      <c r="H945" s="191"/>
      <c r="L945" s="191"/>
      <c r="M945" s="191"/>
      <c r="Q945" s="191"/>
      <c r="R945" s="191"/>
      <c r="T945" s="191"/>
      <c r="U945" s="188"/>
    </row>
    <row r="946" spans="1:21" x14ac:dyDescent="0.25">
      <c r="A946" s="188"/>
      <c r="B946" s="188"/>
      <c r="C946" s="191"/>
      <c r="G946" s="191"/>
      <c r="H946" s="191"/>
      <c r="L946" s="191"/>
      <c r="M946" s="191"/>
      <c r="Q946" s="191"/>
      <c r="R946" s="191"/>
      <c r="T946" s="191"/>
      <c r="U946" s="188"/>
    </row>
    <row r="947" spans="1:21" x14ac:dyDescent="0.25">
      <c r="A947" s="188"/>
      <c r="B947" s="188"/>
      <c r="C947" s="191"/>
      <c r="G947" s="191"/>
      <c r="H947" s="191"/>
      <c r="L947" s="191"/>
      <c r="M947" s="191"/>
      <c r="Q947" s="191"/>
      <c r="R947" s="191"/>
      <c r="T947" s="191"/>
      <c r="U947" s="188"/>
    </row>
    <row r="948" spans="1:21" x14ac:dyDescent="0.25">
      <c r="A948" s="188"/>
      <c r="B948" s="188"/>
      <c r="C948" s="191"/>
      <c r="G948" s="191"/>
      <c r="H948" s="191"/>
      <c r="L948" s="191"/>
      <c r="M948" s="191"/>
      <c r="Q948" s="191"/>
      <c r="R948" s="191"/>
      <c r="T948" s="191"/>
      <c r="U948" s="188"/>
    </row>
    <row r="949" spans="1:21" x14ac:dyDescent="0.25">
      <c r="A949" s="188"/>
      <c r="B949" s="188"/>
      <c r="C949" s="191"/>
      <c r="G949" s="191"/>
      <c r="H949" s="191"/>
      <c r="L949" s="191"/>
      <c r="M949" s="191"/>
      <c r="Q949" s="191"/>
      <c r="R949" s="191"/>
      <c r="T949" s="191"/>
      <c r="U949" s="188"/>
    </row>
    <row r="950" spans="1:21" x14ac:dyDescent="0.25">
      <c r="A950" s="188"/>
      <c r="B950" s="188"/>
      <c r="C950" s="191"/>
      <c r="G950" s="191"/>
      <c r="H950" s="191"/>
      <c r="L950" s="191"/>
      <c r="M950" s="191"/>
      <c r="Q950" s="191"/>
      <c r="R950" s="191"/>
      <c r="T950" s="191"/>
      <c r="U950" s="188"/>
    </row>
    <row r="951" spans="1:21" x14ac:dyDescent="0.25">
      <c r="A951" s="188"/>
      <c r="B951" s="188"/>
      <c r="C951" s="191"/>
      <c r="G951" s="191"/>
      <c r="H951" s="191"/>
      <c r="L951" s="191"/>
      <c r="M951" s="191"/>
      <c r="Q951" s="191"/>
      <c r="R951" s="191"/>
      <c r="T951" s="191"/>
      <c r="U951" s="188"/>
    </row>
    <row r="952" spans="1:21" x14ac:dyDescent="0.25">
      <c r="A952" s="188"/>
      <c r="B952" s="188"/>
      <c r="C952" s="191"/>
      <c r="G952" s="191"/>
      <c r="H952" s="191"/>
      <c r="L952" s="191"/>
      <c r="M952" s="191"/>
      <c r="Q952" s="191"/>
      <c r="R952" s="191"/>
      <c r="T952" s="191"/>
      <c r="U952" s="188"/>
    </row>
    <row r="953" spans="1:21" x14ac:dyDescent="0.25">
      <c r="A953" s="188"/>
      <c r="B953" s="188"/>
      <c r="C953" s="191"/>
      <c r="G953" s="191"/>
      <c r="H953" s="191"/>
      <c r="L953" s="191"/>
      <c r="M953" s="191"/>
      <c r="Q953" s="191"/>
      <c r="R953" s="191"/>
      <c r="T953" s="191"/>
      <c r="U953" s="188"/>
    </row>
    <row r="954" spans="1:21" x14ac:dyDescent="0.25">
      <c r="A954" s="188"/>
      <c r="B954" s="188"/>
      <c r="C954" s="191"/>
      <c r="G954" s="191"/>
      <c r="H954" s="191"/>
      <c r="L954" s="191"/>
      <c r="M954" s="191"/>
      <c r="Q954" s="191"/>
      <c r="R954" s="191"/>
      <c r="T954" s="191"/>
      <c r="U954" s="188"/>
    </row>
    <row r="955" spans="1:21" x14ac:dyDescent="0.25">
      <c r="A955" s="188"/>
      <c r="B955" s="188"/>
      <c r="C955" s="191"/>
      <c r="G955" s="191"/>
      <c r="H955" s="191"/>
      <c r="L955" s="191"/>
      <c r="M955" s="191"/>
      <c r="Q955" s="191"/>
      <c r="R955" s="191"/>
      <c r="T955" s="191"/>
      <c r="U955" s="188"/>
    </row>
    <row r="956" spans="1:21" x14ac:dyDescent="0.25">
      <c r="A956" s="188"/>
      <c r="B956" s="188"/>
      <c r="C956" s="191"/>
      <c r="G956" s="191"/>
      <c r="H956" s="191"/>
      <c r="L956" s="191"/>
      <c r="M956" s="191"/>
      <c r="Q956" s="191"/>
      <c r="R956" s="191"/>
      <c r="T956" s="191"/>
      <c r="U956" s="188"/>
    </row>
    <row r="957" spans="1:21" x14ac:dyDescent="0.25">
      <c r="A957" s="188"/>
      <c r="B957" s="188"/>
      <c r="C957" s="191"/>
      <c r="G957" s="191"/>
      <c r="H957" s="191"/>
      <c r="L957" s="191"/>
      <c r="M957" s="191"/>
      <c r="Q957" s="191"/>
      <c r="R957" s="191"/>
      <c r="T957" s="191"/>
      <c r="U957" s="188"/>
    </row>
    <row r="958" spans="1:21" x14ac:dyDescent="0.25">
      <c r="A958" s="188"/>
      <c r="B958" s="188"/>
      <c r="C958" s="191"/>
      <c r="G958" s="191"/>
      <c r="H958" s="191"/>
      <c r="L958" s="191"/>
      <c r="M958" s="191"/>
      <c r="Q958" s="191"/>
      <c r="R958" s="191"/>
      <c r="T958" s="191"/>
      <c r="U958" s="188"/>
    </row>
    <row r="959" spans="1:21" x14ac:dyDescent="0.25">
      <c r="A959" s="188"/>
      <c r="B959" s="188"/>
      <c r="C959" s="191"/>
      <c r="G959" s="191"/>
      <c r="H959" s="191"/>
      <c r="L959" s="191"/>
      <c r="M959" s="191"/>
      <c r="Q959" s="191"/>
      <c r="R959" s="191"/>
      <c r="T959" s="191"/>
      <c r="U959" s="188"/>
    </row>
    <row r="960" spans="1:21" x14ac:dyDescent="0.25">
      <c r="A960" s="188"/>
      <c r="B960" s="188"/>
      <c r="C960" s="191"/>
      <c r="G960" s="191"/>
      <c r="H960" s="191"/>
      <c r="L960" s="191"/>
      <c r="M960" s="191"/>
      <c r="Q960" s="191"/>
      <c r="R960" s="191"/>
      <c r="T960" s="191"/>
      <c r="U960" s="188"/>
    </row>
    <row r="961" spans="1:21" x14ac:dyDescent="0.25">
      <c r="A961" s="188"/>
      <c r="B961" s="188"/>
      <c r="C961" s="191"/>
      <c r="G961" s="191"/>
      <c r="H961" s="191"/>
      <c r="L961" s="191"/>
      <c r="M961" s="191"/>
      <c r="Q961" s="191"/>
      <c r="R961" s="191"/>
      <c r="T961" s="191"/>
      <c r="U961" s="188"/>
    </row>
    <row r="962" spans="1:21" x14ac:dyDescent="0.25">
      <c r="A962" s="188"/>
      <c r="B962" s="188"/>
      <c r="C962" s="191"/>
      <c r="G962" s="191"/>
      <c r="H962" s="191"/>
      <c r="L962" s="191"/>
      <c r="M962" s="191"/>
      <c r="Q962" s="191"/>
      <c r="R962" s="191"/>
      <c r="T962" s="191"/>
      <c r="U962" s="188"/>
    </row>
    <row r="963" spans="1:21" x14ac:dyDescent="0.25">
      <c r="A963" s="188"/>
      <c r="B963" s="188"/>
      <c r="C963" s="191"/>
      <c r="G963" s="191"/>
      <c r="H963" s="191"/>
      <c r="L963" s="191"/>
      <c r="M963" s="191"/>
      <c r="Q963" s="191"/>
      <c r="R963" s="191"/>
      <c r="T963" s="191"/>
      <c r="U963" s="188"/>
    </row>
    <row r="964" spans="1:21" x14ac:dyDescent="0.25">
      <c r="A964" s="188"/>
      <c r="B964" s="188"/>
      <c r="C964" s="191"/>
      <c r="G964" s="191"/>
      <c r="H964" s="191"/>
      <c r="L964" s="191"/>
      <c r="M964" s="191"/>
      <c r="Q964" s="191"/>
      <c r="R964" s="191"/>
      <c r="T964" s="191"/>
      <c r="U964" s="188"/>
    </row>
    <row r="965" spans="1:21" x14ac:dyDescent="0.25">
      <c r="A965" s="188"/>
      <c r="B965" s="188"/>
      <c r="C965" s="191"/>
      <c r="G965" s="191"/>
      <c r="H965" s="191"/>
      <c r="L965" s="191"/>
      <c r="M965" s="191"/>
      <c r="Q965" s="191"/>
      <c r="R965" s="191"/>
      <c r="T965" s="191"/>
      <c r="U965" s="188"/>
    </row>
    <row r="966" spans="1:21" x14ac:dyDescent="0.25">
      <c r="A966" s="188"/>
      <c r="B966" s="188"/>
      <c r="C966" s="191"/>
      <c r="G966" s="191"/>
      <c r="H966" s="191"/>
      <c r="L966" s="191"/>
      <c r="M966" s="191"/>
      <c r="Q966" s="191"/>
      <c r="R966" s="191"/>
      <c r="T966" s="191"/>
      <c r="U966" s="188"/>
    </row>
    <row r="967" spans="1:21" x14ac:dyDescent="0.25">
      <c r="A967" s="188"/>
      <c r="B967" s="188"/>
      <c r="C967" s="191"/>
      <c r="G967" s="191"/>
      <c r="H967" s="191"/>
      <c r="L967" s="191"/>
      <c r="M967" s="191"/>
      <c r="Q967" s="191"/>
      <c r="R967" s="191"/>
      <c r="T967" s="191"/>
      <c r="U967" s="188"/>
    </row>
    <row r="968" spans="1:21" x14ac:dyDescent="0.25">
      <c r="A968" s="188"/>
      <c r="B968" s="188"/>
      <c r="C968" s="191"/>
      <c r="G968" s="191"/>
      <c r="H968" s="191"/>
      <c r="L968" s="191"/>
      <c r="M968" s="191"/>
      <c r="Q968" s="191"/>
      <c r="R968" s="191"/>
      <c r="T968" s="191"/>
      <c r="U968" s="188"/>
    </row>
    <row r="969" spans="1:21" x14ac:dyDescent="0.25">
      <c r="A969" s="188"/>
      <c r="B969" s="188"/>
      <c r="C969" s="191"/>
      <c r="G969" s="191"/>
      <c r="H969" s="191"/>
      <c r="L969" s="191"/>
      <c r="M969" s="191"/>
      <c r="Q969" s="191"/>
      <c r="R969" s="191"/>
      <c r="T969" s="191"/>
      <c r="U969" s="188"/>
    </row>
    <row r="970" spans="1:21" x14ac:dyDescent="0.25">
      <c r="A970" s="188"/>
      <c r="B970" s="188"/>
      <c r="C970" s="191"/>
      <c r="G970" s="191"/>
      <c r="H970" s="191"/>
      <c r="L970" s="191"/>
      <c r="M970" s="191"/>
      <c r="Q970" s="191"/>
      <c r="R970" s="191"/>
      <c r="T970" s="191"/>
      <c r="U970" s="188"/>
    </row>
    <row r="971" spans="1:21" x14ac:dyDescent="0.25">
      <c r="A971" s="188"/>
      <c r="B971" s="188"/>
      <c r="C971" s="191"/>
      <c r="G971" s="191"/>
      <c r="H971" s="191"/>
      <c r="L971" s="191"/>
      <c r="M971" s="191"/>
      <c r="Q971" s="191"/>
      <c r="R971" s="191"/>
      <c r="T971" s="191"/>
      <c r="U971" s="188"/>
    </row>
    <row r="972" spans="1:21" x14ac:dyDescent="0.25">
      <c r="A972" s="188"/>
      <c r="B972" s="188"/>
      <c r="C972" s="191"/>
      <c r="G972" s="191"/>
      <c r="H972" s="191"/>
      <c r="L972" s="191"/>
      <c r="M972" s="191"/>
      <c r="Q972" s="191"/>
      <c r="R972" s="191"/>
      <c r="T972" s="191"/>
      <c r="U972" s="188"/>
    </row>
    <row r="973" spans="1:21" x14ac:dyDescent="0.25">
      <c r="A973" s="188"/>
      <c r="B973" s="188"/>
      <c r="C973" s="191"/>
      <c r="G973" s="191"/>
      <c r="H973" s="191"/>
      <c r="L973" s="191"/>
      <c r="M973" s="191"/>
      <c r="Q973" s="191"/>
      <c r="R973" s="191"/>
      <c r="T973" s="191"/>
      <c r="U973" s="188"/>
    </row>
    <row r="974" spans="1:21" x14ac:dyDescent="0.25">
      <c r="A974" s="188"/>
      <c r="B974" s="188"/>
      <c r="C974" s="191"/>
      <c r="G974" s="191"/>
      <c r="H974" s="191"/>
      <c r="L974" s="191"/>
      <c r="M974" s="191"/>
      <c r="Q974" s="191"/>
      <c r="R974" s="191"/>
      <c r="T974" s="191"/>
      <c r="U974" s="188"/>
    </row>
    <row r="975" spans="1:21" x14ac:dyDescent="0.25">
      <c r="A975" s="188"/>
      <c r="B975" s="188"/>
      <c r="C975" s="191"/>
      <c r="G975" s="191"/>
      <c r="H975" s="191"/>
      <c r="L975" s="191"/>
      <c r="M975" s="191"/>
      <c r="Q975" s="191"/>
      <c r="R975" s="191"/>
      <c r="T975" s="191"/>
      <c r="U975" s="188"/>
    </row>
    <row r="976" spans="1:21" x14ac:dyDescent="0.25">
      <c r="A976" s="188"/>
      <c r="B976" s="188"/>
      <c r="C976" s="191"/>
      <c r="G976" s="191"/>
      <c r="H976" s="191"/>
      <c r="L976" s="191"/>
      <c r="M976" s="191"/>
      <c r="Q976" s="191"/>
      <c r="R976" s="191"/>
      <c r="T976" s="191"/>
      <c r="U976" s="188"/>
    </row>
    <row r="977" spans="1:21" x14ac:dyDescent="0.25">
      <c r="A977" s="188"/>
      <c r="B977" s="188"/>
      <c r="C977" s="191"/>
      <c r="G977" s="191"/>
      <c r="H977" s="191"/>
      <c r="L977" s="191"/>
      <c r="M977" s="191"/>
      <c r="Q977" s="191"/>
      <c r="R977" s="191"/>
      <c r="T977" s="191"/>
      <c r="U977" s="188"/>
    </row>
    <row r="978" spans="1:21" x14ac:dyDescent="0.25">
      <c r="A978" s="188"/>
      <c r="B978" s="188"/>
      <c r="C978" s="191"/>
      <c r="G978" s="191"/>
      <c r="H978" s="191"/>
      <c r="L978" s="191"/>
      <c r="M978" s="191"/>
      <c r="Q978" s="191"/>
      <c r="R978" s="191"/>
      <c r="T978" s="191"/>
      <c r="U978" s="188"/>
    </row>
    <row r="979" spans="1:21" x14ac:dyDescent="0.25">
      <c r="A979" s="188"/>
      <c r="B979" s="188"/>
      <c r="C979" s="191"/>
      <c r="G979" s="191"/>
      <c r="H979" s="191"/>
      <c r="L979" s="191"/>
      <c r="M979" s="191"/>
      <c r="Q979" s="191"/>
      <c r="R979" s="191"/>
      <c r="T979" s="191"/>
      <c r="U979" s="188"/>
    </row>
    <row r="980" spans="1:21" x14ac:dyDescent="0.25">
      <c r="A980" s="188"/>
      <c r="B980" s="188"/>
      <c r="C980" s="191"/>
      <c r="G980" s="191"/>
      <c r="H980" s="191"/>
      <c r="L980" s="191"/>
      <c r="M980" s="191"/>
      <c r="Q980" s="191"/>
      <c r="R980" s="191"/>
      <c r="T980" s="191"/>
      <c r="U980" s="188"/>
    </row>
    <row r="981" spans="1:21" x14ac:dyDescent="0.25">
      <c r="A981" s="188"/>
      <c r="B981" s="188"/>
      <c r="C981" s="191"/>
      <c r="G981" s="191"/>
      <c r="H981" s="191"/>
      <c r="L981" s="191"/>
      <c r="M981" s="191"/>
      <c r="Q981" s="191"/>
      <c r="R981" s="191"/>
      <c r="T981" s="191"/>
      <c r="U981" s="188"/>
    </row>
    <row r="982" spans="1:21" x14ac:dyDescent="0.25">
      <c r="A982" s="188"/>
      <c r="B982" s="188"/>
      <c r="C982" s="191"/>
      <c r="G982" s="191"/>
      <c r="H982" s="191"/>
      <c r="L982" s="191"/>
      <c r="M982" s="191"/>
      <c r="Q982" s="191"/>
      <c r="R982" s="191"/>
      <c r="T982" s="191"/>
      <c r="U982" s="188"/>
    </row>
    <row r="983" spans="1:21" x14ac:dyDescent="0.25">
      <c r="A983" s="188"/>
      <c r="B983" s="188"/>
      <c r="C983" s="191"/>
      <c r="G983" s="191"/>
      <c r="H983" s="191"/>
      <c r="L983" s="191"/>
      <c r="M983" s="191"/>
      <c r="Q983" s="191"/>
      <c r="R983" s="191"/>
      <c r="T983" s="191"/>
      <c r="U983" s="188"/>
    </row>
    <row r="984" spans="1:21" x14ac:dyDescent="0.25">
      <c r="A984" s="188"/>
      <c r="B984" s="188"/>
      <c r="C984" s="191"/>
      <c r="G984" s="191"/>
      <c r="H984" s="191"/>
      <c r="L984" s="191"/>
      <c r="M984" s="191"/>
      <c r="Q984" s="191"/>
      <c r="R984" s="191"/>
      <c r="T984" s="191"/>
      <c r="U984" s="188"/>
    </row>
    <row r="985" spans="1:21" x14ac:dyDescent="0.25">
      <c r="A985" s="188"/>
      <c r="B985" s="188"/>
      <c r="C985" s="191"/>
      <c r="G985" s="191"/>
      <c r="H985" s="191"/>
      <c r="L985" s="191"/>
      <c r="M985" s="191"/>
      <c r="Q985" s="191"/>
      <c r="R985" s="191"/>
      <c r="T985" s="191"/>
      <c r="U985" s="188"/>
    </row>
    <row r="986" spans="1:21" x14ac:dyDescent="0.25">
      <c r="A986" s="188"/>
      <c r="B986" s="188"/>
      <c r="C986" s="191"/>
      <c r="G986" s="191"/>
      <c r="H986" s="191"/>
      <c r="L986" s="191"/>
      <c r="M986" s="191"/>
      <c r="Q986" s="191"/>
      <c r="R986" s="191"/>
      <c r="T986" s="191"/>
      <c r="U986" s="188"/>
    </row>
    <row r="987" spans="1:21" x14ac:dyDescent="0.25">
      <c r="A987" s="188"/>
      <c r="B987" s="188"/>
      <c r="C987" s="191"/>
      <c r="G987" s="191"/>
      <c r="H987" s="191"/>
      <c r="L987" s="191"/>
      <c r="M987" s="191"/>
      <c r="Q987" s="191"/>
      <c r="R987" s="191"/>
      <c r="T987" s="191"/>
      <c r="U987" s="188"/>
    </row>
    <row r="988" spans="1:21" x14ac:dyDescent="0.25">
      <c r="A988" s="188"/>
      <c r="B988" s="188"/>
      <c r="C988" s="191"/>
      <c r="G988" s="191"/>
      <c r="H988" s="191"/>
      <c r="L988" s="191"/>
      <c r="M988" s="191"/>
      <c r="Q988" s="191"/>
      <c r="R988" s="191"/>
      <c r="T988" s="191"/>
      <c r="U988" s="188"/>
    </row>
    <row r="989" spans="1:21" x14ac:dyDescent="0.25">
      <c r="A989" s="188"/>
      <c r="B989" s="188"/>
      <c r="C989" s="191"/>
      <c r="G989" s="191"/>
      <c r="H989" s="191"/>
      <c r="L989" s="191"/>
      <c r="M989" s="191"/>
      <c r="Q989" s="191"/>
      <c r="R989" s="191"/>
      <c r="T989" s="191"/>
      <c r="U989" s="188"/>
    </row>
    <row r="990" spans="1:21" x14ac:dyDescent="0.25">
      <c r="A990" s="188"/>
      <c r="B990" s="188"/>
      <c r="C990" s="191"/>
      <c r="G990" s="191"/>
      <c r="H990" s="191"/>
      <c r="L990" s="191"/>
      <c r="M990" s="191"/>
      <c r="Q990" s="191"/>
      <c r="R990" s="191"/>
      <c r="T990" s="191"/>
      <c r="U990" s="188"/>
    </row>
    <row r="991" spans="1:21" x14ac:dyDescent="0.25">
      <c r="A991" s="188"/>
      <c r="B991" s="188"/>
      <c r="C991" s="191"/>
      <c r="G991" s="191"/>
      <c r="H991" s="191"/>
      <c r="L991" s="191"/>
      <c r="M991" s="191"/>
      <c r="Q991" s="191"/>
      <c r="R991" s="191"/>
      <c r="T991" s="191"/>
      <c r="U991" s="188"/>
    </row>
    <row r="992" spans="1:21" x14ac:dyDescent="0.25">
      <c r="A992" s="188"/>
      <c r="B992" s="188"/>
      <c r="C992" s="191"/>
      <c r="G992" s="191"/>
      <c r="H992" s="191"/>
      <c r="L992" s="191"/>
      <c r="M992" s="191"/>
      <c r="Q992" s="191"/>
      <c r="R992" s="191"/>
      <c r="T992" s="191"/>
      <c r="U992" s="188"/>
    </row>
    <row r="993" spans="1:21" x14ac:dyDescent="0.25">
      <c r="A993" s="188"/>
      <c r="B993" s="188"/>
      <c r="C993" s="191"/>
      <c r="G993" s="191"/>
      <c r="H993" s="191"/>
      <c r="L993" s="191"/>
      <c r="M993" s="191"/>
      <c r="Q993" s="191"/>
      <c r="R993" s="191"/>
      <c r="T993" s="191"/>
      <c r="U993" s="188"/>
    </row>
    <row r="994" spans="1:21" x14ac:dyDescent="0.25">
      <c r="A994" s="188"/>
      <c r="B994" s="188"/>
      <c r="C994" s="191"/>
      <c r="G994" s="191"/>
      <c r="H994" s="191"/>
      <c r="L994" s="191"/>
      <c r="M994" s="191"/>
      <c r="Q994" s="191"/>
      <c r="R994" s="191"/>
      <c r="T994" s="191"/>
      <c r="U994" s="188"/>
    </row>
    <row r="995" spans="1:21" x14ac:dyDescent="0.25">
      <c r="A995" s="188"/>
      <c r="B995" s="188"/>
      <c r="C995" s="191"/>
      <c r="G995" s="191"/>
      <c r="H995" s="191"/>
      <c r="L995" s="191"/>
      <c r="M995" s="191"/>
      <c r="Q995" s="191"/>
      <c r="R995" s="191"/>
      <c r="T995" s="191"/>
      <c r="U995" s="188"/>
    </row>
    <row r="996" spans="1:21" x14ac:dyDescent="0.25">
      <c r="A996" s="188"/>
      <c r="B996" s="188"/>
      <c r="C996" s="191"/>
      <c r="G996" s="191"/>
      <c r="H996" s="191"/>
      <c r="L996" s="191"/>
      <c r="M996" s="191"/>
      <c r="Q996" s="191"/>
      <c r="R996" s="191"/>
      <c r="T996" s="191"/>
      <c r="U996" s="188"/>
    </row>
    <row r="997" spans="1:21" x14ac:dyDescent="0.25">
      <c r="A997" s="188"/>
      <c r="B997" s="188"/>
      <c r="C997" s="191"/>
      <c r="G997" s="191"/>
      <c r="H997" s="191"/>
      <c r="L997" s="191"/>
      <c r="M997" s="191"/>
      <c r="Q997" s="191"/>
      <c r="R997" s="191"/>
      <c r="T997" s="191"/>
      <c r="U997" s="188"/>
    </row>
    <row r="998" spans="1:21" x14ac:dyDescent="0.25">
      <c r="A998" s="188"/>
      <c r="B998" s="188"/>
      <c r="C998" s="191"/>
      <c r="G998" s="191"/>
      <c r="H998" s="191"/>
      <c r="L998" s="191"/>
      <c r="M998" s="191"/>
      <c r="Q998" s="191"/>
      <c r="R998" s="191"/>
      <c r="T998" s="191"/>
      <c r="U998" s="188"/>
    </row>
    <row r="999" spans="1:21" x14ac:dyDescent="0.25">
      <c r="A999" s="188"/>
      <c r="B999" s="188"/>
      <c r="C999" s="191"/>
      <c r="G999" s="191"/>
      <c r="H999" s="191"/>
      <c r="L999" s="191"/>
      <c r="M999" s="191"/>
      <c r="Q999" s="191"/>
      <c r="R999" s="191"/>
      <c r="T999" s="191"/>
      <c r="U999" s="188"/>
    </row>
    <row r="1000" spans="1:21" x14ac:dyDescent="0.25">
      <c r="A1000" s="188"/>
      <c r="B1000" s="188"/>
      <c r="C1000" s="191"/>
      <c r="G1000" s="191"/>
      <c r="H1000" s="191"/>
      <c r="L1000" s="191"/>
      <c r="M1000" s="191"/>
      <c r="Q1000" s="191"/>
      <c r="R1000" s="191"/>
      <c r="T1000" s="191"/>
      <c r="U1000" s="188"/>
    </row>
    <row r="1001" spans="1:21" x14ac:dyDescent="0.25">
      <c r="A1001" s="188"/>
      <c r="B1001" s="188"/>
      <c r="C1001" s="191"/>
      <c r="G1001" s="191"/>
      <c r="H1001" s="191"/>
      <c r="L1001" s="191"/>
      <c r="M1001" s="191"/>
      <c r="Q1001" s="191"/>
      <c r="R1001" s="191"/>
      <c r="T1001" s="191"/>
      <c r="U1001" s="188"/>
    </row>
    <row r="1002" spans="1:21" x14ac:dyDescent="0.25">
      <c r="A1002" s="188"/>
      <c r="B1002" s="188"/>
      <c r="C1002" s="191"/>
      <c r="G1002" s="191"/>
      <c r="H1002" s="191"/>
      <c r="L1002" s="191"/>
      <c r="M1002" s="191"/>
      <c r="Q1002" s="191"/>
      <c r="R1002" s="191"/>
      <c r="T1002" s="191"/>
      <c r="U1002" s="188"/>
    </row>
    <row r="1003" spans="1:21" x14ac:dyDescent="0.25">
      <c r="A1003" s="188"/>
      <c r="B1003" s="188"/>
      <c r="C1003" s="191"/>
      <c r="G1003" s="191"/>
      <c r="H1003" s="191"/>
      <c r="L1003" s="191"/>
      <c r="M1003" s="191"/>
      <c r="Q1003" s="191"/>
      <c r="R1003" s="191"/>
      <c r="T1003" s="191"/>
      <c r="U1003" s="188"/>
    </row>
    <row r="1004" spans="1:21" x14ac:dyDescent="0.25">
      <c r="A1004" s="188"/>
      <c r="B1004" s="188"/>
      <c r="C1004" s="191"/>
      <c r="G1004" s="191"/>
      <c r="H1004" s="191"/>
      <c r="L1004" s="191"/>
      <c r="M1004" s="191"/>
      <c r="Q1004" s="191"/>
      <c r="R1004" s="191"/>
      <c r="T1004" s="191"/>
      <c r="U1004" s="188"/>
    </row>
    <row r="1005" spans="1:21" x14ac:dyDescent="0.25">
      <c r="A1005" s="188"/>
      <c r="B1005" s="188"/>
      <c r="C1005" s="191"/>
      <c r="G1005" s="191"/>
      <c r="H1005" s="191"/>
      <c r="L1005" s="191"/>
      <c r="M1005" s="191"/>
      <c r="Q1005" s="191"/>
      <c r="R1005" s="191"/>
      <c r="T1005" s="191"/>
      <c r="U1005" s="188"/>
    </row>
    <row r="1006" spans="1:21" x14ac:dyDescent="0.25">
      <c r="A1006" s="188"/>
      <c r="B1006" s="188"/>
      <c r="C1006" s="191"/>
      <c r="G1006" s="191"/>
      <c r="H1006" s="191"/>
      <c r="L1006" s="191"/>
      <c r="M1006" s="191"/>
      <c r="Q1006" s="191"/>
      <c r="R1006" s="191"/>
      <c r="T1006" s="191"/>
      <c r="U1006" s="188"/>
    </row>
    <row r="1007" spans="1:21" x14ac:dyDescent="0.25">
      <c r="A1007" s="188"/>
      <c r="B1007" s="188"/>
      <c r="C1007" s="191"/>
      <c r="G1007" s="191"/>
      <c r="H1007" s="191"/>
      <c r="L1007" s="191"/>
      <c r="M1007" s="191"/>
      <c r="Q1007" s="191"/>
      <c r="R1007" s="191"/>
      <c r="T1007" s="191"/>
      <c r="U1007" s="188"/>
    </row>
    <row r="1008" spans="1:21" x14ac:dyDescent="0.25">
      <c r="A1008" s="188"/>
      <c r="B1008" s="188"/>
      <c r="C1008" s="191"/>
      <c r="G1008" s="191"/>
      <c r="H1008" s="191"/>
      <c r="L1008" s="191"/>
      <c r="M1008" s="191"/>
      <c r="Q1008" s="191"/>
      <c r="R1008" s="191"/>
      <c r="T1008" s="191"/>
      <c r="U1008" s="188"/>
    </row>
    <row r="1009" spans="1:21" x14ac:dyDescent="0.25">
      <c r="A1009" s="188"/>
      <c r="B1009" s="188"/>
      <c r="C1009" s="191"/>
      <c r="G1009" s="191"/>
      <c r="H1009" s="191"/>
      <c r="L1009" s="191"/>
      <c r="M1009" s="191"/>
      <c r="Q1009" s="191"/>
      <c r="R1009" s="191"/>
      <c r="T1009" s="191"/>
      <c r="U1009" s="188"/>
    </row>
    <row r="1010" spans="1:21" x14ac:dyDescent="0.25">
      <c r="A1010" s="188"/>
      <c r="B1010" s="188"/>
      <c r="C1010" s="191"/>
      <c r="G1010" s="191"/>
      <c r="H1010" s="191"/>
      <c r="L1010" s="191"/>
      <c r="M1010" s="191"/>
      <c r="Q1010" s="191"/>
      <c r="R1010" s="191"/>
      <c r="T1010" s="191"/>
      <c r="U1010" s="188"/>
    </row>
    <row r="1011" spans="1:21" x14ac:dyDescent="0.25">
      <c r="A1011" s="188"/>
      <c r="B1011" s="188"/>
      <c r="C1011" s="191"/>
      <c r="G1011" s="191"/>
      <c r="H1011" s="191"/>
      <c r="L1011" s="191"/>
      <c r="M1011" s="191"/>
      <c r="Q1011" s="191"/>
      <c r="R1011" s="191"/>
      <c r="T1011" s="191"/>
      <c r="U1011" s="188"/>
    </row>
    <row r="1012" spans="1:21" x14ac:dyDescent="0.25">
      <c r="A1012" s="188"/>
      <c r="B1012" s="188"/>
      <c r="C1012" s="191"/>
      <c r="G1012" s="191"/>
      <c r="H1012" s="191"/>
      <c r="L1012" s="191"/>
      <c r="M1012" s="191"/>
      <c r="Q1012" s="191"/>
      <c r="R1012" s="191"/>
      <c r="T1012" s="191"/>
      <c r="U1012" s="188"/>
    </row>
    <row r="1013" spans="1:21" x14ac:dyDescent="0.25">
      <c r="A1013" s="188"/>
      <c r="B1013" s="188"/>
      <c r="C1013" s="191"/>
      <c r="G1013" s="191"/>
      <c r="H1013" s="191"/>
      <c r="L1013" s="191"/>
      <c r="M1013" s="191"/>
      <c r="Q1013" s="191"/>
      <c r="R1013" s="191"/>
      <c r="T1013" s="191"/>
      <c r="U1013" s="188"/>
    </row>
    <row r="1014" spans="1:21" x14ac:dyDescent="0.25">
      <c r="A1014" s="188"/>
      <c r="B1014" s="188"/>
      <c r="C1014" s="191"/>
      <c r="G1014" s="191"/>
      <c r="H1014" s="191"/>
      <c r="L1014" s="191"/>
      <c r="M1014" s="191"/>
      <c r="Q1014" s="191"/>
      <c r="R1014" s="191"/>
      <c r="T1014" s="191"/>
      <c r="U1014" s="188"/>
    </row>
    <row r="1015" spans="1:21" x14ac:dyDescent="0.25">
      <c r="A1015" s="188"/>
      <c r="B1015" s="188"/>
      <c r="C1015" s="191"/>
      <c r="G1015" s="191"/>
      <c r="H1015" s="191"/>
      <c r="L1015" s="191"/>
      <c r="M1015" s="191"/>
      <c r="Q1015" s="191"/>
      <c r="R1015" s="191"/>
      <c r="T1015" s="191"/>
      <c r="U1015" s="188"/>
    </row>
    <row r="1016" spans="1:21" x14ac:dyDescent="0.25">
      <c r="A1016" s="188"/>
      <c r="B1016" s="188"/>
      <c r="C1016" s="191"/>
      <c r="G1016" s="191"/>
      <c r="H1016" s="191"/>
      <c r="L1016" s="191"/>
      <c r="M1016" s="191"/>
      <c r="Q1016" s="191"/>
      <c r="R1016" s="191"/>
      <c r="T1016" s="191"/>
      <c r="U1016" s="188"/>
    </row>
    <row r="1017" spans="1:21" x14ac:dyDescent="0.25">
      <c r="A1017" s="188"/>
      <c r="B1017" s="188"/>
      <c r="C1017" s="191"/>
      <c r="G1017" s="191"/>
      <c r="H1017" s="191"/>
      <c r="L1017" s="191"/>
      <c r="M1017" s="191"/>
      <c r="Q1017" s="191"/>
      <c r="R1017" s="191"/>
      <c r="T1017" s="191"/>
      <c r="U1017" s="188"/>
    </row>
    <row r="1018" spans="1:21" x14ac:dyDescent="0.25">
      <c r="A1018" s="188"/>
      <c r="B1018" s="188"/>
      <c r="C1018" s="191"/>
      <c r="G1018" s="191"/>
      <c r="H1018" s="191"/>
      <c r="L1018" s="191"/>
      <c r="M1018" s="191"/>
      <c r="Q1018" s="191"/>
      <c r="R1018" s="191"/>
      <c r="T1018" s="191"/>
      <c r="U1018" s="188"/>
    </row>
    <row r="1019" spans="1:21" x14ac:dyDescent="0.25">
      <c r="A1019" s="188"/>
      <c r="B1019" s="188"/>
      <c r="C1019" s="191"/>
      <c r="G1019" s="191"/>
      <c r="H1019" s="191"/>
      <c r="L1019" s="191"/>
      <c r="M1019" s="191"/>
      <c r="Q1019" s="191"/>
      <c r="R1019" s="191"/>
      <c r="T1019" s="191"/>
      <c r="U1019" s="188"/>
    </row>
    <row r="1020" spans="1:21" x14ac:dyDescent="0.25">
      <c r="A1020" s="188"/>
      <c r="B1020" s="188"/>
      <c r="C1020" s="191"/>
      <c r="G1020" s="191"/>
      <c r="H1020" s="191"/>
      <c r="L1020" s="191"/>
      <c r="M1020" s="191"/>
      <c r="Q1020" s="191"/>
      <c r="R1020" s="191"/>
      <c r="T1020" s="191"/>
      <c r="U1020" s="188"/>
    </row>
    <row r="1021" spans="1:21" x14ac:dyDescent="0.25">
      <c r="A1021" s="188"/>
      <c r="B1021" s="188"/>
      <c r="C1021" s="191"/>
      <c r="G1021" s="191"/>
      <c r="H1021" s="191"/>
      <c r="L1021" s="191"/>
      <c r="M1021" s="191"/>
      <c r="Q1021" s="191"/>
      <c r="R1021" s="191"/>
      <c r="T1021" s="191"/>
      <c r="U1021" s="188"/>
    </row>
    <row r="1022" spans="1:21" x14ac:dyDescent="0.25">
      <c r="A1022" s="188"/>
      <c r="B1022" s="188"/>
      <c r="C1022" s="191"/>
      <c r="G1022" s="191"/>
      <c r="H1022" s="191"/>
      <c r="L1022" s="191"/>
      <c r="M1022" s="191"/>
      <c r="Q1022" s="191"/>
      <c r="R1022" s="191"/>
      <c r="T1022" s="191"/>
      <c r="U1022" s="188"/>
    </row>
    <row r="1023" spans="1:21" x14ac:dyDescent="0.25">
      <c r="A1023" s="188"/>
      <c r="B1023" s="188"/>
      <c r="C1023" s="191"/>
      <c r="G1023" s="191"/>
      <c r="H1023" s="191"/>
      <c r="L1023" s="191"/>
      <c r="M1023" s="191"/>
      <c r="Q1023" s="191"/>
      <c r="R1023" s="191"/>
      <c r="T1023" s="191"/>
      <c r="U1023" s="188"/>
    </row>
    <row r="1024" spans="1:21" x14ac:dyDescent="0.25">
      <c r="A1024" s="188"/>
      <c r="B1024" s="188"/>
      <c r="C1024" s="191"/>
      <c r="G1024" s="191"/>
      <c r="H1024" s="191"/>
      <c r="L1024" s="191"/>
      <c r="M1024" s="191"/>
      <c r="Q1024" s="191"/>
      <c r="R1024" s="191"/>
      <c r="T1024" s="191"/>
      <c r="U1024" s="188"/>
    </row>
    <row r="1025" spans="1:21" x14ac:dyDescent="0.25">
      <c r="A1025" s="188"/>
      <c r="B1025" s="188"/>
      <c r="C1025" s="191"/>
      <c r="G1025" s="191"/>
      <c r="H1025" s="191"/>
      <c r="L1025" s="191"/>
      <c r="M1025" s="191"/>
      <c r="Q1025" s="191"/>
      <c r="R1025" s="191"/>
      <c r="T1025" s="191"/>
      <c r="U1025" s="188"/>
    </row>
    <row r="1026" spans="1:21" x14ac:dyDescent="0.25">
      <c r="A1026" s="188"/>
      <c r="B1026" s="188"/>
      <c r="C1026" s="191"/>
      <c r="G1026" s="191"/>
      <c r="H1026" s="191"/>
      <c r="L1026" s="191"/>
      <c r="M1026" s="191"/>
      <c r="Q1026" s="191"/>
      <c r="R1026" s="191"/>
      <c r="T1026" s="191"/>
      <c r="U1026" s="188"/>
    </row>
    <row r="1027" spans="1:21" x14ac:dyDescent="0.25">
      <c r="A1027" s="188"/>
      <c r="B1027" s="188"/>
      <c r="C1027" s="191"/>
      <c r="G1027" s="191"/>
      <c r="H1027" s="191"/>
      <c r="L1027" s="191"/>
      <c r="M1027" s="191"/>
      <c r="Q1027" s="191"/>
      <c r="R1027" s="191"/>
      <c r="T1027" s="191"/>
      <c r="U1027" s="188"/>
    </row>
    <row r="1028" spans="1:21" x14ac:dyDescent="0.25">
      <c r="A1028" s="188"/>
      <c r="B1028" s="188"/>
      <c r="C1028" s="191"/>
      <c r="G1028" s="191"/>
      <c r="H1028" s="191"/>
      <c r="L1028" s="191"/>
      <c r="M1028" s="191"/>
      <c r="Q1028" s="191"/>
      <c r="R1028" s="191"/>
      <c r="T1028" s="191"/>
      <c r="U1028" s="188"/>
    </row>
    <row r="1029" spans="1:21" x14ac:dyDescent="0.25">
      <c r="A1029" s="188"/>
      <c r="B1029" s="188"/>
      <c r="C1029" s="191"/>
      <c r="G1029" s="191"/>
      <c r="H1029" s="191"/>
      <c r="L1029" s="191"/>
      <c r="M1029" s="191"/>
      <c r="Q1029" s="191"/>
      <c r="R1029" s="191"/>
      <c r="T1029" s="191"/>
      <c r="U1029" s="188"/>
    </row>
    <row r="1030" spans="1:21" x14ac:dyDescent="0.25">
      <c r="A1030" s="188"/>
      <c r="B1030" s="188"/>
      <c r="C1030" s="191"/>
      <c r="G1030" s="191"/>
      <c r="H1030" s="191"/>
      <c r="L1030" s="191"/>
      <c r="M1030" s="191"/>
      <c r="Q1030" s="191"/>
      <c r="R1030" s="191"/>
      <c r="T1030" s="191"/>
      <c r="U1030" s="188"/>
    </row>
    <row r="1031" spans="1:21" x14ac:dyDescent="0.25">
      <c r="A1031" s="188"/>
      <c r="B1031" s="188"/>
      <c r="C1031" s="191"/>
      <c r="G1031" s="191"/>
      <c r="H1031" s="191"/>
      <c r="L1031" s="191"/>
      <c r="M1031" s="191"/>
      <c r="Q1031" s="191"/>
      <c r="R1031" s="191"/>
      <c r="T1031" s="191"/>
      <c r="U1031" s="188"/>
    </row>
    <row r="1032" spans="1:21" x14ac:dyDescent="0.25">
      <c r="A1032" s="188"/>
      <c r="B1032" s="188"/>
      <c r="C1032" s="191"/>
      <c r="G1032" s="191"/>
      <c r="H1032" s="191"/>
      <c r="L1032" s="191"/>
      <c r="M1032" s="191"/>
      <c r="Q1032" s="191"/>
      <c r="R1032" s="191"/>
      <c r="T1032" s="191"/>
      <c r="U1032" s="188"/>
    </row>
    <row r="1033" spans="1:21" x14ac:dyDescent="0.25">
      <c r="A1033" s="188"/>
      <c r="B1033" s="188"/>
      <c r="C1033" s="191"/>
      <c r="G1033" s="191"/>
      <c r="H1033" s="191"/>
      <c r="L1033" s="191"/>
      <c r="M1033" s="191"/>
      <c r="Q1033" s="191"/>
      <c r="R1033" s="191"/>
      <c r="T1033" s="191"/>
      <c r="U1033" s="188"/>
    </row>
    <row r="1034" spans="1:21" x14ac:dyDescent="0.25">
      <c r="A1034" s="188"/>
      <c r="B1034" s="188"/>
      <c r="C1034" s="191"/>
      <c r="G1034" s="191"/>
      <c r="H1034" s="191"/>
      <c r="L1034" s="191"/>
      <c r="M1034" s="191"/>
      <c r="Q1034" s="191"/>
      <c r="R1034" s="191"/>
      <c r="T1034" s="191"/>
      <c r="U1034" s="188"/>
    </row>
    <row r="1035" spans="1:21" x14ac:dyDescent="0.25">
      <c r="A1035" s="188"/>
      <c r="B1035" s="188"/>
      <c r="C1035" s="191"/>
      <c r="G1035" s="191"/>
      <c r="H1035" s="191"/>
      <c r="L1035" s="191"/>
      <c r="M1035" s="191"/>
      <c r="Q1035" s="191"/>
      <c r="R1035" s="191"/>
      <c r="T1035" s="191"/>
      <c r="U1035" s="188"/>
    </row>
    <row r="1036" spans="1:21" x14ac:dyDescent="0.25">
      <c r="A1036" s="188"/>
      <c r="B1036" s="188"/>
      <c r="C1036" s="191"/>
      <c r="G1036" s="191"/>
      <c r="H1036" s="191"/>
      <c r="L1036" s="191"/>
      <c r="M1036" s="191"/>
      <c r="Q1036" s="191"/>
      <c r="R1036" s="191"/>
      <c r="T1036" s="191"/>
      <c r="U1036" s="188"/>
    </row>
    <row r="1037" spans="1:21" x14ac:dyDescent="0.25">
      <c r="A1037" s="188"/>
      <c r="B1037" s="188"/>
      <c r="C1037" s="191"/>
      <c r="G1037" s="191"/>
      <c r="H1037" s="191"/>
      <c r="L1037" s="191"/>
      <c r="M1037" s="191"/>
      <c r="Q1037" s="191"/>
      <c r="R1037" s="191"/>
      <c r="T1037" s="191"/>
      <c r="U1037" s="188"/>
    </row>
    <row r="1038" spans="1:21" x14ac:dyDescent="0.25">
      <c r="A1038" s="188"/>
      <c r="B1038" s="188"/>
      <c r="C1038" s="191"/>
      <c r="G1038" s="191"/>
      <c r="H1038" s="191"/>
      <c r="L1038" s="191"/>
      <c r="M1038" s="191"/>
      <c r="Q1038" s="191"/>
      <c r="R1038" s="191"/>
      <c r="T1038" s="191"/>
      <c r="U1038" s="188"/>
    </row>
    <row r="1039" spans="1:21" x14ac:dyDescent="0.25">
      <c r="A1039" s="188"/>
      <c r="B1039" s="188"/>
      <c r="C1039" s="191"/>
      <c r="G1039" s="191"/>
      <c r="H1039" s="191"/>
      <c r="L1039" s="191"/>
      <c r="M1039" s="191"/>
      <c r="Q1039" s="191"/>
      <c r="R1039" s="191"/>
      <c r="T1039" s="191"/>
      <c r="U1039" s="188"/>
    </row>
    <row r="1040" spans="1:21" x14ac:dyDescent="0.25">
      <c r="A1040" s="188"/>
      <c r="B1040" s="188"/>
      <c r="C1040" s="191"/>
      <c r="G1040" s="191"/>
      <c r="H1040" s="191"/>
      <c r="L1040" s="191"/>
      <c r="M1040" s="191"/>
      <c r="Q1040" s="191"/>
      <c r="R1040" s="191"/>
      <c r="T1040" s="191"/>
      <c r="U1040" s="188"/>
    </row>
    <row r="1041" spans="1:21" x14ac:dyDescent="0.25">
      <c r="A1041" s="188"/>
      <c r="B1041" s="188"/>
      <c r="C1041" s="191"/>
      <c r="G1041" s="191"/>
      <c r="H1041" s="191"/>
      <c r="L1041" s="191"/>
      <c r="M1041" s="191"/>
      <c r="Q1041" s="191"/>
      <c r="R1041" s="191"/>
      <c r="T1041" s="191"/>
      <c r="U1041" s="188"/>
    </row>
    <row r="1042" spans="1:21" x14ac:dyDescent="0.25">
      <c r="A1042" s="188"/>
      <c r="B1042" s="188"/>
      <c r="C1042" s="191"/>
      <c r="G1042" s="191"/>
      <c r="H1042" s="191"/>
      <c r="L1042" s="191"/>
      <c r="M1042" s="191"/>
      <c r="Q1042" s="191"/>
      <c r="R1042" s="191"/>
      <c r="T1042" s="191"/>
      <c r="U1042" s="188"/>
    </row>
    <row r="1043" spans="1:21" x14ac:dyDescent="0.25">
      <c r="A1043" s="188"/>
      <c r="B1043" s="188"/>
      <c r="C1043" s="191"/>
      <c r="G1043" s="191"/>
      <c r="H1043" s="191"/>
      <c r="L1043" s="191"/>
      <c r="M1043" s="191"/>
      <c r="Q1043" s="191"/>
      <c r="R1043" s="191"/>
      <c r="T1043" s="191"/>
      <c r="U1043" s="188"/>
    </row>
    <row r="1044" spans="1:21" x14ac:dyDescent="0.25">
      <c r="A1044" s="188"/>
      <c r="B1044" s="188"/>
      <c r="C1044" s="191"/>
      <c r="G1044" s="191"/>
      <c r="H1044" s="191"/>
      <c r="L1044" s="191"/>
      <c r="M1044" s="191"/>
      <c r="Q1044" s="191"/>
      <c r="R1044" s="191"/>
      <c r="T1044" s="191"/>
      <c r="U1044" s="188"/>
    </row>
    <row r="1045" spans="1:21" x14ac:dyDescent="0.25">
      <c r="A1045" s="188"/>
      <c r="B1045" s="188"/>
      <c r="C1045" s="191"/>
      <c r="G1045" s="191"/>
      <c r="H1045" s="191"/>
      <c r="L1045" s="191"/>
      <c r="M1045" s="191"/>
      <c r="Q1045" s="191"/>
      <c r="R1045" s="191"/>
      <c r="T1045" s="191"/>
      <c r="U1045" s="188"/>
    </row>
    <row r="1046" spans="1:21" x14ac:dyDescent="0.25">
      <c r="A1046" s="188"/>
      <c r="B1046" s="188"/>
      <c r="C1046" s="191"/>
      <c r="G1046" s="191"/>
      <c r="H1046" s="191"/>
      <c r="L1046" s="191"/>
      <c r="M1046" s="191"/>
      <c r="Q1046" s="191"/>
      <c r="R1046" s="191"/>
      <c r="T1046" s="191"/>
      <c r="U1046" s="188"/>
    </row>
    <row r="1047" spans="1:21" x14ac:dyDescent="0.25">
      <c r="A1047" s="188"/>
      <c r="B1047" s="188"/>
      <c r="C1047" s="191"/>
      <c r="G1047" s="191"/>
      <c r="H1047" s="191"/>
      <c r="L1047" s="191"/>
      <c r="M1047" s="191"/>
      <c r="Q1047" s="191"/>
      <c r="R1047" s="191"/>
      <c r="T1047" s="191"/>
      <c r="U1047" s="188"/>
    </row>
    <row r="1048" spans="1:21" x14ac:dyDescent="0.25">
      <c r="A1048" s="188"/>
      <c r="B1048" s="188"/>
      <c r="C1048" s="191"/>
      <c r="G1048" s="191"/>
      <c r="H1048" s="191"/>
      <c r="L1048" s="191"/>
      <c r="M1048" s="191"/>
      <c r="Q1048" s="191"/>
      <c r="R1048" s="191"/>
      <c r="T1048" s="191"/>
      <c r="U1048" s="188"/>
    </row>
  </sheetData>
  <sortState xmlns:xlrd2="http://schemas.microsoft.com/office/spreadsheetml/2017/richdata2" ref="B463:T698">
    <sortCondition ref="B46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Order</vt:lpstr>
      <vt:lpstr>Print Order</vt:lpstr>
      <vt:lpstr>A</vt:lpstr>
      <vt:lpstr>Order!Print_Area</vt:lpstr>
      <vt:lpstr>'Print Order'!Print_Area</vt:lpstr>
      <vt:lpstr>Order!Print_Titles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Connolly</dc:creator>
  <cp:lastModifiedBy>Beth Connolly</cp:lastModifiedBy>
  <cp:lastPrinted>2019-09-12T09:27:50Z</cp:lastPrinted>
  <dcterms:created xsi:type="dcterms:W3CDTF">2019-03-21T10:27:40Z</dcterms:created>
  <dcterms:modified xsi:type="dcterms:W3CDTF">2019-09-12T09:28:52Z</dcterms:modified>
</cp:coreProperties>
</file>