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\shared\SALES\AVAILABILITY LISTS\Aquatics\"/>
    </mc:Choice>
  </mc:AlternateContent>
  <xr:revisionPtr revIDLastSave="0" documentId="13_ncr:1_{61D56476-BCF7-47AA-A36E-26E64B91C659}" xr6:coauthVersionLast="43" xr6:coauthVersionMax="43" xr10:uidLastSave="{00000000-0000-0000-0000-000000000000}"/>
  <bookViews>
    <workbookView xWindow="-28920" yWindow="-120" windowWidth="29040" windowHeight="15840" tabRatio="699" xr2:uid="{35DFE473-82E6-4A54-975C-74023289E432}"/>
  </bookViews>
  <sheets>
    <sheet name="Order" sheetId="1" r:id="rId1"/>
    <sheet name="Print Order" sheetId="5" r:id="rId2"/>
    <sheet name="A" sheetId="2" r:id="rId3"/>
  </sheets>
  <definedNames>
    <definedName name="_xlnm._FilterDatabase" localSheetId="2" hidden="1">A!$C$1:$R$451</definedName>
    <definedName name="_xlnm._FilterDatabase" localSheetId="0" hidden="1">Order!$A$2:$O$868</definedName>
    <definedName name="_xlnm.Print_Area" localSheetId="0">Order!$B$20:$O$887</definedName>
    <definedName name="_xlnm.Print_Area" localSheetId="1">'Print Order'!$A$1:$D$145</definedName>
    <definedName name="_xlnm.Print_Titles" localSheetId="0">Order!$2:$7</definedName>
    <definedName name="_xlnm.Print_Titles" localSheetId="1">'Print Order'!$1:$4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4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2" i="1"/>
  <c r="A173" i="1"/>
  <c r="A174" i="1"/>
  <c r="A179" i="1"/>
  <c r="A180" i="1"/>
  <c r="A181" i="1"/>
  <c r="A182" i="1"/>
  <c r="A183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D177" i="1"/>
  <c r="G177" i="1"/>
  <c r="H177" i="1"/>
  <c r="I177" i="1"/>
  <c r="J177" i="1"/>
  <c r="K177" i="1"/>
  <c r="L177" i="1"/>
  <c r="M177" i="1"/>
  <c r="N177" i="1"/>
  <c r="O177" i="1"/>
  <c r="Q177" i="1"/>
  <c r="S177" i="1"/>
  <c r="A177" i="1" s="1"/>
  <c r="T177" i="1"/>
  <c r="C177" i="1" s="1"/>
  <c r="B203" i="1" l="1"/>
  <c r="B611" i="1" l="1"/>
  <c r="B601" i="1"/>
  <c r="S601" i="1" s="1"/>
  <c r="Q587" i="1"/>
  <c r="S587" i="1"/>
  <c r="T323" i="2"/>
  <c r="D283" i="1"/>
  <c r="G283" i="1"/>
  <c r="H283" i="1"/>
  <c r="I283" i="1"/>
  <c r="J283" i="1"/>
  <c r="K283" i="1"/>
  <c r="L283" i="1"/>
  <c r="M283" i="1"/>
  <c r="N283" i="1"/>
  <c r="O283" i="1"/>
  <c r="P283" i="1"/>
  <c r="Q283" i="1"/>
  <c r="S283" i="1"/>
  <c r="T283" i="1"/>
  <c r="C283" i="1" s="1"/>
  <c r="H586" i="1"/>
  <c r="D586" i="1"/>
  <c r="G586" i="1"/>
  <c r="I586" i="1"/>
  <c r="J586" i="1"/>
  <c r="Q586" i="1"/>
  <c r="S586" i="1"/>
  <c r="T586" i="1"/>
  <c r="C586" i="1" s="1"/>
  <c r="U586" i="1"/>
  <c r="V586" i="1"/>
  <c r="W586" i="1" s="1"/>
  <c r="T499" i="2"/>
  <c r="T500" i="2"/>
  <c r="T501" i="2"/>
  <c r="T502" i="2"/>
  <c r="T503" i="2"/>
  <c r="T504" i="2"/>
  <c r="T505" i="2"/>
  <c r="T506" i="2"/>
  <c r="T507" i="2"/>
  <c r="T508" i="2"/>
  <c r="T509" i="2"/>
  <c r="T498" i="2"/>
  <c r="D495" i="1"/>
  <c r="G495" i="1"/>
  <c r="H495" i="1"/>
  <c r="I495" i="1"/>
  <c r="J495" i="1"/>
  <c r="K495" i="1"/>
  <c r="L495" i="1"/>
  <c r="M495" i="1"/>
  <c r="N495" i="1"/>
  <c r="O495" i="1"/>
  <c r="P495" i="1"/>
  <c r="Q495" i="1"/>
  <c r="S495" i="1"/>
  <c r="T495" i="1"/>
  <c r="C495" i="1" s="1"/>
  <c r="D496" i="1"/>
  <c r="G496" i="1"/>
  <c r="H496" i="1"/>
  <c r="I496" i="1"/>
  <c r="J496" i="1"/>
  <c r="K496" i="1"/>
  <c r="L496" i="1"/>
  <c r="M496" i="1"/>
  <c r="N496" i="1"/>
  <c r="O496" i="1"/>
  <c r="P496" i="1"/>
  <c r="Q496" i="1"/>
  <c r="S496" i="1"/>
  <c r="T496" i="1"/>
  <c r="C496" i="1" s="1"/>
  <c r="A20" i="1"/>
  <c r="B852" i="1"/>
  <c r="S852" i="1" s="1"/>
  <c r="B837" i="1"/>
  <c r="S837" i="1" s="1"/>
  <c r="B827" i="1"/>
  <c r="S827" i="1" s="1"/>
  <c r="B816" i="1"/>
  <c r="S816" i="1" s="1"/>
  <c r="B805" i="1"/>
  <c r="W805" i="1" s="1"/>
  <c r="B796" i="1"/>
  <c r="S796" i="1" s="1"/>
  <c r="B786" i="1"/>
  <c r="S786" i="1" s="1"/>
  <c r="B779" i="1"/>
  <c r="S779" i="1" s="1"/>
  <c r="B721" i="1"/>
  <c r="S721" i="1" s="1"/>
  <c r="B671" i="1"/>
  <c r="B660" i="1"/>
  <c r="S660" i="1" s="1"/>
  <c r="B651" i="1"/>
  <c r="B645" i="1"/>
  <c r="S645" i="1" s="1"/>
  <c r="B561" i="1"/>
  <c r="S561" i="1" s="1"/>
  <c r="B546" i="1"/>
  <c r="S546" i="1" s="1"/>
  <c r="B528" i="1"/>
  <c r="S528" i="1" s="1"/>
  <c r="B456" i="1"/>
  <c r="S456" i="1" s="1"/>
  <c r="B351" i="1"/>
  <c r="S351" i="1" s="1"/>
  <c r="B330" i="1"/>
  <c r="S330" i="1" s="1"/>
  <c r="B230" i="1"/>
  <c r="S230" i="1" s="1"/>
  <c r="B219" i="1"/>
  <c r="S219" i="1" s="1"/>
  <c r="S203" i="1"/>
  <c r="S184" i="1"/>
  <c r="B171" i="1"/>
  <c r="S171" i="1" s="1"/>
  <c r="Q494" i="1"/>
  <c r="H605" i="1"/>
  <c r="N666" i="1"/>
  <c r="O666" i="1"/>
  <c r="T380" i="2"/>
  <c r="V495" i="1"/>
  <c r="W495" i="1" s="1"/>
  <c r="S380" i="2"/>
  <c r="U495" i="1" s="1"/>
  <c r="T183" i="2"/>
  <c r="T160" i="2"/>
  <c r="V363" i="1"/>
  <c r="W363" i="1" s="1"/>
  <c r="T159" i="2"/>
  <c r="T158" i="2"/>
  <c r="V361" i="1"/>
  <c r="W361" i="1" s="1"/>
  <c r="T157" i="2"/>
  <c r="V360" i="1" s="1"/>
  <c r="W360" i="1" s="1"/>
  <c r="T156" i="2"/>
  <c r="T396" i="2"/>
  <c r="T395" i="2"/>
  <c r="T394" i="2"/>
  <c r="T393" i="2"/>
  <c r="T392" i="2"/>
  <c r="T391" i="2"/>
  <c r="T390" i="2"/>
  <c r="T389" i="2"/>
  <c r="T388" i="2"/>
  <c r="V503" i="1" s="1"/>
  <c r="W503" i="1" s="1"/>
  <c r="T387" i="2"/>
  <c r="T386" i="2"/>
  <c r="T385" i="2"/>
  <c r="T384" i="2"/>
  <c r="T383" i="2"/>
  <c r="T382" i="2"/>
  <c r="T381" i="2"/>
  <c r="V496" i="1"/>
  <c r="W496" i="1" s="1"/>
  <c r="T378" i="2"/>
  <c r="T377" i="2"/>
  <c r="T376" i="2"/>
  <c r="T375" i="2"/>
  <c r="V490" i="1"/>
  <c r="W490" i="1" s="1"/>
  <c r="T374" i="2"/>
  <c r="T373" i="2"/>
  <c r="T372" i="2"/>
  <c r="T371" i="2"/>
  <c r="D494" i="1"/>
  <c r="S611" i="1"/>
  <c r="D497" i="1"/>
  <c r="G497" i="1"/>
  <c r="H497" i="1"/>
  <c r="I497" i="1"/>
  <c r="J497" i="1"/>
  <c r="K497" i="1"/>
  <c r="L497" i="1"/>
  <c r="M497" i="1"/>
  <c r="N497" i="1"/>
  <c r="O497" i="1"/>
  <c r="P497" i="1"/>
  <c r="Q497" i="1"/>
  <c r="S497" i="1"/>
  <c r="T497" i="1"/>
  <c r="C497" i="1" s="1"/>
  <c r="V497" i="1"/>
  <c r="W497" i="1" s="1"/>
  <c r="D474" i="1"/>
  <c r="G474" i="1"/>
  <c r="H474" i="1"/>
  <c r="I474" i="1"/>
  <c r="J474" i="1"/>
  <c r="K474" i="1"/>
  <c r="L474" i="1"/>
  <c r="M474" i="1"/>
  <c r="N474" i="1"/>
  <c r="O474" i="1"/>
  <c r="P474" i="1"/>
  <c r="Q474" i="1"/>
  <c r="S474" i="1"/>
  <c r="T474" i="1"/>
  <c r="C474" i="1" s="1"/>
  <c r="D475" i="1"/>
  <c r="G475" i="1"/>
  <c r="H475" i="1"/>
  <c r="I475" i="1"/>
  <c r="J475" i="1"/>
  <c r="K475" i="1"/>
  <c r="L475" i="1"/>
  <c r="M475" i="1"/>
  <c r="N475" i="1"/>
  <c r="O475" i="1"/>
  <c r="P475" i="1"/>
  <c r="Q475" i="1"/>
  <c r="S475" i="1"/>
  <c r="T475" i="1"/>
  <c r="C475" i="1" s="1"/>
  <c r="D476" i="1"/>
  <c r="G476" i="1"/>
  <c r="H476" i="1"/>
  <c r="I476" i="1"/>
  <c r="J476" i="1"/>
  <c r="K476" i="1"/>
  <c r="L476" i="1"/>
  <c r="M476" i="1"/>
  <c r="N476" i="1"/>
  <c r="O476" i="1"/>
  <c r="P476" i="1"/>
  <c r="Q476" i="1"/>
  <c r="S476" i="1"/>
  <c r="T476" i="1"/>
  <c r="C476" i="1" s="1"/>
  <c r="D477" i="1"/>
  <c r="G477" i="1"/>
  <c r="H477" i="1"/>
  <c r="I477" i="1"/>
  <c r="J477" i="1"/>
  <c r="K477" i="1"/>
  <c r="L477" i="1"/>
  <c r="M477" i="1"/>
  <c r="N477" i="1"/>
  <c r="O477" i="1"/>
  <c r="P477" i="1"/>
  <c r="Q477" i="1"/>
  <c r="S477" i="1"/>
  <c r="T477" i="1"/>
  <c r="C477" i="1" s="1"/>
  <c r="D478" i="1"/>
  <c r="G478" i="1"/>
  <c r="H478" i="1"/>
  <c r="I478" i="1"/>
  <c r="J478" i="1"/>
  <c r="K478" i="1"/>
  <c r="L478" i="1"/>
  <c r="M478" i="1"/>
  <c r="N478" i="1"/>
  <c r="O478" i="1"/>
  <c r="P478" i="1"/>
  <c r="Q478" i="1"/>
  <c r="S478" i="1"/>
  <c r="T478" i="1"/>
  <c r="C478" i="1" s="1"/>
  <c r="D479" i="1"/>
  <c r="G479" i="1"/>
  <c r="H479" i="1"/>
  <c r="I479" i="1"/>
  <c r="J479" i="1"/>
  <c r="K479" i="1"/>
  <c r="L479" i="1"/>
  <c r="M479" i="1"/>
  <c r="N479" i="1"/>
  <c r="O479" i="1"/>
  <c r="P479" i="1"/>
  <c r="Q479" i="1"/>
  <c r="S479" i="1"/>
  <c r="T479" i="1"/>
  <c r="C479" i="1" s="1"/>
  <c r="S382" i="2"/>
  <c r="U497" i="1" s="1"/>
  <c r="S381" i="2"/>
  <c r="U496" i="1" s="1"/>
  <c r="T364" i="2"/>
  <c r="V479" i="1" s="1"/>
  <c r="W479" i="1" s="1"/>
  <c r="T363" i="2"/>
  <c r="V478" i="1"/>
  <c r="W478" i="1" s="1"/>
  <c r="T362" i="2"/>
  <c r="V477" i="1" s="1"/>
  <c r="W477" i="1" s="1"/>
  <c r="T361" i="2"/>
  <c r="V476" i="1"/>
  <c r="W476" i="1" s="1"/>
  <c r="T360" i="2"/>
  <c r="V475" i="1" s="1"/>
  <c r="W475" i="1" s="1"/>
  <c r="T359" i="2"/>
  <c r="V474" i="1"/>
  <c r="W474" i="1" s="1"/>
  <c r="S364" i="2"/>
  <c r="U479" i="1" s="1"/>
  <c r="S363" i="2"/>
  <c r="U478" i="1" s="1"/>
  <c r="S362" i="2"/>
  <c r="U477" i="1" s="1"/>
  <c r="S361" i="2"/>
  <c r="U476" i="1" s="1"/>
  <c r="S360" i="2"/>
  <c r="U475" i="1" s="1"/>
  <c r="S359" i="2"/>
  <c r="U474" i="1" s="1"/>
  <c r="S328" i="2"/>
  <c r="T328" i="2"/>
  <c r="S329" i="2"/>
  <c r="T329" i="2"/>
  <c r="O1" i="1"/>
  <c r="I336" i="1"/>
  <c r="O335" i="1"/>
  <c r="N335" i="1"/>
  <c r="M335" i="1"/>
  <c r="L335" i="1"/>
  <c r="K335" i="1"/>
  <c r="O334" i="1"/>
  <c r="N334" i="1"/>
  <c r="M334" i="1"/>
  <c r="L334" i="1"/>
  <c r="K334" i="1"/>
  <c r="D360" i="1"/>
  <c r="G360" i="1"/>
  <c r="H360" i="1"/>
  <c r="I360" i="1"/>
  <c r="J360" i="1"/>
  <c r="K360" i="1"/>
  <c r="L360" i="1"/>
  <c r="M360" i="1"/>
  <c r="N360" i="1"/>
  <c r="O360" i="1"/>
  <c r="P360" i="1"/>
  <c r="Q360" i="1"/>
  <c r="S360" i="1"/>
  <c r="T360" i="1"/>
  <c r="C360" i="1" s="1"/>
  <c r="U360" i="1"/>
  <c r="D43" i="1"/>
  <c r="G43" i="1"/>
  <c r="H43" i="1"/>
  <c r="I43" i="1"/>
  <c r="J43" i="1"/>
  <c r="K43" i="1"/>
  <c r="L43" i="1"/>
  <c r="M43" i="1"/>
  <c r="N43" i="1"/>
  <c r="O43" i="1"/>
  <c r="P43" i="1"/>
  <c r="Q43" i="1"/>
  <c r="S43" i="1"/>
  <c r="T43" i="1"/>
  <c r="C43" i="1" s="1"/>
  <c r="T22" i="2"/>
  <c r="V43" i="1"/>
  <c r="W43" i="1" s="1"/>
  <c r="S22" i="2"/>
  <c r="U43" i="1" s="1"/>
  <c r="D503" i="1"/>
  <c r="G503" i="1"/>
  <c r="H503" i="1"/>
  <c r="I503" i="1"/>
  <c r="J503" i="1"/>
  <c r="K503" i="1"/>
  <c r="L503" i="1"/>
  <c r="M503" i="1"/>
  <c r="N503" i="1"/>
  <c r="O503" i="1"/>
  <c r="P503" i="1"/>
  <c r="Q503" i="1"/>
  <c r="S503" i="1"/>
  <c r="T503" i="1"/>
  <c r="C503" i="1" s="1"/>
  <c r="U503" i="1"/>
  <c r="T319" i="1"/>
  <c r="C319" i="1" s="1"/>
  <c r="S319" i="1"/>
  <c r="Q319" i="1"/>
  <c r="P319" i="1"/>
  <c r="O319" i="1"/>
  <c r="N319" i="1"/>
  <c r="M319" i="1"/>
  <c r="L319" i="1"/>
  <c r="K319" i="1"/>
  <c r="J319" i="1"/>
  <c r="I319" i="1"/>
  <c r="H319" i="1"/>
  <c r="G319" i="1"/>
  <c r="D319" i="1"/>
  <c r="U318" i="1"/>
  <c r="T318" i="1"/>
  <c r="C318" i="1" s="1"/>
  <c r="S318" i="1"/>
  <c r="Q318" i="1"/>
  <c r="P318" i="1"/>
  <c r="O318" i="1"/>
  <c r="N318" i="1"/>
  <c r="M318" i="1"/>
  <c r="L318" i="1"/>
  <c r="K318" i="1"/>
  <c r="J318" i="1"/>
  <c r="I318" i="1"/>
  <c r="H318" i="1"/>
  <c r="G318" i="1"/>
  <c r="D318" i="1"/>
  <c r="T314" i="2"/>
  <c r="V318" i="1" s="1"/>
  <c r="W318" i="1" s="1"/>
  <c r="D650" i="1"/>
  <c r="H650" i="1"/>
  <c r="K650" i="1"/>
  <c r="L650" i="1"/>
  <c r="N650" i="1"/>
  <c r="O650" i="1"/>
  <c r="Q650" i="1"/>
  <c r="S650" i="1"/>
  <c r="T650" i="1"/>
  <c r="C650" i="1" s="1"/>
  <c r="U650" i="1"/>
  <c r="U649" i="1"/>
  <c r="T649" i="1"/>
  <c r="C649" i="1" s="1"/>
  <c r="Q649" i="1"/>
  <c r="O649" i="1"/>
  <c r="N649" i="1"/>
  <c r="H649" i="1"/>
  <c r="D649" i="1"/>
  <c r="K649" i="1"/>
  <c r="L649" i="1"/>
  <c r="S649" i="1"/>
  <c r="T605" i="2"/>
  <c r="V650" i="1"/>
  <c r="W650" i="1" s="1"/>
  <c r="T604" i="2"/>
  <c r="V649" i="1" s="1"/>
  <c r="W649" i="1" s="1"/>
  <c r="N675" i="1"/>
  <c r="L675" i="1"/>
  <c r="K675" i="1"/>
  <c r="N638" i="1"/>
  <c r="L638" i="1"/>
  <c r="K638" i="1"/>
  <c r="N664" i="1"/>
  <c r="N655" i="1"/>
  <c r="O655" i="1"/>
  <c r="L655" i="1"/>
  <c r="K655" i="1"/>
  <c r="M355" i="1"/>
  <c r="M434" i="1"/>
  <c r="M436" i="1"/>
  <c r="H607" i="1"/>
  <c r="D605" i="1"/>
  <c r="D607" i="1"/>
  <c r="I605" i="1"/>
  <c r="J605" i="1"/>
  <c r="D412" i="1"/>
  <c r="G412" i="1"/>
  <c r="H412" i="1"/>
  <c r="I412" i="1"/>
  <c r="J412" i="1"/>
  <c r="K412" i="1"/>
  <c r="L412" i="1"/>
  <c r="M412" i="1"/>
  <c r="N412" i="1"/>
  <c r="O412" i="1"/>
  <c r="P412" i="1"/>
  <c r="Q412" i="1"/>
  <c r="S412" i="1"/>
  <c r="T412" i="1"/>
  <c r="C412" i="1" s="1"/>
  <c r="U412" i="1"/>
  <c r="D386" i="1"/>
  <c r="G386" i="1"/>
  <c r="H386" i="1"/>
  <c r="I386" i="1"/>
  <c r="J386" i="1"/>
  <c r="K386" i="1"/>
  <c r="L386" i="1"/>
  <c r="M386" i="1"/>
  <c r="N386" i="1"/>
  <c r="O386" i="1"/>
  <c r="P386" i="1"/>
  <c r="Q386" i="1"/>
  <c r="S386" i="1"/>
  <c r="T386" i="1"/>
  <c r="C386" i="1" s="1"/>
  <c r="U386" i="1"/>
  <c r="V386" i="1"/>
  <c r="W386" i="1" s="1"/>
  <c r="D31" i="1"/>
  <c r="G31" i="1"/>
  <c r="H31" i="1"/>
  <c r="I31" i="1"/>
  <c r="J31" i="1"/>
  <c r="K31" i="1"/>
  <c r="L31" i="1"/>
  <c r="M31" i="1"/>
  <c r="N31" i="1"/>
  <c r="O31" i="1"/>
  <c r="P31" i="1"/>
  <c r="Q31" i="1"/>
  <c r="S31" i="1"/>
  <c r="T31" i="1"/>
  <c r="C31" i="1" s="1"/>
  <c r="U31" i="1"/>
  <c r="V31" i="1"/>
  <c r="W31" i="1" s="1"/>
  <c r="D278" i="1"/>
  <c r="G278" i="1"/>
  <c r="H278" i="1"/>
  <c r="I278" i="1"/>
  <c r="J278" i="1"/>
  <c r="K278" i="1"/>
  <c r="L278" i="1"/>
  <c r="M278" i="1"/>
  <c r="N278" i="1"/>
  <c r="O278" i="1"/>
  <c r="P278" i="1"/>
  <c r="Q278" i="1"/>
  <c r="S278" i="1"/>
  <c r="T278" i="1"/>
  <c r="C278" i="1" s="1"/>
  <c r="T274" i="2"/>
  <c r="V278" i="1"/>
  <c r="W278" i="1" s="1"/>
  <c r="S274" i="2"/>
  <c r="U278" i="1" s="1"/>
  <c r="T209" i="2"/>
  <c r="V412" i="1" s="1"/>
  <c r="W412" i="1" s="1"/>
  <c r="V215" i="1"/>
  <c r="W215" i="1" s="1"/>
  <c r="T305" i="2"/>
  <c r="V309" i="1"/>
  <c r="W309" i="1" s="1"/>
  <c r="U587" i="1"/>
  <c r="V587" i="1"/>
  <c r="W587" i="1" s="1"/>
  <c r="H587" i="1"/>
  <c r="D487" i="1"/>
  <c r="G487" i="1"/>
  <c r="H487" i="1"/>
  <c r="I487" i="1"/>
  <c r="J487" i="1"/>
  <c r="K487" i="1"/>
  <c r="L487" i="1"/>
  <c r="M487" i="1"/>
  <c r="N487" i="1"/>
  <c r="O487" i="1"/>
  <c r="P487" i="1"/>
  <c r="Q487" i="1"/>
  <c r="S487" i="1"/>
  <c r="T487" i="1"/>
  <c r="C487" i="1" s="1"/>
  <c r="V487" i="1"/>
  <c r="W487" i="1" s="1"/>
  <c r="S372" i="2"/>
  <c r="U487" i="1" s="1"/>
  <c r="D309" i="1"/>
  <c r="G309" i="1"/>
  <c r="H309" i="1"/>
  <c r="I309" i="1"/>
  <c r="J309" i="1"/>
  <c r="K309" i="1"/>
  <c r="L309" i="1"/>
  <c r="M309" i="1"/>
  <c r="N309" i="1"/>
  <c r="O309" i="1"/>
  <c r="P309" i="1"/>
  <c r="Q309" i="1"/>
  <c r="S309" i="1"/>
  <c r="T309" i="1"/>
  <c r="C309" i="1" s="1"/>
  <c r="S305" i="2"/>
  <c r="U309" i="1" s="1"/>
  <c r="D215" i="1"/>
  <c r="G215" i="1"/>
  <c r="H215" i="1"/>
  <c r="I215" i="1"/>
  <c r="J215" i="1"/>
  <c r="K215" i="1"/>
  <c r="L215" i="1"/>
  <c r="M215" i="1"/>
  <c r="N215" i="1"/>
  <c r="O215" i="1"/>
  <c r="P215" i="1"/>
  <c r="Q215" i="1"/>
  <c r="S215" i="1"/>
  <c r="T215" i="1"/>
  <c r="C215" i="1" s="1"/>
  <c r="U215" i="1"/>
  <c r="D44" i="1"/>
  <c r="G44" i="1"/>
  <c r="H44" i="1"/>
  <c r="I44" i="1"/>
  <c r="J44" i="1"/>
  <c r="K44" i="1"/>
  <c r="L44" i="1"/>
  <c r="M44" i="1"/>
  <c r="N44" i="1"/>
  <c r="O44" i="1"/>
  <c r="P44" i="1"/>
  <c r="Q44" i="1"/>
  <c r="S44" i="1"/>
  <c r="T44" i="1"/>
  <c r="C44" i="1" s="1"/>
  <c r="V44" i="1"/>
  <c r="W44" i="1" s="1"/>
  <c r="S23" i="2"/>
  <c r="U44" i="1"/>
  <c r="D202" i="1"/>
  <c r="L769" i="1"/>
  <c r="D277" i="1"/>
  <c r="G277" i="1"/>
  <c r="H277" i="1"/>
  <c r="I277" i="1"/>
  <c r="J277" i="1"/>
  <c r="K277" i="1"/>
  <c r="L277" i="1"/>
  <c r="M277" i="1"/>
  <c r="N277" i="1"/>
  <c r="O277" i="1"/>
  <c r="P277" i="1"/>
  <c r="Q277" i="1"/>
  <c r="S277" i="1"/>
  <c r="T277" i="1"/>
  <c r="C277" i="1" s="1"/>
  <c r="D279" i="1"/>
  <c r="G279" i="1"/>
  <c r="H279" i="1"/>
  <c r="I279" i="1"/>
  <c r="J279" i="1"/>
  <c r="K279" i="1"/>
  <c r="L279" i="1"/>
  <c r="M279" i="1"/>
  <c r="N279" i="1"/>
  <c r="O279" i="1"/>
  <c r="P279" i="1"/>
  <c r="Q279" i="1"/>
  <c r="S279" i="1"/>
  <c r="T279" i="1"/>
  <c r="C279" i="1" s="1"/>
  <c r="D280" i="1"/>
  <c r="G280" i="1"/>
  <c r="H280" i="1"/>
  <c r="I280" i="1"/>
  <c r="J280" i="1"/>
  <c r="K280" i="1"/>
  <c r="L280" i="1"/>
  <c r="M280" i="1"/>
  <c r="N280" i="1"/>
  <c r="O280" i="1"/>
  <c r="P280" i="1"/>
  <c r="Q280" i="1"/>
  <c r="S280" i="1"/>
  <c r="T280" i="1"/>
  <c r="C280" i="1" s="1"/>
  <c r="D281" i="1"/>
  <c r="G281" i="1"/>
  <c r="H281" i="1"/>
  <c r="I281" i="1"/>
  <c r="J281" i="1"/>
  <c r="K281" i="1"/>
  <c r="L281" i="1"/>
  <c r="M281" i="1"/>
  <c r="N281" i="1"/>
  <c r="O281" i="1"/>
  <c r="P281" i="1"/>
  <c r="Q281" i="1"/>
  <c r="S281" i="1"/>
  <c r="T281" i="1"/>
  <c r="C281" i="1" s="1"/>
  <c r="D282" i="1"/>
  <c r="G282" i="1"/>
  <c r="H282" i="1"/>
  <c r="I282" i="1"/>
  <c r="J282" i="1"/>
  <c r="K282" i="1"/>
  <c r="L282" i="1"/>
  <c r="M282" i="1"/>
  <c r="N282" i="1"/>
  <c r="O282" i="1"/>
  <c r="P282" i="1"/>
  <c r="Q282" i="1"/>
  <c r="S282" i="1"/>
  <c r="T282" i="1"/>
  <c r="C282" i="1" s="1"/>
  <c r="T279" i="2"/>
  <c r="V283" i="1" s="1"/>
  <c r="W283" i="1" s="1"/>
  <c r="S279" i="2"/>
  <c r="U283" i="1" s="1"/>
  <c r="T278" i="2"/>
  <c r="V282" i="1"/>
  <c r="W282" i="1" s="1"/>
  <c r="S278" i="2"/>
  <c r="U282" i="1" s="1"/>
  <c r="T277" i="2"/>
  <c r="V281" i="1" s="1"/>
  <c r="W281" i="1" s="1"/>
  <c r="S277" i="2"/>
  <c r="U281" i="1"/>
  <c r="T276" i="2"/>
  <c r="V280" i="1"/>
  <c r="W280" i="1" s="1"/>
  <c r="S276" i="2"/>
  <c r="U280" i="1" s="1"/>
  <c r="T275" i="2"/>
  <c r="V279" i="1" s="1"/>
  <c r="W279" i="1" s="1"/>
  <c r="S275" i="2"/>
  <c r="U279" i="1"/>
  <c r="D338" i="1"/>
  <c r="B584" i="1"/>
  <c r="S584" i="1" s="1"/>
  <c r="D584" i="1"/>
  <c r="I584" i="1"/>
  <c r="J584" i="1"/>
  <c r="Q584" i="1"/>
  <c r="T584" i="1"/>
  <c r="C584" i="1" s="1"/>
  <c r="U584" i="1"/>
  <c r="D227" i="1"/>
  <c r="G227" i="1"/>
  <c r="I227" i="1"/>
  <c r="J227" i="1"/>
  <c r="K227" i="1"/>
  <c r="L227" i="1"/>
  <c r="M227" i="1"/>
  <c r="N227" i="1"/>
  <c r="O227" i="1"/>
  <c r="Q227" i="1"/>
  <c r="S227" i="1"/>
  <c r="T227" i="1"/>
  <c r="C227" i="1" s="1"/>
  <c r="D181" i="1"/>
  <c r="G181" i="1"/>
  <c r="I181" i="1"/>
  <c r="J181" i="1"/>
  <c r="K181" i="1"/>
  <c r="L181" i="1"/>
  <c r="M181" i="1"/>
  <c r="N181" i="1"/>
  <c r="O181" i="1"/>
  <c r="P181" i="1"/>
  <c r="Q181" i="1"/>
  <c r="S181" i="1"/>
  <c r="T181" i="1"/>
  <c r="C181" i="1" s="1"/>
  <c r="D453" i="1"/>
  <c r="G453" i="1"/>
  <c r="H453" i="1"/>
  <c r="I453" i="1"/>
  <c r="J453" i="1"/>
  <c r="K453" i="1"/>
  <c r="L453" i="1"/>
  <c r="M453" i="1"/>
  <c r="N453" i="1"/>
  <c r="O453" i="1"/>
  <c r="P453" i="1"/>
  <c r="Q453" i="1"/>
  <c r="S453" i="1"/>
  <c r="T453" i="1"/>
  <c r="C453" i="1" s="1"/>
  <c r="T250" i="2"/>
  <c r="V453" i="1" s="1"/>
  <c r="W453" i="1" s="1"/>
  <c r="S250" i="2"/>
  <c r="U453" i="1"/>
  <c r="T831" i="2"/>
  <c r="V851" i="1"/>
  <c r="W851" i="1" s="1"/>
  <c r="T821" i="2"/>
  <c r="V842" i="1" s="1"/>
  <c r="W842" i="1" s="1"/>
  <c r="T823" i="2"/>
  <c r="V844" i="1"/>
  <c r="W844" i="1" s="1"/>
  <c r="S351" i="2"/>
  <c r="U466" i="1" s="1"/>
  <c r="S352" i="2"/>
  <c r="U467" i="1" s="1"/>
  <c r="S353" i="2"/>
  <c r="S354" i="2"/>
  <c r="U469" i="1"/>
  <c r="S355" i="2"/>
  <c r="U470" i="1"/>
  <c r="S356" i="2"/>
  <c r="S357" i="2"/>
  <c r="S358" i="2"/>
  <c r="S365" i="2"/>
  <c r="S366" i="2"/>
  <c r="S367" i="2"/>
  <c r="S368" i="2"/>
  <c r="S369" i="2"/>
  <c r="S370" i="2"/>
  <c r="U485" i="1"/>
  <c r="S371" i="2"/>
  <c r="S373" i="2"/>
  <c r="U488" i="1" s="1"/>
  <c r="S374" i="2"/>
  <c r="S375" i="2"/>
  <c r="U490" i="1"/>
  <c r="S376" i="2"/>
  <c r="S377" i="2"/>
  <c r="S378" i="2"/>
  <c r="S379" i="2"/>
  <c r="U494" i="1" s="1"/>
  <c r="S383" i="2"/>
  <c r="S384" i="2"/>
  <c r="U499" i="1"/>
  <c r="S385" i="2"/>
  <c r="S386" i="2"/>
  <c r="U501" i="1" s="1"/>
  <c r="S387" i="2"/>
  <c r="S389" i="2"/>
  <c r="U504" i="1"/>
  <c r="S390" i="2"/>
  <c r="U505" i="1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350" i="2"/>
  <c r="V533" i="1"/>
  <c r="W533" i="1" s="1"/>
  <c r="V534" i="1"/>
  <c r="W534" i="1" s="1"/>
  <c r="V535" i="1"/>
  <c r="V536" i="1"/>
  <c r="V537" i="1"/>
  <c r="W537" i="1" s="1"/>
  <c r="V538" i="1"/>
  <c r="V539" i="1"/>
  <c r="V540" i="1"/>
  <c r="V541" i="1"/>
  <c r="V542" i="1"/>
  <c r="V543" i="1"/>
  <c r="V544" i="1"/>
  <c r="W544" i="1" s="1"/>
  <c r="T213" i="2"/>
  <c r="V416" i="1" s="1"/>
  <c r="W416" i="1" s="1"/>
  <c r="T214" i="2"/>
  <c r="V417" i="1"/>
  <c r="W417" i="1" s="1"/>
  <c r="I607" i="1"/>
  <c r="J607" i="1"/>
  <c r="Q607" i="1"/>
  <c r="S607" i="1"/>
  <c r="T607" i="1"/>
  <c r="C607" i="1" s="1"/>
  <c r="U607" i="1"/>
  <c r="V607" i="1"/>
  <c r="W607" i="1" s="1"/>
  <c r="D588" i="1"/>
  <c r="G588" i="1"/>
  <c r="H588" i="1"/>
  <c r="I588" i="1"/>
  <c r="J588" i="1"/>
  <c r="Q588" i="1"/>
  <c r="S588" i="1"/>
  <c r="T588" i="1"/>
  <c r="C588" i="1" s="1"/>
  <c r="U588" i="1"/>
  <c r="V588" i="1"/>
  <c r="W588" i="1" s="1"/>
  <c r="D141" i="1"/>
  <c r="G141" i="1"/>
  <c r="H141" i="1"/>
  <c r="I141" i="1"/>
  <c r="J141" i="1"/>
  <c r="K141" i="1"/>
  <c r="L141" i="1"/>
  <c r="M141" i="1"/>
  <c r="N141" i="1"/>
  <c r="O141" i="1"/>
  <c r="P141" i="1"/>
  <c r="Q141" i="1"/>
  <c r="S141" i="1"/>
  <c r="T141" i="1"/>
  <c r="C141" i="1" s="1"/>
  <c r="V141" i="1"/>
  <c r="W141" i="1" s="1"/>
  <c r="S121" i="2"/>
  <c r="U141" i="1"/>
  <c r="S348" i="2"/>
  <c r="U351" i="1"/>
  <c r="S347" i="2"/>
  <c r="S346" i="2"/>
  <c r="U350" i="1" s="1"/>
  <c r="S345" i="2"/>
  <c r="U349" i="1" s="1"/>
  <c r="S344" i="2"/>
  <c r="U348" i="1" s="1"/>
  <c r="S343" i="2"/>
  <c r="U347" i="1" s="1"/>
  <c r="S342" i="2"/>
  <c r="U346" i="1" s="1"/>
  <c r="S341" i="2"/>
  <c r="U345" i="1" s="1"/>
  <c r="S340" i="2"/>
  <c r="U344" i="1" s="1"/>
  <c r="S339" i="2"/>
  <c r="U343" i="1" s="1"/>
  <c r="S338" i="2"/>
  <c r="U342" i="1" s="1"/>
  <c r="S337" i="2"/>
  <c r="U341" i="1" s="1"/>
  <c r="S336" i="2"/>
  <c r="U340" i="1" s="1"/>
  <c r="S335" i="2"/>
  <c r="S334" i="2"/>
  <c r="U338" i="1"/>
  <c r="S333" i="2"/>
  <c r="U337" i="1"/>
  <c r="S332" i="2"/>
  <c r="S331" i="2"/>
  <c r="U335" i="1" s="1"/>
  <c r="S330" i="2"/>
  <c r="U334" i="1" s="1"/>
  <c r="S153" i="2"/>
  <c r="S154" i="2"/>
  <c r="S155" i="2"/>
  <c r="U358" i="1" s="1"/>
  <c r="S156" i="2"/>
  <c r="U359" i="1" s="1"/>
  <c r="S158" i="2"/>
  <c r="S159" i="2"/>
  <c r="U362" i="1"/>
  <c r="S160" i="2"/>
  <c r="U363" i="1"/>
  <c r="S161" i="2"/>
  <c r="U364" i="1"/>
  <c r="S162" i="2"/>
  <c r="U365" i="1"/>
  <c r="S163" i="2"/>
  <c r="S164" i="2"/>
  <c r="U367" i="1" s="1"/>
  <c r="S165" i="2"/>
  <c r="U368" i="1" s="1"/>
  <c r="S166" i="2"/>
  <c r="U369" i="1" s="1"/>
  <c r="S167" i="2"/>
  <c r="U370" i="1" s="1"/>
  <c r="S168" i="2"/>
  <c r="U371" i="1" s="1"/>
  <c r="S169" i="2"/>
  <c r="U372" i="1" s="1"/>
  <c r="S170" i="2"/>
  <c r="S171" i="2"/>
  <c r="S172" i="2"/>
  <c r="S173" i="2"/>
  <c r="U376" i="1"/>
  <c r="S174" i="2"/>
  <c r="U377" i="1"/>
  <c r="S175" i="2"/>
  <c r="U378" i="1"/>
  <c r="S176" i="2"/>
  <c r="U379" i="1"/>
  <c r="S177" i="2"/>
  <c r="U380" i="1"/>
  <c r="S178" i="2"/>
  <c r="S179" i="2"/>
  <c r="U382" i="1" s="1"/>
  <c r="S180" i="2"/>
  <c r="U383" i="1" s="1"/>
  <c r="S181" i="2"/>
  <c r="U384" i="1" s="1"/>
  <c r="S182" i="2"/>
  <c r="U385" i="1" s="1"/>
  <c r="S184" i="2"/>
  <c r="U387" i="1" s="1"/>
  <c r="S185" i="2"/>
  <c r="S186" i="2"/>
  <c r="U389" i="1"/>
  <c r="S187" i="2"/>
  <c r="S188" i="2"/>
  <c r="U391" i="1" s="1"/>
  <c r="S189" i="2"/>
  <c r="S190" i="2"/>
  <c r="U393" i="1"/>
  <c r="S191" i="2"/>
  <c r="U394" i="1"/>
  <c r="S192" i="2"/>
  <c r="U395" i="1"/>
  <c r="S193" i="2"/>
  <c r="U396" i="1"/>
  <c r="S194" i="2"/>
  <c r="U397" i="1"/>
  <c r="S195" i="2"/>
  <c r="U398" i="1"/>
  <c r="S196" i="2"/>
  <c r="U399" i="1"/>
  <c r="S197" i="2"/>
  <c r="U400" i="1"/>
  <c r="S198" i="2"/>
  <c r="U401" i="1"/>
  <c r="S199" i="2"/>
  <c r="U402" i="1"/>
  <c r="S200" i="2"/>
  <c r="S201" i="2"/>
  <c r="U404" i="1" s="1"/>
  <c r="S202" i="2"/>
  <c r="U405" i="1" s="1"/>
  <c r="S203" i="2"/>
  <c r="U406" i="1" s="1"/>
  <c r="S204" i="2"/>
  <c r="S205" i="2"/>
  <c r="U408" i="1"/>
  <c r="S206" i="2"/>
  <c r="U409" i="1"/>
  <c r="S207" i="2"/>
  <c r="U410" i="1"/>
  <c r="S208" i="2"/>
  <c r="U411" i="1"/>
  <c r="S210" i="2"/>
  <c r="U413" i="1"/>
  <c r="S211" i="2"/>
  <c r="U414" i="1"/>
  <c r="S212" i="2"/>
  <c r="U415" i="1"/>
  <c r="S213" i="2"/>
  <c r="U416" i="1"/>
  <c r="S214" i="2"/>
  <c r="U417" i="1"/>
  <c r="S215" i="2"/>
  <c r="S216" i="2"/>
  <c r="U419" i="1" s="1"/>
  <c r="S217" i="2"/>
  <c r="S218" i="2"/>
  <c r="U421" i="1"/>
  <c r="S219" i="2"/>
  <c r="U422" i="1"/>
  <c r="S220" i="2"/>
  <c r="U423" i="1"/>
  <c r="S221" i="2"/>
  <c r="U424" i="1"/>
  <c r="S222" i="2"/>
  <c r="U425" i="1"/>
  <c r="S223" i="2"/>
  <c r="U426" i="1"/>
  <c r="S224" i="2"/>
  <c r="U427" i="1"/>
  <c r="S225" i="2"/>
  <c r="U428" i="1"/>
  <c r="S226" i="2"/>
  <c r="U429" i="1"/>
  <c r="S227" i="2"/>
  <c r="U430" i="1"/>
  <c r="S228" i="2"/>
  <c r="U431" i="1"/>
  <c r="S229" i="2"/>
  <c r="U432" i="1"/>
  <c r="S230" i="2"/>
  <c r="S231" i="2"/>
  <c r="U434" i="1" s="1"/>
  <c r="S232" i="2"/>
  <c r="S233" i="2"/>
  <c r="U436" i="1"/>
  <c r="S234" i="2"/>
  <c r="U437" i="1"/>
  <c r="S235" i="2"/>
  <c r="U438" i="1"/>
  <c r="S236" i="2"/>
  <c r="U439" i="1"/>
  <c r="S237" i="2"/>
  <c r="U440" i="1"/>
  <c r="S238" i="2"/>
  <c r="S239" i="2"/>
  <c r="U442" i="1" s="1"/>
  <c r="S240" i="2"/>
  <c r="U443" i="1" s="1"/>
  <c r="S241" i="2"/>
  <c r="U444" i="1" s="1"/>
  <c r="S242" i="2"/>
  <c r="U445" i="1" s="1"/>
  <c r="S243" i="2"/>
  <c r="S244" i="2"/>
  <c r="S245" i="2"/>
  <c r="U448" i="1" s="1"/>
  <c r="S246" i="2"/>
  <c r="U449" i="1" s="1"/>
  <c r="S247" i="2"/>
  <c r="U450" i="1" s="1"/>
  <c r="S248" i="2"/>
  <c r="U451" i="1" s="1"/>
  <c r="S249" i="2"/>
  <c r="U452" i="1" s="1"/>
  <c r="S251" i="2"/>
  <c r="U454" i="1" s="1"/>
  <c r="S252" i="2"/>
  <c r="U455" i="1" s="1"/>
  <c r="S253" i="2"/>
  <c r="S254" i="2"/>
  <c r="U258" i="1"/>
  <c r="S255" i="2"/>
  <c r="S256" i="2"/>
  <c r="U260" i="1" s="1"/>
  <c r="S257" i="2"/>
  <c r="S258" i="2"/>
  <c r="U262" i="1"/>
  <c r="S259" i="2"/>
  <c r="U263" i="1"/>
  <c r="S260" i="2"/>
  <c r="U264" i="1"/>
  <c r="S261" i="2"/>
  <c r="U265" i="1"/>
  <c r="S262" i="2"/>
  <c r="U266" i="1"/>
  <c r="S263" i="2"/>
  <c r="U267" i="1"/>
  <c r="S264" i="2"/>
  <c r="U268" i="1"/>
  <c r="S265" i="2"/>
  <c r="U269" i="1"/>
  <c r="S266" i="2"/>
  <c r="U270" i="1"/>
  <c r="S267" i="2"/>
  <c r="U271" i="1"/>
  <c r="S268" i="2"/>
  <c r="U272" i="1"/>
  <c r="S269" i="2"/>
  <c r="U273" i="1"/>
  <c r="S270" i="2"/>
  <c r="U274" i="1"/>
  <c r="S271" i="2"/>
  <c r="U275" i="1"/>
  <c r="S272" i="2"/>
  <c r="U276" i="1"/>
  <c r="S273" i="2"/>
  <c r="U277" i="1"/>
  <c r="S280" i="2"/>
  <c r="U284" i="1"/>
  <c r="S281" i="2"/>
  <c r="S282" i="2"/>
  <c r="U286" i="1" s="1"/>
  <c r="S283" i="2"/>
  <c r="U287" i="1" s="1"/>
  <c r="S284" i="2"/>
  <c r="U288" i="1" s="1"/>
  <c r="S285" i="2"/>
  <c r="U289" i="1" s="1"/>
  <c r="S286" i="2"/>
  <c r="U290" i="1" s="1"/>
  <c r="S287" i="2"/>
  <c r="S288" i="2"/>
  <c r="U292" i="1"/>
  <c r="S289" i="2"/>
  <c r="U293" i="1"/>
  <c r="S290" i="2"/>
  <c r="S291" i="2"/>
  <c r="U295" i="1" s="1"/>
  <c r="S292" i="2"/>
  <c r="U296" i="1" s="1"/>
  <c r="S293" i="2"/>
  <c r="S294" i="2"/>
  <c r="U298" i="1"/>
  <c r="S295" i="2"/>
  <c r="U299" i="1"/>
  <c r="S296" i="2"/>
  <c r="S297" i="2"/>
  <c r="U301" i="1" s="1"/>
  <c r="S298" i="2"/>
  <c r="U302" i="1" s="1"/>
  <c r="S299" i="2"/>
  <c r="S300" i="2"/>
  <c r="U304" i="1"/>
  <c r="S301" i="2"/>
  <c r="S302" i="2"/>
  <c r="U306" i="1" s="1"/>
  <c r="S303" i="2"/>
  <c r="S304" i="2"/>
  <c r="U308" i="1"/>
  <c r="S306" i="2"/>
  <c r="U310" i="1"/>
  <c r="S307" i="2"/>
  <c r="S308" i="2"/>
  <c r="S309" i="2"/>
  <c r="U313" i="1"/>
  <c r="S310" i="2"/>
  <c r="U314" i="1"/>
  <c r="S311" i="2"/>
  <c r="S312" i="2"/>
  <c r="U316" i="1" s="1"/>
  <c r="S313" i="2"/>
  <c r="U317" i="1" s="1"/>
  <c r="S315" i="2"/>
  <c r="U319" i="1" s="1"/>
  <c r="S316" i="2"/>
  <c r="U320" i="1" s="1"/>
  <c r="S317" i="2"/>
  <c r="U321" i="1" s="1"/>
  <c r="S318" i="2"/>
  <c r="S319" i="2"/>
  <c r="U323" i="1"/>
  <c r="S320" i="2"/>
  <c r="S321" i="2"/>
  <c r="S322" i="2"/>
  <c r="U326" i="1"/>
  <c r="S324" i="2"/>
  <c r="U327" i="1"/>
  <c r="S325" i="2"/>
  <c r="S326" i="2"/>
  <c r="U329" i="1" s="1"/>
  <c r="S327" i="2"/>
  <c r="S152" i="2"/>
  <c r="S3" i="2"/>
  <c r="U24" i="1" s="1"/>
  <c r="S4" i="2"/>
  <c r="U25" i="1" s="1"/>
  <c r="S5" i="2"/>
  <c r="U26" i="1" s="1"/>
  <c r="S6" i="2"/>
  <c r="U27" i="1" s="1"/>
  <c r="S7" i="2"/>
  <c r="U28" i="1" s="1"/>
  <c r="S8" i="2"/>
  <c r="U29" i="1" s="1"/>
  <c r="S9" i="2"/>
  <c r="S11" i="2"/>
  <c r="U32" i="1"/>
  <c r="S12" i="2"/>
  <c r="U33" i="1"/>
  <c r="S13" i="2"/>
  <c r="U34" i="1"/>
  <c r="S14" i="2"/>
  <c r="U35" i="1"/>
  <c r="S15" i="2"/>
  <c r="U36" i="1"/>
  <c r="S16" i="2"/>
  <c r="U37" i="1"/>
  <c r="S17" i="2"/>
  <c r="U38" i="1"/>
  <c r="S18" i="2"/>
  <c r="U39" i="1"/>
  <c r="S19" i="2"/>
  <c r="U40" i="1"/>
  <c r="S20" i="2"/>
  <c r="U41" i="1"/>
  <c r="S21" i="2"/>
  <c r="S24" i="2"/>
  <c r="U45" i="1" s="1"/>
  <c r="S25" i="2"/>
  <c r="U46" i="1" s="1"/>
  <c r="S26" i="2"/>
  <c r="U47" i="1" s="1"/>
  <c r="S27" i="2"/>
  <c r="U48" i="1" s="1"/>
  <c r="S28" i="2"/>
  <c r="U49" i="1" s="1"/>
  <c r="S29" i="2"/>
  <c r="U50" i="1" s="1"/>
  <c r="S30" i="2"/>
  <c r="S31" i="2"/>
  <c r="S32" i="2"/>
  <c r="U53" i="1" s="1"/>
  <c r="S33" i="2"/>
  <c r="S34" i="2"/>
  <c r="U55" i="1"/>
  <c r="U56" i="1"/>
  <c r="S36" i="2"/>
  <c r="S37" i="2"/>
  <c r="U58" i="1" s="1"/>
  <c r="S38" i="2"/>
  <c r="U59" i="1" s="1"/>
  <c r="S39" i="2"/>
  <c r="U60" i="1" s="1"/>
  <c r="S40" i="2"/>
  <c r="U61" i="1" s="1"/>
  <c r="S41" i="2"/>
  <c r="S42" i="2"/>
  <c r="U63" i="1"/>
  <c r="S43" i="2"/>
  <c r="S44" i="2"/>
  <c r="U65" i="1" s="1"/>
  <c r="S45" i="2"/>
  <c r="S46" i="2"/>
  <c r="U67" i="1"/>
  <c r="S47" i="2"/>
  <c r="S48" i="2"/>
  <c r="U69" i="1" s="1"/>
  <c r="S49" i="2"/>
  <c r="U70" i="1" s="1"/>
  <c r="S50" i="2"/>
  <c r="U71" i="1" s="1"/>
  <c r="S51" i="2"/>
  <c r="U72" i="1" s="1"/>
  <c r="S52" i="2"/>
  <c r="S53" i="2"/>
  <c r="S54" i="2"/>
  <c r="U74" i="1" s="1"/>
  <c r="S55" i="2"/>
  <c r="U75" i="1" s="1"/>
  <c r="S56" i="2"/>
  <c r="U76" i="1" s="1"/>
  <c r="S57" i="2"/>
  <c r="U77" i="1" s="1"/>
  <c r="S58" i="2"/>
  <c r="U78" i="1" s="1"/>
  <c r="S59" i="2"/>
  <c r="U79" i="1" s="1"/>
  <c r="S60" i="2"/>
  <c r="U80" i="1" s="1"/>
  <c r="S61" i="2"/>
  <c r="U81" i="1" s="1"/>
  <c r="S62" i="2"/>
  <c r="S63" i="2"/>
  <c r="U83" i="1"/>
  <c r="S64" i="2"/>
  <c r="U84" i="1"/>
  <c r="S65" i="2"/>
  <c r="U85" i="1"/>
  <c r="S66" i="2"/>
  <c r="U86" i="1"/>
  <c r="S67" i="2"/>
  <c r="U87" i="1"/>
  <c r="S68" i="2"/>
  <c r="U88" i="1"/>
  <c r="S69" i="2"/>
  <c r="S70" i="2"/>
  <c r="S71" i="2"/>
  <c r="U91" i="1"/>
  <c r="S72" i="2"/>
  <c r="U92" i="1"/>
  <c r="S73" i="2"/>
  <c r="U93" i="1"/>
  <c r="S74" i="2"/>
  <c r="U94" i="1"/>
  <c r="S75" i="2"/>
  <c r="U95" i="1"/>
  <c r="S76" i="2"/>
  <c r="U96" i="1"/>
  <c r="S77" i="2"/>
  <c r="U97" i="1"/>
  <c r="S78" i="2"/>
  <c r="U98" i="1"/>
  <c r="S79" i="2"/>
  <c r="U99" i="1"/>
  <c r="S80" i="2"/>
  <c r="S81" i="2"/>
  <c r="S82" i="2"/>
  <c r="U102" i="1"/>
  <c r="S83" i="2"/>
  <c r="U103" i="1"/>
  <c r="S84" i="2"/>
  <c r="S85" i="2"/>
  <c r="U105" i="1" s="1"/>
  <c r="S86" i="2"/>
  <c r="S87" i="2"/>
  <c r="U107" i="1"/>
  <c r="S88" i="2"/>
  <c r="U108" i="1"/>
  <c r="S89" i="2"/>
  <c r="U109" i="1"/>
  <c r="S90" i="2"/>
  <c r="U110" i="1"/>
  <c r="S91" i="2"/>
  <c r="U111" i="1"/>
  <c r="S92" i="2"/>
  <c r="U112" i="1"/>
  <c r="S93" i="2"/>
  <c r="U113" i="1"/>
  <c r="S94" i="2"/>
  <c r="U114" i="1"/>
  <c r="S95" i="2"/>
  <c r="U115" i="1"/>
  <c r="S96" i="2"/>
  <c r="U116" i="1"/>
  <c r="S97" i="2"/>
  <c r="U117" i="1"/>
  <c r="S98" i="2"/>
  <c r="U118" i="1"/>
  <c r="S99" i="2"/>
  <c r="U119" i="1"/>
  <c r="S100" i="2"/>
  <c r="S101" i="2"/>
  <c r="U121" i="1" s="1"/>
  <c r="S102" i="2"/>
  <c r="U122" i="1" s="1"/>
  <c r="S103" i="2"/>
  <c r="U123" i="1" s="1"/>
  <c r="S104" i="2"/>
  <c r="U124" i="1" s="1"/>
  <c r="S105" i="2"/>
  <c r="U125" i="1" s="1"/>
  <c r="S106" i="2"/>
  <c r="S107" i="2"/>
  <c r="U127" i="1"/>
  <c r="S108" i="2"/>
  <c r="U128" i="1"/>
  <c r="S109" i="2"/>
  <c r="S110" i="2"/>
  <c r="U130" i="1" s="1"/>
  <c r="S111" i="2"/>
  <c r="S112" i="2"/>
  <c r="U132" i="1"/>
  <c r="S113" i="2"/>
  <c r="S114" i="2"/>
  <c r="U134" i="1" s="1"/>
  <c r="S115" i="2"/>
  <c r="S116" i="2"/>
  <c r="U136" i="1"/>
  <c r="S117" i="2"/>
  <c r="U137" i="1"/>
  <c r="S118" i="2"/>
  <c r="U138" i="1"/>
  <c r="S119" i="2"/>
  <c r="S120" i="2"/>
  <c r="U140" i="1" s="1"/>
  <c r="S122" i="2"/>
  <c r="U142" i="1" s="1"/>
  <c r="S123" i="2"/>
  <c r="U143" i="1" s="1"/>
  <c r="S124" i="2"/>
  <c r="S125" i="2"/>
  <c r="U145" i="1"/>
  <c r="S126" i="2"/>
  <c r="U146" i="1"/>
  <c r="S127" i="2"/>
  <c r="S128" i="2"/>
  <c r="S129" i="2"/>
  <c r="S130" i="2"/>
  <c r="S131" i="2"/>
  <c r="S132" i="2"/>
  <c r="U152" i="1" s="1"/>
  <c r="S133" i="2"/>
  <c r="U153" i="1" s="1"/>
  <c r="S134" i="2"/>
  <c r="U154" i="1" s="1"/>
  <c r="S135" i="2"/>
  <c r="U155" i="1" s="1"/>
  <c r="S136" i="2"/>
  <c r="U156" i="1" s="1"/>
  <c r="S137" i="2"/>
  <c r="S138" i="2"/>
  <c r="U158" i="1"/>
  <c r="S139" i="2"/>
  <c r="U159" i="1"/>
  <c r="S140" i="2"/>
  <c r="U160" i="1"/>
  <c r="S141" i="2"/>
  <c r="S142" i="2"/>
  <c r="S143" i="2"/>
  <c r="U163" i="1"/>
  <c r="S144" i="2"/>
  <c r="U164" i="1"/>
  <c r="S145" i="2"/>
  <c r="U165" i="1"/>
  <c r="S146" i="2"/>
  <c r="U166" i="1"/>
  <c r="S147" i="2"/>
  <c r="U167" i="1"/>
  <c r="S148" i="2"/>
  <c r="S149" i="2"/>
  <c r="S150" i="2"/>
  <c r="S151" i="2"/>
  <c r="S2" i="2"/>
  <c r="D583" i="1"/>
  <c r="I583" i="1"/>
  <c r="J583" i="1"/>
  <c r="Q583" i="1"/>
  <c r="S583" i="1"/>
  <c r="T583" i="1"/>
  <c r="C583" i="1" s="1"/>
  <c r="U583" i="1"/>
  <c r="K355" i="1"/>
  <c r="L355" i="1"/>
  <c r="K356" i="1"/>
  <c r="L356" i="1"/>
  <c r="K357" i="1"/>
  <c r="L357" i="1"/>
  <c r="K358" i="1"/>
  <c r="L358" i="1"/>
  <c r="K359" i="1"/>
  <c r="L359" i="1"/>
  <c r="K361" i="1"/>
  <c r="L361" i="1"/>
  <c r="D87" i="1"/>
  <c r="G87" i="1"/>
  <c r="H87" i="1"/>
  <c r="I87" i="1"/>
  <c r="J87" i="1"/>
  <c r="K87" i="1"/>
  <c r="L87" i="1"/>
  <c r="M87" i="1"/>
  <c r="N87" i="1"/>
  <c r="O87" i="1"/>
  <c r="P87" i="1"/>
  <c r="Q87" i="1"/>
  <c r="S87" i="1"/>
  <c r="T87" i="1"/>
  <c r="C87" i="1" s="1"/>
  <c r="V87" i="1"/>
  <c r="W87" i="1" s="1"/>
  <c r="S671" i="1"/>
  <c r="B634" i="1"/>
  <c r="S634" i="1" s="1"/>
  <c r="G494" i="1"/>
  <c r="H494" i="1"/>
  <c r="I494" i="1"/>
  <c r="J494" i="1"/>
  <c r="K494" i="1"/>
  <c r="L494" i="1"/>
  <c r="M494" i="1"/>
  <c r="N494" i="1"/>
  <c r="O494" i="1"/>
  <c r="P494" i="1"/>
  <c r="S494" i="1"/>
  <c r="T494" i="1"/>
  <c r="C494" i="1" s="1"/>
  <c r="D544" i="1"/>
  <c r="G544" i="1"/>
  <c r="H544" i="1"/>
  <c r="I544" i="1"/>
  <c r="J544" i="1"/>
  <c r="K544" i="1"/>
  <c r="L544" i="1"/>
  <c r="M544" i="1"/>
  <c r="N544" i="1"/>
  <c r="O544" i="1"/>
  <c r="Q544" i="1"/>
  <c r="S544" i="1"/>
  <c r="T544" i="1"/>
  <c r="C544" i="1" s="1"/>
  <c r="D454" i="1"/>
  <c r="G454" i="1"/>
  <c r="H454" i="1"/>
  <c r="I454" i="1"/>
  <c r="J454" i="1"/>
  <c r="K454" i="1"/>
  <c r="L454" i="1"/>
  <c r="M454" i="1"/>
  <c r="N454" i="1"/>
  <c r="O454" i="1"/>
  <c r="P454" i="1"/>
  <c r="Q454" i="1"/>
  <c r="S454" i="1"/>
  <c r="T454" i="1"/>
  <c r="C454" i="1" s="1"/>
  <c r="D416" i="1"/>
  <c r="G416" i="1"/>
  <c r="H416" i="1"/>
  <c r="I416" i="1"/>
  <c r="J416" i="1"/>
  <c r="K416" i="1"/>
  <c r="L416" i="1"/>
  <c r="M416" i="1"/>
  <c r="N416" i="1"/>
  <c r="O416" i="1"/>
  <c r="P416" i="1"/>
  <c r="Q416" i="1"/>
  <c r="S416" i="1"/>
  <c r="T416" i="1"/>
  <c r="C416" i="1" s="1"/>
  <c r="D263" i="1"/>
  <c r="G263" i="1"/>
  <c r="H263" i="1"/>
  <c r="I263" i="1"/>
  <c r="J263" i="1"/>
  <c r="K263" i="1"/>
  <c r="L263" i="1"/>
  <c r="M263" i="1"/>
  <c r="N263" i="1"/>
  <c r="O263" i="1"/>
  <c r="P263" i="1"/>
  <c r="Q263" i="1"/>
  <c r="S263" i="1"/>
  <c r="T263" i="1"/>
  <c r="C263" i="1" s="1"/>
  <c r="D264" i="1"/>
  <c r="G264" i="1"/>
  <c r="H264" i="1"/>
  <c r="I264" i="1"/>
  <c r="J264" i="1"/>
  <c r="K264" i="1"/>
  <c r="L264" i="1"/>
  <c r="M264" i="1"/>
  <c r="N264" i="1"/>
  <c r="O264" i="1"/>
  <c r="P264" i="1"/>
  <c r="Q264" i="1"/>
  <c r="S264" i="1"/>
  <c r="T264" i="1"/>
  <c r="C264" i="1" s="1"/>
  <c r="D265" i="1"/>
  <c r="G265" i="1"/>
  <c r="H265" i="1"/>
  <c r="I265" i="1"/>
  <c r="J265" i="1"/>
  <c r="K265" i="1"/>
  <c r="L265" i="1"/>
  <c r="M265" i="1"/>
  <c r="N265" i="1"/>
  <c r="O265" i="1"/>
  <c r="P265" i="1"/>
  <c r="Q265" i="1"/>
  <c r="S265" i="1"/>
  <c r="T265" i="1"/>
  <c r="C265" i="1" s="1"/>
  <c r="D76" i="1"/>
  <c r="G76" i="1"/>
  <c r="H76" i="1"/>
  <c r="I76" i="1"/>
  <c r="J76" i="1"/>
  <c r="K76" i="1"/>
  <c r="L76" i="1"/>
  <c r="M76" i="1"/>
  <c r="N76" i="1"/>
  <c r="O76" i="1"/>
  <c r="P76" i="1"/>
  <c r="Q76" i="1"/>
  <c r="S76" i="1"/>
  <c r="T76" i="1"/>
  <c r="C76" i="1" s="1"/>
  <c r="T379" i="2"/>
  <c r="V494" i="1"/>
  <c r="W494" i="1" s="1"/>
  <c r="T261" i="2"/>
  <c r="V265" i="1" s="1"/>
  <c r="W265" i="1" s="1"/>
  <c r="T260" i="2"/>
  <c r="V264" i="1"/>
  <c r="W264" i="1" s="1"/>
  <c r="T259" i="2"/>
  <c r="V263" i="1" s="1"/>
  <c r="W263" i="1" s="1"/>
  <c r="T258" i="2"/>
  <c r="T257" i="2"/>
  <c r="T256" i="2"/>
  <c r="T255" i="2"/>
  <c r="T254" i="2"/>
  <c r="V258" i="1"/>
  <c r="T253" i="2"/>
  <c r="T252" i="2"/>
  <c r="V455" i="1" s="1"/>
  <c r="T251" i="2"/>
  <c r="V454" i="1" s="1"/>
  <c r="W454" i="1" s="1"/>
  <c r="S447" i="2"/>
  <c r="U544" i="1"/>
  <c r="V76" i="1"/>
  <c r="W76" i="1" s="1"/>
  <c r="D537" i="1"/>
  <c r="G537" i="1"/>
  <c r="H537" i="1"/>
  <c r="I537" i="1"/>
  <c r="J537" i="1"/>
  <c r="K537" i="1"/>
  <c r="L537" i="1"/>
  <c r="M537" i="1"/>
  <c r="N537" i="1"/>
  <c r="O537" i="1"/>
  <c r="Q537" i="1"/>
  <c r="S537" i="1"/>
  <c r="T537" i="1"/>
  <c r="C537" i="1" s="1"/>
  <c r="D408" i="1"/>
  <c r="G408" i="1"/>
  <c r="H408" i="1"/>
  <c r="I408" i="1"/>
  <c r="J408" i="1"/>
  <c r="K408" i="1"/>
  <c r="L408" i="1"/>
  <c r="M408" i="1"/>
  <c r="N408" i="1"/>
  <c r="O408" i="1"/>
  <c r="P408" i="1"/>
  <c r="Q408" i="1"/>
  <c r="S408" i="1"/>
  <c r="T408" i="1"/>
  <c r="C408" i="1" s="1"/>
  <c r="U537" i="1"/>
  <c r="T205" i="2"/>
  <c r="V408" i="1"/>
  <c r="W408" i="1" s="1"/>
  <c r="D335" i="1"/>
  <c r="G335" i="1"/>
  <c r="H335" i="1"/>
  <c r="Q335" i="1"/>
  <c r="S335" i="1"/>
  <c r="T335" i="1"/>
  <c r="C335" i="1" s="1"/>
  <c r="V335" i="1"/>
  <c r="W335" i="1" s="1"/>
  <c r="T587" i="1"/>
  <c r="C587" i="1" s="1"/>
  <c r="J587" i="1"/>
  <c r="I587" i="1"/>
  <c r="G587" i="1"/>
  <c r="D587" i="1"/>
  <c r="Q605" i="1"/>
  <c r="S605" i="1"/>
  <c r="T605" i="1"/>
  <c r="C605" i="1" s="1"/>
  <c r="U605" i="1"/>
  <c r="V605" i="1"/>
  <c r="W605" i="1" s="1"/>
  <c r="D606" i="1"/>
  <c r="H606" i="1"/>
  <c r="I606" i="1"/>
  <c r="J606" i="1"/>
  <c r="Q606" i="1"/>
  <c r="S606" i="1"/>
  <c r="T606" i="1"/>
  <c r="C606" i="1" s="1"/>
  <c r="U606" i="1"/>
  <c r="V606" i="1"/>
  <c r="W606" i="1" s="1"/>
  <c r="D608" i="1"/>
  <c r="O608" i="1"/>
  <c r="H608" i="1"/>
  <c r="I608" i="1"/>
  <c r="J608" i="1"/>
  <c r="Q608" i="1"/>
  <c r="S608" i="1"/>
  <c r="T608" i="1"/>
  <c r="C608" i="1" s="1"/>
  <c r="U608" i="1"/>
  <c r="V608" i="1"/>
  <c r="W608" i="1" s="1"/>
  <c r="D609" i="1"/>
  <c r="O609" i="1"/>
  <c r="H609" i="1"/>
  <c r="I609" i="1"/>
  <c r="J609" i="1"/>
  <c r="Q609" i="1"/>
  <c r="S609" i="1"/>
  <c r="T609" i="1"/>
  <c r="C609" i="1" s="1"/>
  <c r="U609" i="1"/>
  <c r="V609" i="1"/>
  <c r="W609" i="1" s="1"/>
  <c r="D618" i="1"/>
  <c r="H618" i="1"/>
  <c r="O618" i="1"/>
  <c r="Q618" i="1"/>
  <c r="S618" i="1"/>
  <c r="T618" i="1"/>
  <c r="C618" i="1" s="1"/>
  <c r="U618" i="1"/>
  <c r="V618" i="1"/>
  <c r="W618" i="1" s="1"/>
  <c r="U883" i="1"/>
  <c r="V883" i="1"/>
  <c r="W883" i="1" s="1"/>
  <c r="U884" i="1"/>
  <c r="V884" i="1"/>
  <c r="W884" i="1" s="1"/>
  <c r="U885" i="1"/>
  <c r="V885" i="1"/>
  <c r="W885" i="1" s="1"/>
  <c r="U886" i="1"/>
  <c r="V886" i="1"/>
  <c r="W886" i="1" s="1"/>
  <c r="U887" i="1"/>
  <c r="V887" i="1"/>
  <c r="W887" i="1" s="1"/>
  <c r="V882" i="1"/>
  <c r="W882" i="1" s="1"/>
  <c r="U882" i="1"/>
  <c r="T807" i="2"/>
  <c r="T806" i="2"/>
  <c r="T805" i="2"/>
  <c r="V598" i="1"/>
  <c r="W598" i="1" s="1"/>
  <c r="T804" i="2"/>
  <c r="V597" i="1" s="1"/>
  <c r="W597" i="1" s="1"/>
  <c r="T803" i="2"/>
  <c r="V596" i="1"/>
  <c r="W596" i="1" s="1"/>
  <c r="T802" i="2"/>
  <c r="V595" i="1" s="1"/>
  <c r="W595" i="1" s="1"/>
  <c r="T801" i="2"/>
  <c r="V594" i="1"/>
  <c r="W594" i="1" s="1"/>
  <c r="T800" i="2"/>
  <c r="V584" i="1" s="1"/>
  <c r="V583" i="1"/>
  <c r="W583" i="1" s="1"/>
  <c r="T242" i="2"/>
  <c r="V445" i="1" s="1"/>
  <c r="W445" i="1" s="1"/>
  <c r="T243" i="2"/>
  <c r="T235" i="2"/>
  <c r="V438" i="1" s="1"/>
  <c r="W438" i="1" s="1"/>
  <c r="V119" i="1"/>
  <c r="W119" i="1" s="1"/>
  <c r="V120" i="1"/>
  <c r="W120" i="1" s="1"/>
  <c r="V121" i="1"/>
  <c r="W121" i="1" s="1"/>
  <c r="V122" i="1"/>
  <c r="W122" i="1" s="1"/>
  <c r="V123" i="1"/>
  <c r="W123" i="1" s="1"/>
  <c r="V124" i="1"/>
  <c r="W124" i="1" s="1"/>
  <c r="V125" i="1"/>
  <c r="W125" i="1" s="1"/>
  <c r="V126" i="1"/>
  <c r="W126" i="1" s="1"/>
  <c r="V127" i="1"/>
  <c r="W127" i="1" s="1"/>
  <c r="V128" i="1"/>
  <c r="W128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8" i="1"/>
  <c r="W88" i="1" s="1"/>
  <c r="V89" i="1"/>
  <c r="W89" i="1" s="1"/>
  <c r="V90" i="1"/>
  <c r="W90" i="1" s="1"/>
  <c r="V91" i="1"/>
  <c r="W91" i="1" s="1"/>
  <c r="V92" i="1"/>
  <c r="W92" i="1" s="1"/>
  <c r="B577" i="1"/>
  <c r="S577" i="1" s="1"/>
  <c r="H610" i="1"/>
  <c r="T610" i="1"/>
  <c r="C610" i="1" s="1"/>
  <c r="Q610" i="1"/>
  <c r="J610" i="1"/>
  <c r="I610" i="1"/>
  <c r="O610" i="1"/>
  <c r="D610" i="1"/>
  <c r="V610" i="1"/>
  <c r="W610" i="1" s="1"/>
  <c r="U610" i="1"/>
  <c r="S610" i="1"/>
  <c r="G175" i="1"/>
  <c r="V339" i="1"/>
  <c r="W339" i="1" s="1"/>
  <c r="V340" i="1"/>
  <c r="W340" i="1" s="1"/>
  <c r="V341" i="1"/>
  <c r="W341" i="1" s="1"/>
  <c r="V342" i="1"/>
  <c r="W342" i="1" s="1"/>
  <c r="V343" i="1"/>
  <c r="W343" i="1" s="1"/>
  <c r="V344" i="1"/>
  <c r="W344" i="1" s="1"/>
  <c r="V345" i="1"/>
  <c r="W345" i="1" s="1"/>
  <c r="V346" i="1"/>
  <c r="W346" i="1" s="1"/>
  <c r="V347" i="1"/>
  <c r="W347" i="1" s="1"/>
  <c r="V348" i="1"/>
  <c r="W348" i="1" s="1"/>
  <c r="V349" i="1"/>
  <c r="W349" i="1" s="1"/>
  <c r="V350" i="1"/>
  <c r="W350" i="1" s="1"/>
  <c r="U339" i="1"/>
  <c r="T747" i="2"/>
  <c r="V756" i="1"/>
  <c r="W756" i="1" s="1"/>
  <c r="T746" i="2"/>
  <c r="V755" i="1" s="1"/>
  <c r="W755" i="1" s="1"/>
  <c r="T745" i="2"/>
  <c r="T744" i="2"/>
  <c r="V753" i="1" s="1"/>
  <c r="W753" i="1" s="1"/>
  <c r="T743" i="2"/>
  <c r="V752" i="1"/>
  <c r="W752" i="1" s="1"/>
  <c r="T742" i="2"/>
  <c r="T741" i="2"/>
  <c r="T740" i="2"/>
  <c r="T739" i="2"/>
  <c r="T738" i="2"/>
  <c r="V747" i="1" s="1"/>
  <c r="W747" i="1" s="1"/>
  <c r="T737" i="2"/>
  <c r="V746" i="1"/>
  <c r="W746" i="1" s="1"/>
  <c r="T736" i="2"/>
  <c r="V745" i="1" s="1"/>
  <c r="W745" i="1" s="1"/>
  <c r="T735" i="2"/>
  <c r="T734" i="2"/>
  <c r="V743" i="1" s="1"/>
  <c r="W743" i="1" s="1"/>
  <c r="T733" i="2"/>
  <c r="T732" i="2"/>
  <c r="V741" i="1" s="1"/>
  <c r="W741" i="1" s="1"/>
  <c r="T768" i="2"/>
  <c r="V777" i="1"/>
  <c r="W777" i="1" s="1"/>
  <c r="T767" i="2"/>
  <c r="V776" i="1" s="1"/>
  <c r="W776" i="1" s="1"/>
  <c r="T766" i="2"/>
  <c r="V775" i="1"/>
  <c r="W775" i="1" s="1"/>
  <c r="T765" i="2"/>
  <c r="V774" i="1" s="1"/>
  <c r="W774" i="1" s="1"/>
  <c r="T764" i="2"/>
  <c r="V773" i="1"/>
  <c r="W773" i="1" s="1"/>
  <c r="T763" i="2"/>
  <c r="V772" i="1" s="1"/>
  <c r="W772" i="1" s="1"/>
  <c r="T762" i="2"/>
  <c r="V771" i="1"/>
  <c r="W771" i="1" s="1"/>
  <c r="T761" i="2"/>
  <c r="V770" i="1" s="1"/>
  <c r="W770" i="1" s="1"/>
  <c r="T760" i="2"/>
  <c r="V769" i="1"/>
  <c r="W769" i="1" s="1"/>
  <c r="T759" i="2"/>
  <c r="T758" i="2"/>
  <c r="V767" i="1"/>
  <c r="W767" i="1" s="1"/>
  <c r="T757" i="2"/>
  <c r="T756" i="2"/>
  <c r="V765" i="1"/>
  <c r="W765" i="1" s="1"/>
  <c r="T755" i="2"/>
  <c r="T754" i="2"/>
  <c r="T753" i="2"/>
  <c r="T752" i="2"/>
  <c r="T751" i="2"/>
  <c r="V760" i="1" s="1"/>
  <c r="W760" i="1" s="1"/>
  <c r="T750" i="2"/>
  <c r="V759" i="1"/>
  <c r="W759" i="1" s="1"/>
  <c r="T749" i="2"/>
  <c r="T748" i="2"/>
  <c r="V757" i="1"/>
  <c r="W757" i="1" s="1"/>
  <c r="T769" i="2"/>
  <c r="V778" i="1" s="1"/>
  <c r="W778" i="1" s="1"/>
  <c r="T782" i="2"/>
  <c r="V785" i="1"/>
  <c r="W785" i="1" s="1"/>
  <c r="T781" i="2"/>
  <c r="V784" i="1" s="1"/>
  <c r="W784" i="1" s="1"/>
  <c r="T780" i="2"/>
  <c r="V783" i="1"/>
  <c r="W783" i="1" s="1"/>
  <c r="P258" i="1"/>
  <c r="P259" i="1"/>
  <c r="P260" i="1"/>
  <c r="P261" i="1"/>
  <c r="P262" i="1"/>
  <c r="P266" i="1"/>
  <c r="P267" i="1"/>
  <c r="P268" i="1"/>
  <c r="P269" i="1"/>
  <c r="P270" i="1"/>
  <c r="P271" i="1"/>
  <c r="P272" i="1"/>
  <c r="P273" i="1"/>
  <c r="P274" i="1"/>
  <c r="P275" i="1"/>
  <c r="P276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10" i="1"/>
  <c r="P311" i="1"/>
  <c r="P313" i="1"/>
  <c r="P314" i="1"/>
  <c r="P315" i="1"/>
  <c r="P316" i="1"/>
  <c r="P317" i="1"/>
  <c r="P320" i="1"/>
  <c r="P321" i="1"/>
  <c r="P322" i="1"/>
  <c r="P323" i="1"/>
  <c r="P324" i="1"/>
  <c r="P325" i="1"/>
  <c r="P326" i="1"/>
  <c r="P327" i="1"/>
  <c r="P328" i="1"/>
  <c r="P329" i="1"/>
  <c r="Q417" i="1"/>
  <c r="S417" i="1"/>
  <c r="T417" i="1"/>
  <c r="C417" i="1" s="1"/>
  <c r="P417" i="1"/>
  <c r="G417" i="1"/>
  <c r="H417" i="1"/>
  <c r="I417" i="1"/>
  <c r="J417" i="1"/>
  <c r="K417" i="1"/>
  <c r="L417" i="1"/>
  <c r="M417" i="1"/>
  <c r="N417" i="1"/>
  <c r="O417" i="1"/>
  <c r="D417" i="1"/>
  <c r="P414" i="1"/>
  <c r="P415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13" i="1"/>
  <c r="P356" i="1"/>
  <c r="P357" i="1"/>
  <c r="P358" i="1"/>
  <c r="P359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9" i="1"/>
  <c r="P410" i="1"/>
  <c r="P411" i="1"/>
  <c r="P355" i="1"/>
  <c r="P466" i="1"/>
  <c r="P467" i="1"/>
  <c r="P468" i="1"/>
  <c r="P469" i="1"/>
  <c r="P470" i="1"/>
  <c r="P471" i="1"/>
  <c r="P472" i="1"/>
  <c r="P473" i="1"/>
  <c r="P480" i="1"/>
  <c r="P481" i="1"/>
  <c r="P482" i="1"/>
  <c r="P483" i="1"/>
  <c r="P484" i="1"/>
  <c r="P485" i="1"/>
  <c r="P486" i="1"/>
  <c r="P488" i="1"/>
  <c r="P489" i="1"/>
  <c r="P490" i="1"/>
  <c r="P491" i="1"/>
  <c r="P492" i="1"/>
  <c r="P493" i="1"/>
  <c r="P498" i="1"/>
  <c r="P499" i="1"/>
  <c r="P500" i="1"/>
  <c r="P501" i="1"/>
  <c r="P502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S455" i="1"/>
  <c r="J590" i="1"/>
  <c r="J591" i="1"/>
  <c r="J592" i="1"/>
  <c r="J594" i="1"/>
  <c r="J595" i="1"/>
  <c r="J596" i="1"/>
  <c r="J597" i="1"/>
  <c r="J598" i="1"/>
  <c r="S470" i="2"/>
  <c r="D596" i="1"/>
  <c r="D592" i="1"/>
  <c r="G592" i="1"/>
  <c r="H592" i="1"/>
  <c r="I592" i="1"/>
  <c r="Q592" i="1"/>
  <c r="S592" i="1"/>
  <c r="T592" i="1"/>
  <c r="C592" i="1" s="1"/>
  <c r="U592" i="1"/>
  <c r="D594" i="1"/>
  <c r="G594" i="1"/>
  <c r="H594" i="1"/>
  <c r="I594" i="1"/>
  <c r="Q594" i="1"/>
  <c r="S594" i="1"/>
  <c r="T594" i="1"/>
  <c r="C594" i="1" s="1"/>
  <c r="U594" i="1"/>
  <c r="D595" i="1"/>
  <c r="G595" i="1"/>
  <c r="H595" i="1"/>
  <c r="I595" i="1"/>
  <c r="Q595" i="1"/>
  <c r="S595" i="1"/>
  <c r="T595" i="1"/>
  <c r="C595" i="1" s="1"/>
  <c r="U595" i="1"/>
  <c r="G596" i="1"/>
  <c r="H596" i="1"/>
  <c r="I596" i="1"/>
  <c r="Q596" i="1"/>
  <c r="S596" i="1"/>
  <c r="T596" i="1"/>
  <c r="C596" i="1" s="1"/>
  <c r="U596" i="1"/>
  <c r="D597" i="1"/>
  <c r="G597" i="1"/>
  <c r="H597" i="1"/>
  <c r="I597" i="1"/>
  <c r="Q597" i="1"/>
  <c r="S597" i="1"/>
  <c r="T597" i="1"/>
  <c r="C597" i="1" s="1"/>
  <c r="U597" i="1"/>
  <c r="D598" i="1"/>
  <c r="G598" i="1"/>
  <c r="H598" i="1"/>
  <c r="I598" i="1"/>
  <c r="Q598" i="1"/>
  <c r="S598" i="1"/>
  <c r="T598" i="1"/>
  <c r="C598" i="1" s="1"/>
  <c r="U598" i="1"/>
  <c r="Q590" i="1"/>
  <c r="S590" i="1"/>
  <c r="Q591" i="1"/>
  <c r="S591" i="1"/>
  <c r="P180" i="1"/>
  <c r="D180" i="1"/>
  <c r="G180" i="1"/>
  <c r="H180" i="1"/>
  <c r="I180" i="1"/>
  <c r="J180" i="1"/>
  <c r="K180" i="1"/>
  <c r="L180" i="1"/>
  <c r="M180" i="1"/>
  <c r="N180" i="1"/>
  <c r="O180" i="1"/>
  <c r="Q180" i="1"/>
  <c r="S180" i="1"/>
  <c r="T180" i="1"/>
  <c r="C180" i="1" s="1"/>
  <c r="D176" i="1"/>
  <c r="G176" i="1"/>
  <c r="H176" i="1"/>
  <c r="I176" i="1"/>
  <c r="J176" i="1"/>
  <c r="K176" i="1"/>
  <c r="L176" i="1"/>
  <c r="M176" i="1"/>
  <c r="N176" i="1"/>
  <c r="O176" i="1"/>
  <c r="P176" i="1"/>
  <c r="Q176" i="1"/>
  <c r="S176" i="1"/>
  <c r="A176" i="1" s="1"/>
  <c r="T176" i="1"/>
  <c r="C176" i="1" s="1"/>
  <c r="D182" i="1"/>
  <c r="G182" i="1"/>
  <c r="H182" i="1"/>
  <c r="I182" i="1"/>
  <c r="J182" i="1"/>
  <c r="K182" i="1"/>
  <c r="L182" i="1"/>
  <c r="M182" i="1"/>
  <c r="N182" i="1"/>
  <c r="O182" i="1"/>
  <c r="P182" i="1"/>
  <c r="Q182" i="1"/>
  <c r="S182" i="1"/>
  <c r="T182" i="1"/>
  <c r="C182" i="1" s="1"/>
  <c r="D183" i="1"/>
  <c r="G183" i="1"/>
  <c r="H183" i="1"/>
  <c r="I183" i="1"/>
  <c r="J183" i="1"/>
  <c r="K183" i="1"/>
  <c r="L183" i="1"/>
  <c r="M183" i="1"/>
  <c r="N183" i="1"/>
  <c r="O183" i="1"/>
  <c r="P183" i="1"/>
  <c r="Q183" i="1"/>
  <c r="S183" i="1"/>
  <c r="T183" i="1"/>
  <c r="C183" i="1" s="1"/>
  <c r="D179" i="1"/>
  <c r="G179" i="1"/>
  <c r="H179" i="1"/>
  <c r="I179" i="1"/>
  <c r="J179" i="1"/>
  <c r="K179" i="1"/>
  <c r="L179" i="1"/>
  <c r="M179" i="1"/>
  <c r="N179" i="1"/>
  <c r="O179" i="1"/>
  <c r="P179" i="1"/>
  <c r="Q179" i="1"/>
  <c r="S179" i="1"/>
  <c r="T179" i="1"/>
  <c r="C179" i="1" s="1"/>
  <c r="U179" i="1"/>
  <c r="V179" i="1"/>
  <c r="W179" i="1" s="1"/>
  <c r="T175" i="1"/>
  <c r="C175" i="1" s="1"/>
  <c r="Q175" i="1"/>
  <c r="P175" i="1"/>
  <c r="O175" i="1"/>
  <c r="N175" i="1"/>
  <c r="M175" i="1"/>
  <c r="L175" i="1"/>
  <c r="K175" i="1"/>
  <c r="J175" i="1"/>
  <c r="I175" i="1"/>
  <c r="H175" i="1"/>
  <c r="D175" i="1"/>
  <c r="S175" i="1"/>
  <c r="A175" i="1" s="1"/>
  <c r="C455" i="1"/>
  <c r="D345" i="1"/>
  <c r="G345" i="1"/>
  <c r="H345" i="1"/>
  <c r="I345" i="1"/>
  <c r="J345" i="1"/>
  <c r="K345" i="1"/>
  <c r="L345" i="1"/>
  <c r="M345" i="1"/>
  <c r="N345" i="1"/>
  <c r="O345" i="1"/>
  <c r="Q345" i="1"/>
  <c r="S345" i="1"/>
  <c r="T345" i="1"/>
  <c r="C345" i="1" s="1"/>
  <c r="D346" i="1"/>
  <c r="G346" i="1"/>
  <c r="H346" i="1"/>
  <c r="I346" i="1"/>
  <c r="J346" i="1"/>
  <c r="K346" i="1"/>
  <c r="L346" i="1"/>
  <c r="M346" i="1"/>
  <c r="N346" i="1"/>
  <c r="O346" i="1"/>
  <c r="Q346" i="1"/>
  <c r="S346" i="1"/>
  <c r="T346" i="1"/>
  <c r="C346" i="1" s="1"/>
  <c r="D344" i="1"/>
  <c r="G344" i="1"/>
  <c r="H344" i="1"/>
  <c r="I344" i="1"/>
  <c r="J344" i="1"/>
  <c r="K344" i="1"/>
  <c r="L344" i="1"/>
  <c r="M344" i="1"/>
  <c r="N344" i="1"/>
  <c r="O344" i="1"/>
  <c r="Q344" i="1"/>
  <c r="S344" i="1"/>
  <c r="T344" i="1"/>
  <c r="C344" i="1" s="1"/>
  <c r="D339" i="1"/>
  <c r="G339" i="1"/>
  <c r="H339" i="1"/>
  <c r="I339" i="1"/>
  <c r="J339" i="1"/>
  <c r="K339" i="1"/>
  <c r="L339" i="1"/>
  <c r="M339" i="1"/>
  <c r="N339" i="1"/>
  <c r="O339" i="1"/>
  <c r="Q339" i="1"/>
  <c r="S339" i="1"/>
  <c r="T339" i="1"/>
  <c r="C339" i="1" s="1"/>
  <c r="J532" i="1"/>
  <c r="K532" i="1"/>
  <c r="L532" i="1"/>
  <c r="M532" i="1"/>
  <c r="N532" i="1"/>
  <c r="D83" i="1"/>
  <c r="G83" i="1"/>
  <c r="H83" i="1"/>
  <c r="I83" i="1"/>
  <c r="J83" i="1"/>
  <c r="K83" i="1"/>
  <c r="L83" i="1"/>
  <c r="M83" i="1"/>
  <c r="N83" i="1"/>
  <c r="O83" i="1"/>
  <c r="P83" i="1"/>
  <c r="Q83" i="1"/>
  <c r="S83" i="1"/>
  <c r="T83" i="1"/>
  <c r="C83" i="1" s="1"/>
  <c r="D84" i="1"/>
  <c r="G84" i="1"/>
  <c r="H84" i="1"/>
  <c r="I84" i="1"/>
  <c r="J84" i="1"/>
  <c r="K84" i="1"/>
  <c r="L84" i="1"/>
  <c r="M84" i="1"/>
  <c r="N84" i="1"/>
  <c r="O84" i="1"/>
  <c r="P84" i="1"/>
  <c r="Q84" i="1"/>
  <c r="S84" i="1"/>
  <c r="T84" i="1"/>
  <c r="C84" i="1" s="1"/>
  <c r="D125" i="1"/>
  <c r="G125" i="1"/>
  <c r="H125" i="1"/>
  <c r="I125" i="1"/>
  <c r="J125" i="1"/>
  <c r="K125" i="1"/>
  <c r="L125" i="1"/>
  <c r="M125" i="1"/>
  <c r="N125" i="1"/>
  <c r="O125" i="1"/>
  <c r="P125" i="1"/>
  <c r="Q125" i="1"/>
  <c r="S125" i="1"/>
  <c r="T125" i="1"/>
  <c r="C125" i="1" s="1"/>
  <c r="D490" i="1"/>
  <c r="G490" i="1"/>
  <c r="H490" i="1"/>
  <c r="I490" i="1"/>
  <c r="J490" i="1"/>
  <c r="K490" i="1"/>
  <c r="L490" i="1"/>
  <c r="M490" i="1"/>
  <c r="N490" i="1"/>
  <c r="O490" i="1"/>
  <c r="Q490" i="1"/>
  <c r="S490" i="1"/>
  <c r="T490" i="1"/>
  <c r="C490" i="1" s="1"/>
  <c r="D887" i="1"/>
  <c r="D870" i="1"/>
  <c r="Q870" i="1"/>
  <c r="S870" i="1"/>
  <c r="T870" i="1"/>
  <c r="C870" i="1" s="1"/>
  <c r="D871" i="1"/>
  <c r="Q871" i="1"/>
  <c r="S871" i="1"/>
  <c r="T871" i="1"/>
  <c r="C871" i="1" s="1"/>
  <c r="D872" i="1"/>
  <c r="Q872" i="1"/>
  <c r="S872" i="1"/>
  <c r="T872" i="1"/>
  <c r="C872" i="1" s="1"/>
  <c r="D873" i="1"/>
  <c r="Q873" i="1"/>
  <c r="S873" i="1"/>
  <c r="T873" i="1"/>
  <c r="C873" i="1" s="1"/>
  <c r="D874" i="1"/>
  <c r="Q874" i="1"/>
  <c r="S874" i="1"/>
  <c r="T874" i="1"/>
  <c r="C874" i="1" s="1"/>
  <c r="D875" i="1"/>
  <c r="Q875" i="1"/>
  <c r="S875" i="1"/>
  <c r="T875" i="1"/>
  <c r="C875" i="1" s="1"/>
  <c r="D876" i="1"/>
  <c r="Q876" i="1"/>
  <c r="S876" i="1"/>
  <c r="T876" i="1"/>
  <c r="C876" i="1" s="1"/>
  <c r="D877" i="1"/>
  <c r="Q877" i="1"/>
  <c r="S877" i="1"/>
  <c r="T877" i="1"/>
  <c r="C877" i="1" s="1"/>
  <c r="D878" i="1"/>
  <c r="Q878" i="1"/>
  <c r="S878" i="1"/>
  <c r="T878" i="1"/>
  <c r="C878" i="1" s="1"/>
  <c r="T869" i="1"/>
  <c r="C869" i="1" s="1"/>
  <c r="Q869" i="1"/>
  <c r="D869" i="1"/>
  <c r="S869" i="1"/>
  <c r="D784" i="1"/>
  <c r="H784" i="1"/>
  <c r="O784" i="1"/>
  <c r="Q784" i="1"/>
  <c r="S784" i="1"/>
  <c r="T784" i="1"/>
  <c r="C784" i="1" s="1"/>
  <c r="U784" i="1"/>
  <c r="D785" i="1"/>
  <c r="H785" i="1"/>
  <c r="O785" i="1"/>
  <c r="Q785" i="1"/>
  <c r="S785" i="1"/>
  <c r="T785" i="1"/>
  <c r="C785" i="1" s="1"/>
  <c r="U785" i="1"/>
  <c r="U783" i="1"/>
  <c r="T783" i="1"/>
  <c r="C783" i="1" s="1"/>
  <c r="Q783" i="1"/>
  <c r="O783" i="1"/>
  <c r="H783" i="1"/>
  <c r="D783" i="1"/>
  <c r="S783" i="1"/>
  <c r="D207" i="1"/>
  <c r="M702" i="1"/>
  <c r="M711" i="1"/>
  <c r="M707" i="1"/>
  <c r="M703" i="1"/>
  <c r="B254" i="1"/>
  <c r="S254" i="1" s="1"/>
  <c r="D253" i="1"/>
  <c r="G253" i="1"/>
  <c r="H253" i="1"/>
  <c r="I253" i="1"/>
  <c r="J253" i="1"/>
  <c r="K253" i="1"/>
  <c r="L253" i="1"/>
  <c r="M253" i="1"/>
  <c r="N253" i="1"/>
  <c r="O253" i="1"/>
  <c r="Q253" i="1"/>
  <c r="S253" i="1"/>
  <c r="T253" i="1"/>
  <c r="C253" i="1" s="1"/>
  <c r="D251" i="1"/>
  <c r="G251" i="1"/>
  <c r="H251" i="1"/>
  <c r="I251" i="1"/>
  <c r="J251" i="1"/>
  <c r="K251" i="1"/>
  <c r="L251" i="1"/>
  <c r="M251" i="1"/>
  <c r="N251" i="1"/>
  <c r="O251" i="1"/>
  <c r="Q251" i="1"/>
  <c r="S251" i="1"/>
  <c r="T251" i="1"/>
  <c r="C251" i="1" s="1"/>
  <c r="D252" i="1"/>
  <c r="G252" i="1"/>
  <c r="H252" i="1"/>
  <c r="I252" i="1"/>
  <c r="J252" i="1"/>
  <c r="K252" i="1"/>
  <c r="L252" i="1"/>
  <c r="M252" i="1"/>
  <c r="N252" i="1"/>
  <c r="O252" i="1"/>
  <c r="Q252" i="1"/>
  <c r="S252" i="1"/>
  <c r="T252" i="1"/>
  <c r="C252" i="1" s="1"/>
  <c r="T250" i="1"/>
  <c r="C250" i="1" s="1"/>
  <c r="Q250" i="1"/>
  <c r="O250" i="1"/>
  <c r="N250" i="1"/>
  <c r="M250" i="1"/>
  <c r="L250" i="1"/>
  <c r="K250" i="1"/>
  <c r="J250" i="1"/>
  <c r="I250" i="1"/>
  <c r="H250" i="1"/>
  <c r="G250" i="1"/>
  <c r="D250" i="1"/>
  <c r="S250" i="1"/>
  <c r="D258" i="1"/>
  <c r="G258" i="1"/>
  <c r="H258" i="1"/>
  <c r="I258" i="1"/>
  <c r="J258" i="1"/>
  <c r="K258" i="1"/>
  <c r="L258" i="1"/>
  <c r="M258" i="1"/>
  <c r="N258" i="1"/>
  <c r="O258" i="1"/>
  <c r="Q258" i="1"/>
  <c r="S258" i="1"/>
  <c r="T258" i="1"/>
  <c r="C258" i="1" s="1"/>
  <c r="D259" i="1"/>
  <c r="G259" i="1"/>
  <c r="H259" i="1"/>
  <c r="I259" i="1"/>
  <c r="J259" i="1"/>
  <c r="K259" i="1"/>
  <c r="L259" i="1"/>
  <c r="M259" i="1"/>
  <c r="N259" i="1"/>
  <c r="O259" i="1"/>
  <c r="Q259" i="1"/>
  <c r="S259" i="1"/>
  <c r="T259" i="1"/>
  <c r="C259" i="1" s="1"/>
  <c r="U259" i="1"/>
  <c r="D260" i="1"/>
  <c r="G260" i="1"/>
  <c r="H260" i="1"/>
  <c r="I260" i="1"/>
  <c r="J260" i="1"/>
  <c r="K260" i="1"/>
  <c r="L260" i="1"/>
  <c r="M260" i="1"/>
  <c r="N260" i="1"/>
  <c r="O260" i="1"/>
  <c r="Q260" i="1"/>
  <c r="S260" i="1"/>
  <c r="T260" i="1"/>
  <c r="C260" i="1" s="1"/>
  <c r="D261" i="1"/>
  <c r="G261" i="1"/>
  <c r="H261" i="1"/>
  <c r="I261" i="1"/>
  <c r="J261" i="1"/>
  <c r="K261" i="1"/>
  <c r="L261" i="1"/>
  <c r="M261" i="1"/>
  <c r="N261" i="1"/>
  <c r="O261" i="1"/>
  <c r="Q261" i="1"/>
  <c r="S261" i="1"/>
  <c r="T261" i="1"/>
  <c r="C261" i="1" s="1"/>
  <c r="D262" i="1"/>
  <c r="G262" i="1"/>
  <c r="H262" i="1"/>
  <c r="I262" i="1"/>
  <c r="J262" i="1"/>
  <c r="K262" i="1"/>
  <c r="L262" i="1"/>
  <c r="M262" i="1"/>
  <c r="N262" i="1"/>
  <c r="O262" i="1"/>
  <c r="Q262" i="1"/>
  <c r="S262" i="1"/>
  <c r="T262" i="1"/>
  <c r="C262" i="1" s="1"/>
  <c r="D266" i="1"/>
  <c r="G266" i="1"/>
  <c r="H266" i="1"/>
  <c r="I266" i="1"/>
  <c r="J266" i="1"/>
  <c r="K266" i="1"/>
  <c r="L266" i="1"/>
  <c r="M266" i="1"/>
  <c r="N266" i="1"/>
  <c r="O266" i="1"/>
  <c r="Q266" i="1"/>
  <c r="S266" i="1"/>
  <c r="T266" i="1"/>
  <c r="C266" i="1" s="1"/>
  <c r="D267" i="1"/>
  <c r="G267" i="1"/>
  <c r="H267" i="1"/>
  <c r="I267" i="1"/>
  <c r="J267" i="1"/>
  <c r="K267" i="1"/>
  <c r="L267" i="1"/>
  <c r="M267" i="1"/>
  <c r="N267" i="1"/>
  <c r="O267" i="1"/>
  <c r="Q267" i="1"/>
  <c r="S267" i="1"/>
  <c r="T267" i="1"/>
  <c r="C267" i="1" s="1"/>
  <c r="D268" i="1"/>
  <c r="G268" i="1"/>
  <c r="H268" i="1"/>
  <c r="I268" i="1"/>
  <c r="J268" i="1"/>
  <c r="K268" i="1"/>
  <c r="L268" i="1"/>
  <c r="M268" i="1"/>
  <c r="N268" i="1"/>
  <c r="O268" i="1"/>
  <c r="Q268" i="1"/>
  <c r="S268" i="1"/>
  <c r="T268" i="1"/>
  <c r="C268" i="1" s="1"/>
  <c r="D269" i="1"/>
  <c r="G269" i="1"/>
  <c r="H269" i="1"/>
  <c r="I269" i="1"/>
  <c r="J269" i="1"/>
  <c r="K269" i="1"/>
  <c r="L269" i="1"/>
  <c r="M269" i="1"/>
  <c r="N269" i="1"/>
  <c r="O269" i="1"/>
  <c r="Q269" i="1"/>
  <c r="S269" i="1"/>
  <c r="T269" i="1"/>
  <c r="C269" i="1" s="1"/>
  <c r="D270" i="1"/>
  <c r="G270" i="1"/>
  <c r="H270" i="1"/>
  <c r="I270" i="1"/>
  <c r="J270" i="1"/>
  <c r="K270" i="1"/>
  <c r="L270" i="1"/>
  <c r="M270" i="1"/>
  <c r="N270" i="1"/>
  <c r="O270" i="1"/>
  <c r="Q270" i="1"/>
  <c r="S270" i="1"/>
  <c r="T270" i="1"/>
  <c r="C270" i="1" s="1"/>
  <c r="D271" i="1"/>
  <c r="G271" i="1"/>
  <c r="H271" i="1"/>
  <c r="I271" i="1"/>
  <c r="J271" i="1"/>
  <c r="K271" i="1"/>
  <c r="L271" i="1"/>
  <c r="M271" i="1"/>
  <c r="N271" i="1"/>
  <c r="O271" i="1"/>
  <c r="Q271" i="1"/>
  <c r="S271" i="1"/>
  <c r="T271" i="1"/>
  <c r="C271" i="1" s="1"/>
  <c r="D272" i="1"/>
  <c r="G272" i="1"/>
  <c r="H272" i="1"/>
  <c r="I272" i="1"/>
  <c r="J272" i="1"/>
  <c r="K272" i="1"/>
  <c r="L272" i="1"/>
  <c r="M272" i="1"/>
  <c r="N272" i="1"/>
  <c r="O272" i="1"/>
  <c r="Q272" i="1"/>
  <c r="S272" i="1"/>
  <c r="T272" i="1"/>
  <c r="C272" i="1" s="1"/>
  <c r="D273" i="1"/>
  <c r="G273" i="1"/>
  <c r="H273" i="1"/>
  <c r="I273" i="1"/>
  <c r="J273" i="1"/>
  <c r="K273" i="1"/>
  <c r="L273" i="1"/>
  <c r="M273" i="1"/>
  <c r="N273" i="1"/>
  <c r="O273" i="1"/>
  <c r="Q273" i="1"/>
  <c r="S273" i="1"/>
  <c r="T273" i="1"/>
  <c r="C273" i="1" s="1"/>
  <c r="D274" i="1"/>
  <c r="G274" i="1"/>
  <c r="H274" i="1"/>
  <c r="I274" i="1"/>
  <c r="J274" i="1"/>
  <c r="K274" i="1"/>
  <c r="L274" i="1"/>
  <c r="M274" i="1"/>
  <c r="N274" i="1"/>
  <c r="O274" i="1"/>
  <c r="Q274" i="1"/>
  <c r="S274" i="1"/>
  <c r="T274" i="1"/>
  <c r="C274" i="1" s="1"/>
  <c r="D275" i="1"/>
  <c r="G275" i="1"/>
  <c r="H275" i="1"/>
  <c r="I275" i="1"/>
  <c r="J275" i="1"/>
  <c r="K275" i="1"/>
  <c r="L275" i="1"/>
  <c r="M275" i="1"/>
  <c r="N275" i="1"/>
  <c r="O275" i="1"/>
  <c r="Q275" i="1"/>
  <c r="S275" i="1"/>
  <c r="T275" i="1"/>
  <c r="C275" i="1" s="1"/>
  <c r="D276" i="1"/>
  <c r="G276" i="1"/>
  <c r="H276" i="1"/>
  <c r="I276" i="1"/>
  <c r="J276" i="1"/>
  <c r="K276" i="1"/>
  <c r="L276" i="1"/>
  <c r="M276" i="1"/>
  <c r="N276" i="1"/>
  <c r="O276" i="1"/>
  <c r="Q276" i="1"/>
  <c r="S276" i="1"/>
  <c r="T276" i="1"/>
  <c r="C276" i="1" s="1"/>
  <c r="A23" i="1"/>
  <c r="T880" i="2"/>
  <c r="V623" i="1"/>
  <c r="W623" i="1" s="1"/>
  <c r="T879" i="2"/>
  <c r="V622" i="1" s="1"/>
  <c r="W622" i="1" s="1"/>
  <c r="T878" i="2"/>
  <c r="V621" i="1"/>
  <c r="W621" i="1" s="1"/>
  <c r="T877" i="2"/>
  <c r="V620" i="1" s="1"/>
  <c r="W620" i="1" s="1"/>
  <c r="T876" i="2"/>
  <c r="V619" i="1"/>
  <c r="W619" i="1" s="1"/>
  <c r="T874" i="2"/>
  <c r="V617" i="1" s="1"/>
  <c r="W617" i="1" s="1"/>
  <c r="T873" i="2"/>
  <c r="V616" i="1"/>
  <c r="W616" i="1" s="1"/>
  <c r="T890" i="2"/>
  <c r="V633" i="1" s="1"/>
  <c r="W633" i="1" s="1"/>
  <c r="T889" i="2"/>
  <c r="V632" i="1"/>
  <c r="W632" i="1" s="1"/>
  <c r="T888" i="2"/>
  <c r="V631" i="1" s="1"/>
  <c r="W631" i="1" s="1"/>
  <c r="T887" i="2"/>
  <c r="V630" i="1"/>
  <c r="W630" i="1" s="1"/>
  <c r="T886" i="2"/>
  <c r="V629" i="1" s="1"/>
  <c r="W629" i="1" s="1"/>
  <c r="D616" i="1"/>
  <c r="H616" i="1"/>
  <c r="O616" i="1"/>
  <c r="Q616" i="1"/>
  <c r="S616" i="1"/>
  <c r="T616" i="1"/>
  <c r="C616" i="1" s="1"/>
  <c r="U616" i="1"/>
  <c r="D617" i="1"/>
  <c r="H617" i="1"/>
  <c r="O617" i="1"/>
  <c r="Q617" i="1"/>
  <c r="S617" i="1"/>
  <c r="T617" i="1"/>
  <c r="C617" i="1" s="1"/>
  <c r="U617" i="1"/>
  <c r="D619" i="1"/>
  <c r="H619" i="1"/>
  <c r="O619" i="1"/>
  <c r="Q619" i="1"/>
  <c r="S619" i="1"/>
  <c r="T619" i="1"/>
  <c r="C619" i="1" s="1"/>
  <c r="U619" i="1"/>
  <c r="D620" i="1"/>
  <c r="H620" i="1"/>
  <c r="O620" i="1"/>
  <c r="Q620" i="1"/>
  <c r="S620" i="1"/>
  <c r="T620" i="1"/>
  <c r="C620" i="1" s="1"/>
  <c r="U620" i="1"/>
  <c r="D621" i="1"/>
  <c r="H621" i="1"/>
  <c r="O621" i="1"/>
  <c r="Q621" i="1"/>
  <c r="S621" i="1"/>
  <c r="T621" i="1"/>
  <c r="C621" i="1" s="1"/>
  <c r="U621" i="1"/>
  <c r="D622" i="1"/>
  <c r="H622" i="1"/>
  <c r="O622" i="1"/>
  <c r="Q622" i="1"/>
  <c r="S622" i="1"/>
  <c r="T622" i="1"/>
  <c r="C622" i="1" s="1"/>
  <c r="U622" i="1"/>
  <c r="D623" i="1"/>
  <c r="H623" i="1"/>
  <c r="O623" i="1"/>
  <c r="Q623" i="1"/>
  <c r="S623" i="1"/>
  <c r="T623" i="1"/>
  <c r="C623" i="1" s="1"/>
  <c r="U623" i="1"/>
  <c r="D629" i="1"/>
  <c r="H629" i="1"/>
  <c r="O629" i="1"/>
  <c r="Q629" i="1"/>
  <c r="S629" i="1"/>
  <c r="T629" i="1"/>
  <c r="C629" i="1" s="1"/>
  <c r="U629" i="1"/>
  <c r="D630" i="1"/>
  <c r="H630" i="1"/>
  <c r="O630" i="1"/>
  <c r="Q630" i="1"/>
  <c r="S630" i="1"/>
  <c r="T630" i="1"/>
  <c r="C630" i="1" s="1"/>
  <c r="U630" i="1"/>
  <c r="D631" i="1"/>
  <c r="H631" i="1"/>
  <c r="O631" i="1"/>
  <c r="Q631" i="1"/>
  <c r="S631" i="1"/>
  <c r="T631" i="1"/>
  <c r="C631" i="1" s="1"/>
  <c r="U631" i="1"/>
  <c r="D632" i="1"/>
  <c r="H632" i="1"/>
  <c r="O632" i="1"/>
  <c r="Q632" i="1"/>
  <c r="S632" i="1"/>
  <c r="T632" i="1"/>
  <c r="C632" i="1" s="1"/>
  <c r="U632" i="1"/>
  <c r="D633" i="1"/>
  <c r="H633" i="1"/>
  <c r="O633" i="1"/>
  <c r="Q633" i="1"/>
  <c r="S633" i="1"/>
  <c r="T633" i="1"/>
  <c r="C633" i="1" s="1"/>
  <c r="U633" i="1"/>
  <c r="D445" i="1"/>
  <c r="G445" i="1"/>
  <c r="H445" i="1"/>
  <c r="I445" i="1"/>
  <c r="J445" i="1"/>
  <c r="K445" i="1"/>
  <c r="L445" i="1"/>
  <c r="M445" i="1"/>
  <c r="N445" i="1"/>
  <c r="O445" i="1"/>
  <c r="Q445" i="1"/>
  <c r="S445" i="1"/>
  <c r="T445" i="1"/>
  <c r="C445" i="1" s="1"/>
  <c r="D438" i="1"/>
  <c r="G438" i="1"/>
  <c r="H438" i="1"/>
  <c r="I438" i="1"/>
  <c r="J438" i="1"/>
  <c r="K438" i="1"/>
  <c r="L438" i="1"/>
  <c r="M438" i="1"/>
  <c r="N438" i="1"/>
  <c r="O438" i="1"/>
  <c r="Q438" i="1"/>
  <c r="S438" i="1"/>
  <c r="T438" i="1"/>
  <c r="C438" i="1" s="1"/>
  <c r="H591" i="1"/>
  <c r="U54" i="1"/>
  <c r="U89" i="1"/>
  <c r="U375" i="1"/>
  <c r="U42" i="1"/>
  <c r="U52" i="1"/>
  <c r="T327" i="2"/>
  <c r="T326" i="2"/>
  <c r="T325" i="2"/>
  <c r="V328" i="1"/>
  <c r="W328" i="1" s="1"/>
  <c r="T324" i="2"/>
  <c r="V327" i="1" s="1"/>
  <c r="W327" i="1" s="1"/>
  <c r="T322" i="2"/>
  <c r="V326" i="1"/>
  <c r="W326" i="1" s="1"/>
  <c r="T321" i="2"/>
  <c r="V325" i="1" s="1"/>
  <c r="W325" i="1" s="1"/>
  <c r="T320" i="2"/>
  <c r="T319" i="2"/>
  <c r="V323" i="1" s="1"/>
  <c r="W323" i="1" s="1"/>
  <c r="T318" i="2"/>
  <c r="V322" i="1"/>
  <c r="W322" i="1" s="1"/>
  <c r="T317" i="2"/>
  <c r="V321" i="1" s="1"/>
  <c r="W321" i="1" s="1"/>
  <c r="T316" i="2"/>
  <c r="T315" i="2"/>
  <c r="V319" i="1" s="1"/>
  <c r="W319" i="1" s="1"/>
  <c r="T313" i="2"/>
  <c r="T312" i="2"/>
  <c r="T311" i="2"/>
  <c r="V315" i="1"/>
  <c r="W315" i="1" s="1"/>
  <c r="T310" i="2"/>
  <c r="V314" i="1" s="1"/>
  <c r="W314" i="1" s="1"/>
  <c r="T309" i="2"/>
  <c r="V313" i="1"/>
  <c r="W313" i="1" s="1"/>
  <c r="T308" i="2"/>
  <c r="V312" i="1" s="1"/>
  <c r="W312" i="1" s="1"/>
  <c r="T307" i="2"/>
  <c r="T306" i="2"/>
  <c r="T304" i="2"/>
  <c r="T303" i="2"/>
  <c r="V307" i="1" s="1"/>
  <c r="W307" i="1" s="1"/>
  <c r="T302" i="2"/>
  <c r="V306" i="1"/>
  <c r="W306" i="1" s="1"/>
  <c r="T301" i="2"/>
  <c r="V305" i="1" s="1"/>
  <c r="W305" i="1" s="1"/>
  <c r="T300" i="2"/>
  <c r="V304" i="1"/>
  <c r="W304" i="1" s="1"/>
  <c r="T299" i="2"/>
  <c r="V303" i="1" s="1"/>
  <c r="W303" i="1" s="1"/>
  <c r="T298" i="2"/>
  <c r="V302" i="1"/>
  <c r="W302" i="1" s="1"/>
  <c r="T297" i="2"/>
  <c r="V301" i="1" s="1"/>
  <c r="W301" i="1" s="1"/>
  <c r="T296" i="2"/>
  <c r="V300" i="1"/>
  <c r="W300" i="1" s="1"/>
  <c r="T295" i="2"/>
  <c r="V299" i="1" s="1"/>
  <c r="W299" i="1" s="1"/>
  <c r="T294" i="2"/>
  <c r="V298" i="1"/>
  <c r="W298" i="1" s="1"/>
  <c r="T293" i="2"/>
  <c r="V297" i="1" s="1"/>
  <c r="W297" i="1" s="1"/>
  <c r="T292" i="2"/>
  <c r="T291" i="2"/>
  <c r="V295" i="1" s="1"/>
  <c r="W295" i="1" s="1"/>
  <c r="T290" i="2"/>
  <c r="V294" i="1"/>
  <c r="W294" i="1" s="1"/>
  <c r="T289" i="2"/>
  <c r="V293" i="1" s="1"/>
  <c r="W293" i="1" s="1"/>
  <c r="T288" i="2"/>
  <c r="V292" i="1"/>
  <c r="W292" i="1" s="1"/>
  <c r="T287" i="2"/>
  <c r="V291" i="1" s="1"/>
  <c r="W291" i="1" s="1"/>
  <c r="T286" i="2"/>
  <c r="V290" i="1"/>
  <c r="W290" i="1" s="1"/>
  <c r="T285" i="2"/>
  <c r="V289" i="1" s="1"/>
  <c r="W289" i="1" s="1"/>
  <c r="T284" i="2"/>
  <c r="V288" i="1"/>
  <c r="W288" i="1" s="1"/>
  <c r="T283" i="2"/>
  <c r="V287" i="1" s="1"/>
  <c r="W287" i="1" s="1"/>
  <c r="T282" i="2"/>
  <c r="V286" i="1"/>
  <c r="W286" i="1" s="1"/>
  <c r="T281" i="2"/>
  <c r="V285" i="1" s="1"/>
  <c r="W285" i="1" s="1"/>
  <c r="T280" i="2"/>
  <c r="V284" i="1"/>
  <c r="W284" i="1" s="1"/>
  <c r="T273" i="2"/>
  <c r="V277" i="1" s="1"/>
  <c r="W277" i="1" s="1"/>
  <c r="T272" i="2"/>
  <c r="V276" i="1"/>
  <c r="W276" i="1" s="1"/>
  <c r="T271" i="2"/>
  <c r="V275" i="1" s="1"/>
  <c r="W275" i="1" s="1"/>
  <c r="T270" i="2"/>
  <c r="V274" i="1"/>
  <c r="W274" i="1" s="1"/>
  <c r="T269" i="2"/>
  <c r="V273" i="1" s="1"/>
  <c r="W273" i="1" s="1"/>
  <c r="T268" i="2"/>
  <c r="V272" i="1"/>
  <c r="W272" i="1" s="1"/>
  <c r="T267" i="2"/>
  <c r="T266" i="2"/>
  <c r="V270" i="1"/>
  <c r="W270" i="1" s="1"/>
  <c r="T265" i="2"/>
  <c r="T264" i="2"/>
  <c r="V268" i="1"/>
  <c r="W268" i="1" s="1"/>
  <c r="T263" i="2"/>
  <c r="T262" i="2"/>
  <c r="V266" i="1"/>
  <c r="W266" i="1" s="1"/>
  <c r="T249" i="2"/>
  <c r="V452" i="1" s="1"/>
  <c r="W452" i="1" s="1"/>
  <c r="T248" i="2"/>
  <c r="V451" i="1"/>
  <c r="W451" i="1" s="1"/>
  <c r="T247" i="2"/>
  <c r="V450" i="1" s="1"/>
  <c r="W450" i="1" s="1"/>
  <c r="T246" i="2"/>
  <c r="V449" i="1"/>
  <c r="W449" i="1" s="1"/>
  <c r="T245" i="2"/>
  <c r="V448" i="1" s="1"/>
  <c r="W448" i="1" s="1"/>
  <c r="T244" i="2"/>
  <c r="V447" i="1"/>
  <c r="W447" i="1" s="1"/>
  <c r="T241" i="2"/>
  <c r="V444" i="1" s="1"/>
  <c r="W444" i="1" s="1"/>
  <c r="T240" i="2"/>
  <c r="V443" i="1"/>
  <c r="W443" i="1" s="1"/>
  <c r="T239" i="2"/>
  <c r="V442" i="1" s="1"/>
  <c r="W442" i="1" s="1"/>
  <c r="T238" i="2"/>
  <c r="V441" i="1"/>
  <c r="W441" i="1" s="1"/>
  <c r="T237" i="2"/>
  <c r="V440" i="1" s="1"/>
  <c r="W440" i="1" s="1"/>
  <c r="T236" i="2"/>
  <c r="V439" i="1"/>
  <c r="W439" i="1" s="1"/>
  <c r="T234" i="2"/>
  <c r="V437" i="1" s="1"/>
  <c r="W437" i="1" s="1"/>
  <c r="T233" i="2"/>
  <c r="V436" i="1"/>
  <c r="W436" i="1" s="1"/>
  <c r="T232" i="2"/>
  <c r="V435" i="1" s="1"/>
  <c r="W435" i="1" s="1"/>
  <c r="T231" i="2"/>
  <c r="V434" i="1"/>
  <c r="W434" i="1" s="1"/>
  <c r="T230" i="2"/>
  <c r="V433" i="1" s="1"/>
  <c r="W433" i="1" s="1"/>
  <c r="T229" i="2"/>
  <c r="V432" i="1"/>
  <c r="W432" i="1" s="1"/>
  <c r="T228" i="2"/>
  <c r="V431" i="1" s="1"/>
  <c r="W431" i="1" s="1"/>
  <c r="T227" i="2"/>
  <c r="V430" i="1"/>
  <c r="W430" i="1" s="1"/>
  <c r="T226" i="2"/>
  <c r="V429" i="1" s="1"/>
  <c r="W429" i="1" s="1"/>
  <c r="T225" i="2"/>
  <c r="V428" i="1"/>
  <c r="W428" i="1" s="1"/>
  <c r="T224" i="2"/>
  <c r="V427" i="1" s="1"/>
  <c r="W427" i="1" s="1"/>
  <c r="T223" i="2"/>
  <c r="V426" i="1"/>
  <c r="W426" i="1" s="1"/>
  <c r="T222" i="2"/>
  <c r="V425" i="1" s="1"/>
  <c r="W425" i="1" s="1"/>
  <c r="T221" i="2"/>
  <c r="T220" i="2"/>
  <c r="V423" i="1" s="1"/>
  <c r="W423" i="1" s="1"/>
  <c r="T219" i="2"/>
  <c r="T218" i="2"/>
  <c r="V421" i="1" s="1"/>
  <c r="W421" i="1" s="1"/>
  <c r="T217" i="2"/>
  <c r="V420" i="1"/>
  <c r="W420" i="1" s="1"/>
  <c r="T216" i="2"/>
  <c r="V419" i="1" s="1"/>
  <c r="W419" i="1" s="1"/>
  <c r="T215" i="2"/>
  <c r="V418" i="1"/>
  <c r="W418" i="1" s="1"/>
  <c r="T212" i="2"/>
  <c r="T211" i="2"/>
  <c r="V414" i="1"/>
  <c r="W414" i="1" s="1"/>
  <c r="T210" i="2"/>
  <c r="V413" i="1" s="1"/>
  <c r="W413" i="1" s="1"/>
  <c r="T208" i="2"/>
  <c r="V411" i="1"/>
  <c r="W411" i="1" s="1"/>
  <c r="T207" i="2"/>
  <c r="V410" i="1" s="1"/>
  <c r="W410" i="1" s="1"/>
  <c r="T206" i="2"/>
  <c r="V409" i="1"/>
  <c r="W409" i="1" s="1"/>
  <c r="T204" i="2"/>
  <c r="V407" i="1" s="1"/>
  <c r="W407" i="1" s="1"/>
  <c r="T203" i="2"/>
  <c r="V406" i="1"/>
  <c r="W406" i="1" s="1"/>
  <c r="T202" i="2"/>
  <c r="V405" i="1" s="1"/>
  <c r="W405" i="1" s="1"/>
  <c r="T201" i="2"/>
  <c r="V404" i="1"/>
  <c r="W404" i="1" s="1"/>
  <c r="T200" i="2"/>
  <c r="T199" i="2"/>
  <c r="V402" i="1"/>
  <c r="W402" i="1" s="1"/>
  <c r="T198" i="2"/>
  <c r="V401" i="1" s="1"/>
  <c r="W401" i="1" s="1"/>
  <c r="T197" i="2"/>
  <c r="T196" i="2"/>
  <c r="V399" i="1" s="1"/>
  <c r="W399" i="1" s="1"/>
  <c r="T195" i="2"/>
  <c r="V398" i="1"/>
  <c r="W398" i="1" s="1"/>
  <c r="T194" i="2"/>
  <c r="V397" i="1" s="1"/>
  <c r="W397" i="1" s="1"/>
  <c r="T193" i="2"/>
  <c r="V396" i="1"/>
  <c r="W396" i="1" s="1"/>
  <c r="T192" i="2"/>
  <c r="V395" i="1" s="1"/>
  <c r="W395" i="1" s="1"/>
  <c r="T191" i="2"/>
  <c r="V394" i="1"/>
  <c r="W394" i="1" s="1"/>
  <c r="T190" i="2"/>
  <c r="V393" i="1" s="1"/>
  <c r="W393" i="1" s="1"/>
  <c r="T189" i="2"/>
  <c r="V392" i="1"/>
  <c r="W392" i="1" s="1"/>
  <c r="T188" i="2"/>
  <c r="V391" i="1" s="1"/>
  <c r="W391" i="1" s="1"/>
  <c r="T187" i="2"/>
  <c r="V390" i="1"/>
  <c r="W390" i="1" s="1"/>
  <c r="T186" i="2"/>
  <c r="V389" i="1" s="1"/>
  <c r="W389" i="1" s="1"/>
  <c r="T185" i="2"/>
  <c r="V388" i="1"/>
  <c r="W388" i="1" s="1"/>
  <c r="T184" i="2"/>
  <c r="V387" i="1" s="1"/>
  <c r="W387" i="1" s="1"/>
  <c r="T182" i="2"/>
  <c r="V385" i="1"/>
  <c r="W385" i="1" s="1"/>
  <c r="T181" i="2"/>
  <c r="V384" i="1" s="1"/>
  <c r="W384" i="1" s="1"/>
  <c r="T180" i="2"/>
  <c r="V383" i="1"/>
  <c r="W383" i="1" s="1"/>
  <c r="T179" i="2"/>
  <c r="V382" i="1" s="1"/>
  <c r="W382" i="1" s="1"/>
  <c r="T178" i="2"/>
  <c r="V381" i="1"/>
  <c r="W381" i="1" s="1"/>
  <c r="T177" i="2"/>
  <c r="V380" i="1" s="1"/>
  <c r="W380" i="1" s="1"/>
  <c r="T176" i="2"/>
  <c r="V379" i="1"/>
  <c r="W379" i="1" s="1"/>
  <c r="T175" i="2"/>
  <c r="T174" i="2"/>
  <c r="V377" i="1"/>
  <c r="W377" i="1" s="1"/>
  <c r="T173" i="2"/>
  <c r="V376" i="1" s="1"/>
  <c r="W376" i="1" s="1"/>
  <c r="T172" i="2"/>
  <c r="V375" i="1"/>
  <c r="W375" i="1" s="1"/>
  <c r="T171" i="2"/>
  <c r="V374" i="1" s="1"/>
  <c r="W374" i="1" s="1"/>
  <c r="T170" i="2"/>
  <c r="V373" i="1"/>
  <c r="W373" i="1" s="1"/>
  <c r="T169" i="2"/>
  <c r="V372" i="1" s="1"/>
  <c r="W372" i="1" s="1"/>
  <c r="T168" i="2"/>
  <c r="V371" i="1"/>
  <c r="W371" i="1" s="1"/>
  <c r="T167" i="2"/>
  <c r="V370" i="1" s="1"/>
  <c r="W370" i="1" s="1"/>
  <c r="T166" i="2"/>
  <c r="V369" i="1"/>
  <c r="W369" i="1" s="1"/>
  <c r="T165" i="2"/>
  <c r="V368" i="1" s="1"/>
  <c r="W368" i="1" s="1"/>
  <c r="T164" i="2"/>
  <c r="V367" i="1"/>
  <c r="W367" i="1" s="1"/>
  <c r="T163" i="2"/>
  <c r="V366" i="1" s="1"/>
  <c r="W366" i="1" s="1"/>
  <c r="T162" i="2"/>
  <c r="V365" i="1"/>
  <c r="W365" i="1" s="1"/>
  <c r="T161" i="2"/>
  <c r="V364" i="1" s="1"/>
  <c r="W364" i="1" s="1"/>
  <c r="V362" i="1"/>
  <c r="W362" i="1" s="1"/>
  <c r="V359" i="1"/>
  <c r="W359" i="1" s="1"/>
  <c r="T155" i="2"/>
  <c r="V358" i="1"/>
  <c r="W358" i="1" s="1"/>
  <c r="T154" i="2"/>
  <c r="V357" i="1" s="1"/>
  <c r="W357" i="1" s="1"/>
  <c r="T153" i="2"/>
  <c r="V356" i="1"/>
  <c r="W356" i="1" s="1"/>
  <c r="T152" i="2"/>
  <c r="V355" i="1" s="1"/>
  <c r="W355" i="1" s="1"/>
  <c r="D865" i="1"/>
  <c r="C865" i="1"/>
  <c r="S865" i="1"/>
  <c r="C887" i="1"/>
  <c r="Q887" i="1"/>
  <c r="S887" i="1"/>
  <c r="H355" i="1"/>
  <c r="D883" i="1"/>
  <c r="D884" i="1"/>
  <c r="D885" i="1"/>
  <c r="D886" i="1"/>
  <c r="D882" i="1"/>
  <c r="S864" i="1"/>
  <c r="S883" i="1"/>
  <c r="S884" i="1"/>
  <c r="S885" i="1"/>
  <c r="S886" i="1"/>
  <c r="S882" i="1"/>
  <c r="Q883" i="1"/>
  <c r="Q884" i="1"/>
  <c r="Q885" i="1"/>
  <c r="Q886" i="1"/>
  <c r="Q882" i="1"/>
  <c r="C883" i="1"/>
  <c r="C884" i="1"/>
  <c r="C885" i="1"/>
  <c r="C886" i="1"/>
  <c r="C882" i="1"/>
  <c r="U64" i="1"/>
  <c r="AW3" i="1"/>
  <c r="AK3" i="1"/>
  <c r="P465" i="1"/>
  <c r="P451" i="1"/>
  <c r="P452" i="1"/>
  <c r="P455" i="1"/>
  <c r="P312" i="1"/>
  <c r="P208" i="1"/>
  <c r="P209" i="1"/>
  <c r="P210" i="1"/>
  <c r="P211" i="1"/>
  <c r="P212" i="1"/>
  <c r="P213" i="1"/>
  <c r="P214" i="1"/>
  <c r="P216" i="1"/>
  <c r="P217" i="1"/>
  <c r="P21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188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5" i="1"/>
  <c r="P86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23" i="1"/>
  <c r="U68" i="1"/>
  <c r="U100" i="1"/>
  <c r="U144" i="1"/>
  <c r="U161" i="1"/>
  <c r="U356" i="1"/>
  <c r="U361" i="1"/>
  <c r="U374" i="1"/>
  <c r="U381" i="1"/>
  <c r="U390" i="1"/>
  <c r="U403" i="1"/>
  <c r="U420" i="1"/>
  <c r="U435" i="1"/>
  <c r="U441" i="1"/>
  <c r="U446" i="1"/>
  <c r="U447" i="1"/>
  <c r="U261" i="1"/>
  <c r="U285" i="1"/>
  <c r="U294" i="1"/>
  <c r="U297" i="1"/>
  <c r="U300" i="1"/>
  <c r="U305" i="1"/>
  <c r="U311" i="1"/>
  <c r="T885" i="2"/>
  <c r="V628" i="1"/>
  <c r="W628" i="1" s="1"/>
  <c r="T884" i="2"/>
  <c r="V627" i="1" s="1"/>
  <c r="W627" i="1" s="1"/>
  <c r="T883" i="2"/>
  <c r="V626" i="1"/>
  <c r="W626" i="1" s="1"/>
  <c r="T882" i="2"/>
  <c r="V625" i="1" s="1"/>
  <c r="W625" i="1" s="1"/>
  <c r="T881" i="2"/>
  <c r="V624" i="1"/>
  <c r="W624" i="1" s="1"/>
  <c r="T607" i="2"/>
  <c r="V665" i="1" s="1"/>
  <c r="W665" i="1" s="1"/>
  <c r="T608" i="2"/>
  <c r="V666" i="1"/>
  <c r="W666" i="1" s="1"/>
  <c r="T609" i="2"/>
  <c r="V667" i="1" s="1"/>
  <c r="W667" i="1" s="1"/>
  <c r="T610" i="2"/>
  <c r="V668" i="1"/>
  <c r="W668" i="1" s="1"/>
  <c r="T611" i="2"/>
  <c r="V669" i="1" s="1"/>
  <c r="W669" i="1" s="1"/>
  <c r="T612" i="2"/>
  <c r="V670" i="1"/>
  <c r="T613" i="2"/>
  <c r="T614" i="2"/>
  <c r="T615" i="2"/>
  <c r="T616" i="2"/>
  <c r="T617" i="2"/>
  <c r="T618" i="2"/>
  <c r="T619" i="2"/>
  <c r="T620" i="2"/>
  <c r="V675" i="1" s="1"/>
  <c r="W675" i="1" s="1"/>
  <c r="T621" i="2"/>
  <c r="V676" i="1"/>
  <c r="W676" i="1" s="1"/>
  <c r="T622" i="2"/>
  <c r="V677" i="1" s="1"/>
  <c r="W677" i="1" s="1"/>
  <c r="T623" i="2"/>
  <c r="V678" i="1"/>
  <c r="W678" i="1" s="1"/>
  <c r="T624" i="2"/>
  <c r="V679" i="1" s="1"/>
  <c r="W679" i="1" s="1"/>
  <c r="T625" i="2"/>
  <c r="V680" i="1"/>
  <c r="W680" i="1" s="1"/>
  <c r="T626" i="2"/>
  <c r="V681" i="1" s="1"/>
  <c r="W681" i="1" s="1"/>
  <c r="T627" i="2"/>
  <c r="V682" i="1"/>
  <c r="W682" i="1" s="1"/>
  <c r="T628" i="2"/>
  <c r="V683" i="1" s="1"/>
  <c r="W683" i="1" s="1"/>
  <c r="T629" i="2"/>
  <c r="V684" i="1"/>
  <c r="W684" i="1" s="1"/>
  <c r="T630" i="2"/>
  <c r="V685" i="1" s="1"/>
  <c r="W685" i="1" s="1"/>
  <c r="T631" i="2"/>
  <c r="V686" i="1"/>
  <c r="W686" i="1" s="1"/>
  <c r="T632" i="2"/>
  <c r="V687" i="1" s="1"/>
  <c r="W687" i="1" s="1"/>
  <c r="T633" i="2"/>
  <c r="V688" i="1"/>
  <c r="W688" i="1" s="1"/>
  <c r="T634" i="2"/>
  <c r="V689" i="1" s="1"/>
  <c r="W689" i="1" s="1"/>
  <c r="T635" i="2"/>
  <c r="V690" i="1"/>
  <c r="W690" i="1" s="1"/>
  <c r="T636" i="2"/>
  <c r="V691" i="1" s="1"/>
  <c r="W691" i="1" s="1"/>
  <c r="T637" i="2"/>
  <c r="V692" i="1"/>
  <c r="W692" i="1" s="1"/>
  <c r="T638" i="2"/>
  <c r="V693" i="1" s="1"/>
  <c r="W693" i="1" s="1"/>
  <c r="T639" i="2"/>
  <c r="V694" i="1"/>
  <c r="W694" i="1" s="1"/>
  <c r="T640" i="2"/>
  <c r="V695" i="1" s="1"/>
  <c r="W695" i="1" s="1"/>
  <c r="T641" i="2"/>
  <c r="V696" i="1"/>
  <c r="W696" i="1" s="1"/>
  <c r="T642" i="2"/>
  <c r="V697" i="1" s="1"/>
  <c r="W697" i="1" s="1"/>
  <c r="T643" i="2"/>
  <c r="V698" i="1"/>
  <c r="W698" i="1" s="1"/>
  <c r="T644" i="2"/>
  <c r="V699" i="1" s="1"/>
  <c r="W699" i="1" s="1"/>
  <c r="T645" i="2"/>
  <c r="V700" i="1"/>
  <c r="W700" i="1" s="1"/>
  <c r="T646" i="2"/>
  <c r="V701" i="1" s="1"/>
  <c r="W701" i="1" s="1"/>
  <c r="T647" i="2"/>
  <c r="V702" i="1"/>
  <c r="W702" i="1" s="1"/>
  <c r="T648" i="2"/>
  <c r="V703" i="1" s="1"/>
  <c r="W703" i="1" s="1"/>
  <c r="T649" i="2"/>
  <c r="V704" i="1"/>
  <c r="W704" i="1" s="1"/>
  <c r="T650" i="2"/>
  <c r="V705" i="1" s="1"/>
  <c r="W705" i="1" s="1"/>
  <c r="T651" i="2"/>
  <c r="V706" i="1"/>
  <c r="W706" i="1" s="1"/>
  <c r="T652" i="2"/>
  <c r="V707" i="1" s="1"/>
  <c r="W707" i="1" s="1"/>
  <c r="T653" i="2"/>
  <c r="V708" i="1"/>
  <c r="W708" i="1" s="1"/>
  <c r="T654" i="2"/>
  <c r="V709" i="1" s="1"/>
  <c r="W709" i="1" s="1"/>
  <c r="T655" i="2"/>
  <c r="V710" i="1"/>
  <c r="W710" i="1" s="1"/>
  <c r="T656" i="2"/>
  <c r="V711" i="1" s="1"/>
  <c r="W711" i="1" s="1"/>
  <c r="T657" i="2"/>
  <c r="V712" i="1"/>
  <c r="W712" i="1" s="1"/>
  <c r="T658" i="2"/>
  <c r="V713" i="1" s="1"/>
  <c r="W713" i="1" s="1"/>
  <c r="T659" i="2"/>
  <c r="V714" i="1"/>
  <c r="W714" i="1" s="1"/>
  <c r="T660" i="2"/>
  <c r="V715" i="1" s="1"/>
  <c r="W715" i="1" s="1"/>
  <c r="T661" i="2"/>
  <c r="V716" i="1"/>
  <c r="W716" i="1" s="1"/>
  <c r="T662" i="2"/>
  <c r="V717" i="1" s="1"/>
  <c r="W717" i="1" s="1"/>
  <c r="T663" i="2"/>
  <c r="V718" i="1"/>
  <c r="W718" i="1" s="1"/>
  <c r="T664" i="2"/>
  <c r="V719" i="1" s="1"/>
  <c r="W719" i="1" s="1"/>
  <c r="T665" i="2"/>
  <c r="V720" i="1"/>
  <c r="W720" i="1" s="1"/>
  <c r="T666" i="2"/>
  <c r="V725" i="1" s="1"/>
  <c r="T667" i="2"/>
  <c r="V726" i="1" s="1"/>
  <c r="T668" i="2"/>
  <c r="V727" i="1" s="1"/>
  <c r="T669" i="2"/>
  <c r="V728" i="1" s="1"/>
  <c r="T670" i="2"/>
  <c r="V729" i="1" s="1"/>
  <c r="T671" i="2"/>
  <c r="V730" i="1" s="1"/>
  <c r="T672" i="2"/>
  <c r="V731" i="1" s="1"/>
  <c r="T673" i="2"/>
  <c r="V732" i="1" s="1"/>
  <c r="T674" i="2"/>
  <c r="V733" i="1" s="1"/>
  <c r="T675" i="2"/>
  <c r="V734" i="1" s="1"/>
  <c r="T676" i="2"/>
  <c r="V735" i="1" s="1"/>
  <c r="T677" i="2"/>
  <c r="V736" i="1" s="1"/>
  <c r="T606" i="2"/>
  <c r="V664" i="1" s="1"/>
  <c r="W664" i="1" s="1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V655" i="1"/>
  <c r="W655" i="1" s="1"/>
  <c r="T600" i="2"/>
  <c r="V656" i="1" s="1"/>
  <c r="W656" i="1" s="1"/>
  <c r="T601" i="2"/>
  <c r="V657" i="1"/>
  <c r="W657" i="1" s="1"/>
  <c r="T602" i="2"/>
  <c r="V658" i="1" s="1"/>
  <c r="W658" i="1" s="1"/>
  <c r="T603" i="2"/>
  <c r="V659" i="1"/>
  <c r="W659" i="1" s="1"/>
  <c r="T558" i="2"/>
  <c r="U842" i="1"/>
  <c r="U843" i="1"/>
  <c r="V843" i="1"/>
  <c r="W843" i="1" s="1"/>
  <c r="U844" i="1"/>
  <c r="U845" i="1"/>
  <c r="V845" i="1"/>
  <c r="W845" i="1" s="1"/>
  <c r="U846" i="1"/>
  <c r="V846" i="1"/>
  <c r="W846" i="1" s="1"/>
  <c r="U847" i="1"/>
  <c r="V847" i="1"/>
  <c r="W847" i="1" s="1"/>
  <c r="U848" i="1"/>
  <c r="V848" i="1"/>
  <c r="W848" i="1" s="1"/>
  <c r="U849" i="1"/>
  <c r="V849" i="1"/>
  <c r="W849" i="1" s="1"/>
  <c r="U850" i="1"/>
  <c r="V850" i="1"/>
  <c r="W850" i="1" s="1"/>
  <c r="U851" i="1"/>
  <c r="U841" i="1"/>
  <c r="V841" i="1"/>
  <c r="W841" i="1" s="1"/>
  <c r="T842" i="1"/>
  <c r="C842" i="1" s="1"/>
  <c r="T843" i="1"/>
  <c r="C843" i="1" s="1"/>
  <c r="T844" i="1"/>
  <c r="C844" i="1" s="1"/>
  <c r="T845" i="1"/>
  <c r="C845" i="1" s="1"/>
  <c r="T846" i="1"/>
  <c r="C846" i="1" s="1"/>
  <c r="T847" i="1"/>
  <c r="C847" i="1" s="1"/>
  <c r="T848" i="1"/>
  <c r="C848" i="1" s="1"/>
  <c r="T849" i="1"/>
  <c r="C849" i="1" s="1"/>
  <c r="T850" i="1"/>
  <c r="C850" i="1" s="1"/>
  <c r="T851" i="1"/>
  <c r="C851" i="1" s="1"/>
  <c r="T841" i="1"/>
  <c r="C841" i="1" s="1"/>
  <c r="U832" i="1"/>
  <c r="V832" i="1"/>
  <c r="U833" i="1"/>
  <c r="V833" i="1"/>
  <c r="U834" i="1"/>
  <c r="V834" i="1"/>
  <c r="U835" i="1"/>
  <c r="V835" i="1"/>
  <c r="U836" i="1"/>
  <c r="V836" i="1"/>
  <c r="U589" i="1"/>
  <c r="V589" i="1"/>
  <c r="W589" i="1" s="1"/>
  <c r="U590" i="1"/>
  <c r="V590" i="1"/>
  <c r="W590" i="1" s="1"/>
  <c r="U591" i="1"/>
  <c r="V591" i="1"/>
  <c r="W591" i="1" s="1"/>
  <c r="U599" i="1"/>
  <c r="U600" i="1"/>
  <c r="U821" i="1"/>
  <c r="U822" i="1"/>
  <c r="U823" i="1"/>
  <c r="U824" i="1"/>
  <c r="U825" i="1"/>
  <c r="U826" i="1"/>
  <c r="U820" i="1"/>
  <c r="U810" i="1"/>
  <c r="V810" i="1"/>
  <c r="W810" i="1" s="1"/>
  <c r="U811" i="1"/>
  <c r="V811" i="1"/>
  <c r="W811" i="1" s="1"/>
  <c r="U812" i="1"/>
  <c r="V812" i="1"/>
  <c r="W812" i="1" s="1"/>
  <c r="U813" i="1"/>
  <c r="V813" i="1"/>
  <c r="W813" i="1" s="1"/>
  <c r="U814" i="1"/>
  <c r="V814" i="1"/>
  <c r="W814" i="1" s="1"/>
  <c r="U815" i="1"/>
  <c r="V815" i="1"/>
  <c r="W815" i="1" s="1"/>
  <c r="U809" i="1"/>
  <c r="V809" i="1"/>
  <c r="W809" i="1" s="1"/>
  <c r="U801" i="1"/>
  <c r="V801" i="1"/>
  <c r="W801" i="1" s="1"/>
  <c r="U802" i="1"/>
  <c r="V802" i="1"/>
  <c r="W802" i="1" s="1"/>
  <c r="U803" i="1"/>
  <c r="V803" i="1"/>
  <c r="W803" i="1" s="1"/>
  <c r="U804" i="1"/>
  <c r="V804" i="1"/>
  <c r="W804" i="1" s="1"/>
  <c r="U800" i="1"/>
  <c r="V800" i="1"/>
  <c r="W800" i="1" s="1"/>
  <c r="U742" i="1"/>
  <c r="V742" i="1"/>
  <c r="W742" i="1" s="1"/>
  <c r="U743" i="1"/>
  <c r="U744" i="1"/>
  <c r="V744" i="1"/>
  <c r="W744" i="1" s="1"/>
  <c r="U745" i="1"/>
  <c r="U746" i="1"/>
  <c r="U747" i="1"/>
  <c r="U748" i="1"/>
  <c r="V748" i="1"/>
  <c r="W748" i="1" s="1"/>
  <c r="U749" i="1"/>
  <c r="V749" i="1"/>
  <c r="W749" i="1" s="1"/>
  <c r="U750" i="1"/>
  <c r="V750" i="1"/>
  <c r="W750" i="1" s="1"/>
  <c r="U751" i="1"/>
  <c r="V751" i="1"/>
  <c r="W751" i="1" s="1"/>
  <c r="U752" i="1"/>
  <c r="U753" i="1"/>
  <c r="U754" i="1"/>
  <c r="V754" i="1"/>
  <c r="W754" i="1" s="1"/>
  <c r="U755" i="1"/>
  <c r="U756" i="1"/>
  <c r="U757" i="1"/>
  <c r="U758" i="1"/>
  <c r="V758" i="1"/>
  <c r="W758" i="1" s="1"/>
  <c r="U759" i="1"/>
  <c r="U760" i="1"/>
  <c r="U761" i="1"/>
  <c r="V761" i="1"/>
  <c r="W761" i="1" s="1"/>
  <c r="U762" i="1"/>
  <c r="V762" i="1"/>
  <c r="W762" i="1" s="1"/>
  <c r="U763" i="1"/>
  <c r="V763" i="1"/>
  <c r="W763" i="1" s="1"/>
  <c r="U764" i="1"/>
  <c r="V764" i="1"/>
  <c r="W764" i="1" s="1"/>
  <c r="U765" i="1"/>
  <c r="U766" i="1"/>
  <c r="V766" i="1"/>
  <c r="W766" i="1" s="1"/>
  <c r="U767" i="1"/>
  <c r="U768" i="1"/>
  <c r="V768" i="1"/>
  <c r="W768" i="1" s="1"/>
  <c r="U769" i="1"/>
  <c r="U770" i="1"/>
  <c r="U771" i="1"/>
  <c r="U772" i="1"/>
  <c r="U773" i="1"/>
  <c r="U774" i="1"/>
  <c r="U775" i="1"/>
  <c r="U776" i="1"/>
  <c r="U777" i="1"/>
  <c r="U778" i="1"/>
  <c r="U741" i="1"/>
  <c r="U792" i="1"/>
  <c r="V792" i="1"/>
  <c r="W792" i="1" s="1"/>
  <c r="U793" i="1"/>
  <c r="V793" i="1"/>
  <c r="W793" i="1" s="1"/>
  <c r="U794" i="1"/>
  <c r="V794" i="1"/>
  <c r="W794" i="1" s="1"/>
  <c r="U795" i="1"/>
  <c r="V795" i="1"/>
  <c r="W795" i="1" s="1"/>
  <c r="U791" i="1"/>
  <c r="V791" i="1"/>
  <c r="W791" i="1" s="1"/>
  <c r="U726" i="1"/>
  <c r="U727" i="1"/>
  <c r="U728" i="1"/>
  <c r="U729" i="1"/>
  <c r="U730" i="1"/>
  <c r="U731" i="1"/>
  <c r="U732" i="1"/>
  <c r="U733" i="1"/>
  <c r="U734" i="1"/>
  <c r="U735" i="1"/>
  <c r="U736" i="1"/>
  <c r="U72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675" i="1"/>
  <c r="U665" i="1"/>
  <c r="U666" i="1"/>
  <c r="U667" i="1"/>
  <c r="U668" i="1"/>
  <c r="U669" i="1"/>
  <c r="U670" i="1"/>
  <c r="U664" i="1"/>
  <c r="U656" i="1"/>
  <c r="U657" i="1"/>
  <c r="U658" i="1"/>
  <c r="U659" i="1"/>
  <c r="U655" i="1"/>
  <c r="U639" i="1"/>
  <c r="V639" i="1"/>
  <c r="W639" i="1" s="1"/>
  <c r="U640" i="1"/>
  <c r="V640" i="1"/>
  <c r="W640" i="1" s="1"/>
  <c r="U641" i="1"/>
  <c r="V641" i="1"/>
  <c r="W641" i="1" s="1"/>
  <c r="U642" i="1"/>
  <c r="V642" i="1"/>
  <c r="W642" i="1" s="1"/>
  <c r="U643" i="1"/>
  <c r="V643" i="1"/>
  <c r="W643" i="1" s="1"/>
  <c r="U644" i="1"/>
  <c r="V644" i="1"/>
  <c r="U638" i="1"/>
  <c r="V638" i="1"/>
  <c r="W638" i="1" s="1"/>
  <c r="U625" i="1"/>
  <c r="U626" i="1"/>
  <c r="U627" i="1"/>
  <c r="U628" i="1"/>
  <c r="U624" i="1"/>
  <c r="T625" i="1"/>
  <c r="C625" i="1" s="1"/>
  <c r="T626" i="1"/>
  <c r="C626" i="1" s="1"/>
  <c r="T627" i="1"/>
  <c r="C627" i="1" s="1"/>
  <c r="T628" i="1"/>
  <c r="C628" i="1" s="1"/>
  <c r="T624" i="1"/>
  <c r="C624" i="1" s="1"/>
  <c r="T861" i="2"/>
  <c r="V566" i="1" s="1"/>
  <c r="W566" i="1" s="1"/>
  <c r="T862" i="2"/>
  <c r="T863" i="2"/>
  <c r="V568" i="1" s="1"/>
  <c r="W568" i="1" s="1"/>
  <c r="T864" i="2"/>
  <c r="T865" i="2"/>
  <c r="V570" i="1" s="1"/>
  <c r="W570" i="1" s="1"/>
  <c r="T866" i="2"/>
  <c r="V571" i="1"/>
  <c r="W571" i="1" s="1"/>
  <c r="T867" i="2"/>
  <c r="V572" i="1" s="1"/>
  <c r="W572" i="1" s="1"/>
  <c r="T868" i="2"/>
  <c r="V573" i="1"/>
  <c r="W573" i="1" s="1"/>
  <c r="T869" i="2"/>
  <c r="V574" i="1" s="1"/>
  <c r="W574" i="1" s="1"/>
  <c r="T870" i="2"/>
  <c r="V575" i="1"/>
  <c r="W575" i="1" s="1"/>
  <c r="T871" i="2"/>
  <c r="V576" i="1" s="1"/>
  <c r="W576" i="1" s="1"/>
  <c r="T860" i="2"/>
  <c r="U566" i="1"/>
  <c r="U567" i="1"/>
  <c r="U568" i="1"/>
  <c r="U569" i="1"/>
  <c r="U570" i="1"/>
  <c r="U571" i="1"/>
  <c r="U572" i="1"/>
  <c r="U573" i="1"/>
  <c r="U574" i="1"/>
  <c r="U575" i="1"/>
  <c r="U576" i="1"/>
  <c r="U565" i="1"/>
  <c r="U551" i="1"/>
  <c r="U552" i="1"/>
  <c r="U553" i="1"/>
  <c r="U554" i="1"/>
  <c r="U555" i="1"/>
  <c r="U556" i="1"/>
  <c r="U557" i="1"/>
  <c r="U558" i="1"/>
  <c r="U559" i="1"/>
  <c r="U560" i="1"/>
  <c r="U550" i="1"/>
  <c r="U533" i="1"/>
  <c r="U534" i="1"/>
  <c r="U535" i="1"/>
  <c r="U536" i="1"/>
  <c r="U538" i="1"/>
  <c r="U539" i="1"/>
  <c r="U540" i="1"/>
  <c r="U541" i="1"/>
  <c r="U542" i="1"/>
  <c r="U543" i="1"/>
  <c r="U545" i="1"/>
  <c r="V545" i="1"/>
  <c r="U532" i="1"/>
  <c r="V532" i="1"/>
  <c r="W532" i="1" s="1"/>
  <c r="U357" i="1"/>
  <c r="U66" i="1"/>
  <c r="U135" i="1"/>
  <c r="U168" i="1"/>
  <c r="U23" i="1"/>
  <c r="U366" i="1"/>
  <c r="U373" i="1"/>
  <c r="V378" i="1"/>
  <c r="W378" i="1" s="1"/>
  <c r="U388" i="1"/>
  <c r="U392" i="1"/>
  <c r="V400" i="1"/>
  <c r="W400" i="1" s="1"/>
  <c r="V403" i="1"/>
  <c r="W403" i="1" s="1"/>
  <c r="U407" i="1"/>
  <c r="V415" i="1"/>
  <c r="W415" i="1" s="1"/>
  <c r="U418" i="1"/>
  <c r="V422" i="1"/>
  <c r="W422" i="1" s="1"/>
  <c r="V424" i="1"/>
  <c r="W424" i="1" s="1"/>
  <c r="U433" i="1"/>
  <c r="V446" i="1"/>
  <c r="W446" i="1" s="1"/>
  <c r="V336" i="1"/>
  <c r="W336" i="1" s="1"/>
  <c r="V337" i="1"/>
  <c r="W337" i="1" s="1"/>
  <c r="V338" i="1"/>
  <c r="W338" i="1" s="1"/>
  <c r="V334" i="1"/>
  <c r="W334" i="1" s="1"/>
  <c r="V259" i="1"/>
  <c r="W259" i="1" s="1"/>
  <c r="V260" i="1"/>
  <c r="W260" i="1" s="1"/>
  <c r="V261" i="1"/>
  <c r="W261" i="1" s="1"/>
  <c r="V262" i="1"/>
  <c r="W262" i="1" s="1"/>
  <c r="V267" i="1"/>
  <c r="W267" i="1" s="1"/>
  <c r="V269" i="1"/>
  <c r="W269" i="1" s="1"/>
  <c r="V271" i="1"/>
  <c r="W271" i="1" s="1"/>
  <c r="U291" i="1"/>
  <c r="V296" i="1"/>
  <c r="W296" i="1" s="1"/>
  <c r="U303" i="1"/>
  <c r="U307" i="1"/>
  <c r="V308" i="1"/>
  <c r="W308" i="1" s="1"/>
  <c r="V310" i="1"/>
  <c r="W310" i="1" s="1"/>
  <c r="V311" i="1"/>
  <c r="W311" i="1" s="1"/>
  <c r="U312" i="1"/>
  <c r="U315" i="1"/>
  <c r="V316" i="1"/>
  <c r="W316" i="1" s="1"/>
  <c r="V317" i="1"/>
  <c r="W317" i="1" s="1"/>
  <c r="V320" i="1"/>
  <c r="W320" i="1" s="1"/>
  <c r="U322" i="1"/>
  <c r="U324" i="1"/>
  <c r="V324" i="1"/>
  <c r="W324" i="1" s="1"/>
  <c r="U325" i="1"/>
  <c r="U328" i="1"/>
  <c r="V329" i="1"/>
  <c r="W329" i="1" s="1"/>
  <c r="U208" i="1"/>
  <c r="U209" i="1"/>
  <c r="U210" i="1"/>
  <c r="U211" i="1"/>
  <c r="U212" i="1"/>
  <c r="U213" i="1"/>
  <c r="U214" i="1"/>
  <c r="U216" i="1"/>
  <c r="U217" i="1"/>
  <c r="U218" i="1"/>
  <c r="U207" i="1"/>
  <c r="U189" i="1"/>
  <c r="V189" i="1"/>
  <c r="W189" i="1" s="1"/>
  <c r="U190" i="1"/>
  <c r="V190" i="1"/>
  <c r="W190" i="1" s="1"/>
  <c r="U191" i="1"/>
  <c r="V191" i="1"/>
  <c r="W191" i="1" s="1"/>
  <c r="U192" i="1"/>
  <c r="V192" i="1"/>
  <c r="W192" i="1" s="1"/>
  <c r="U193" i="1"/>
  <c r="V193" i="1"/>
  <c r="W193" i="1" s="1"/>
  <c r="U194" i="1"/>
  <c r="V194" i="1"/>
  <c r="W194" i="1" s="1"/>
  <c r="U195" i="1"/>
  <c r="V195" i="1"/>
  <c r="W195" i="1" s="1"/>
  <c r="U196" i="1"/>
  <c r="V196" i="1"/>
  <c r="W196" i="1" s="1"/>
  <c r="U197" i="1"/>
  <c r="V197" i="1"/>
  <c r="W197" i="1" s="1"/>
  <c r="U198" i="1"/>
  <c r="V198" i="1"/>
  <c r="W198" i="1" s="1"/>
  <c r="U199" i="1"/>
  <c r="V199" i="1"/>
  <c r="W199" i="1" s="1"/>
  <c r="U200" i="1"/>
  <c r="V200" i="1"/>
  <c r="W200" i="1" s="1"/>
  <c r="U201" i="1"/>
  <c r="V201" i="1"/>
  <c r="W201" i="1" s="1"/>
  <c r="U202" i="1"/>
  <c r="V202" i="1"/>
  <c r="W202" i="1" s="1"/>
  <c r="U188" i="1"/>
  <c r="V188" i="1"/>
  <c r="W188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U30" i="1"/>
  <c r="V30" i="1"/>
  <c r="W30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U51" i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U57" i="1"/>
  <c r="V57" i="1"/>
  <c r="W57" i="1" s="1"/>
  <c r="V58" i="1"/>
  <c r="W58" i="1" s="1"/>
  <c r="V59" i="1"/>
  <c r="W59" i="1" s="1"/>
  <c r="V60" i="1"/>
  <c r="W60" i="1" s="1"/>
  <c r="V61" i="1"/>
  <c r="W61" i="1" s="1"/>
  <c r="U62" i="1"/>
  <c r="V62" i="1"/>
  <c r="W62" i="1" s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1" i="1"/>
  <c r="W71" i="1" s="1"/>
  <c r="V72" i="1"/>
  <c r="W72" i="1" s="1"/>
  <c r="U73" i="1"/>
  <c r="V73" i="1"/>
  <c r="W73" i="1" s="1"/>
  <c r="V74" i="1"/>
  <c r="W74" i="1" s="1"/>
  <c r="V75" i="1"/>
  <c r="W75" i="1" s="1"/>
  <c r="V77" i="1"/>
  <c r="W77" i="1" s="1"/>
  <c r="U82" i="1"/>
  <c r="U90" i="1"/>
  <c r="V93" i="1"/>
  <c r="W93" i="1" s="1"/>
  <c r="V94" i="1"/>
  <c r="W94" i="1" s="1"/>
  <c r="V95" i="1"/>
  <c r="W95" i="1" s="1"/>
  <c r="V96" i="1"/>
  <c r="W96" i="1" s="1"/>
  <c r="V97" i="1"/>
  <c r="W97" i="1" s="1"/>
  <c r="V98" i="1"/>
  <c r="W98" i="1" s="1"/>
  <c r="V99" i="1"/>
  <c r="W99" i="1" s="1"/>
  <c r="V100" i="1"/>
  <c r="W100" i="1" s="1"/>
  <c r="U101" i="1"/>
  <c r="V101" i="1"/>
  <c r="W101" i="1" s="1"/>
  <c r="V102" i="1"/>
  <c r="W102" i="1" s="1"/>
  <c r="V103" i="1"/>
  <c r="W103" i="1" s="1"/>
  <c r="U104" i="1"/>
  <c r="V104" i="1"/>
  <c r="W104" i="1" s="1"/>
  <c r="V105" i="1"/>
  <c r="W105" i="1" s="1"/>
  <c r="U106" i="1"/>
  <c r="V106" i="1"/>
  <c r="W106" i="1" s="1"/>
  <c r="V107" i="1"/>
  <c r="W107" i="1" s="1"/>
  <c r="V108" i="1"/>
  <c r="W108" i="1" s="1"/>
  <c r="V109" i="1"/>
  <c r="W109" i="1" s="1"/>
  <c r="V110" i="1"/>
  <c r="W110" i="1" s="1"/>
  <c r="V111" i="1"/>
  <c r="W111" i="1" s="1"/>
  <c r="V112" i="1"/>
  <c r="W112" i="1" s="1"/>
  <c r="V113" i="1"/>
  <c r="W113" i="1" s="1"/>
  <c r="V114" i="1"/>
  <c r="W114" i="1" s="1"/>
  <c r="V115" i="1"/>
  <c r="W115" i="1" s="1"/>
  <c r="V116" i="1"/>
  <c r="W116" i="1" s="1"/>
  <c r="V117" i="1"/>
  <c r="W117" i="1" s="1"/>
  <c r="V118" i="1"/>
  <c r="W118" i="1" s="1"/>
  <c r="U120" i="1"/>
  <c r="U126" i="1"/>
  <c r="U129" i="1"/>
  <c r="V129" i="1"/>
  <c r="W129" i="1" s="1"/>
  <c r="V130" i="1"/>
  <c r="W130" i="1" s="1"/>
  <c r="U131" i="1"/>
  <c r="V131" i="1"/>
  <c r="W131" i="1" s="1"/>
  <c r="V132" i="1"/>
  <c r="W132" i="1" s="1"/>
  <c r="U133" i="1"/>
  <c r="V133" i="1"/>
  <c r="W133" i="1" s="1"/>
  <c r="V134" i="1"/>
  <c r="W134" i="1" s="1"/>
  <c r="V135" i="1"/>
  <c r="W135" i="1" s="1"/>
  <c r="V136" i="1"/>
  <c r="W136" i="1" s="1"/>
  <c r="V137" i="1"/>
  <c r="W137" i="1" s="1"/>
  <c r="V138" i="1"/>
  <c r="W138" i="1" s="1"/>
  <c r="U139" i="1"/>
  <c r="V139" i="1"/>
  <c r="W139" i="1" s="1"/>
  <c r="V140" i="1"/>
  <c r="W140" i="1" s="1"/>
  <c r="V142" i="1"/>
  <c r="W142" i="1" s="1"/>
  <c r="V143" i="1"/>
  <c r="W143" i="1" s="1"/>
  <c r="V144" i="1"/>
  <c r="W144" i="1" s="1"/>
  <c r="V145" i="1"/>
  <c r="W145" i="1" s="1"/>
  <c r="V146" i="1"/>
  <c r="W146" i="1" s="1"/>
  <c r="U147" i="1"/>
  <c r="V147" i="1"/>
  <c r="W147" i="1" s="1"/>
  <c r="U148" i="1"/>
  <c r="V148" i="1"/>
  <c r="W148" i="1" s="1"/>
  <c r="U149" i="1"/>
  <c r="V149" i="1"/>
  <c r="W149" i="1" s="1"/>
  <c r="U150" i="1"/>
  <c r="V150" i="1"/>
  <c r="W150" i="1" s="1"/>
  <c r="U151" i="1"/>
  <c r="V151" i="1"/>
  <c r="W151" i="1" s="1"/>
  <c r="V152" i="1"/>
  <c r="W152" i="1" s="1"/>
  <c r="V153" i="1"/>
  <c r="W153" i="1" s="1"/>
  <c r="V154" i="1"/>
  <c r="W154" i="1" s="1"/>
  <c r="V155" i="1"/>
  <c r="W155" i="1" s="1"/>
  <c r="V156" i="1"/>
  <c r="W156" i="1" s="1"/>
  <c r="U157" i="1"/>
  <c r="V157" i="1"/>
  <c r="W157" i="1" s="1"/>
  <c r="V158" i="1"/>
  <c r="W158" i="1" s="1"/>
  <c r="V159" i="1"/>
  <c r="W159" i="1" s="1"/>
  <c r="V160" i="1"/>
  <c r="W160" i="1" s="1"/>
  <c r="V161" i="1"/>
  <c r="W161" i="1" s="1"/>
  <c r="V162" i="1"/>
  <c r="W162" i="1" s="1"/>
  <c r="V163" i="1"/>
  <c r="W163" i="1" s="1"/>
  <c r="V164" i="1"/>
  <c r="W164" i="1" s="1"/>
  <c r="V165" i="1"/>
  <c r="W165" i="1" s="1"/>
  <c r="V166" i="1"/>
  <c r="W166" i="1" s="1"/>
  <c r="V167" i="1"/>
  <c r="W167" i="1" s="1"/>
  <c r="V168" i="1"/>
  <c r="W168" i="1" s="1"/>
  <c r="V169" i="1"/>
  <c r="W169" i="1" s="1"/>
  <c r="V170" i="1"/>
  <c r="W170" i="1" s="1"/>
  <c r="V23" i="1"/>
  <c r="W23" i="1" s="1"/>
  <c r="T525" i="2"/>
  <c r="V826" i="1"/>
  <c r="W826" i="1" s="1"/>
  <c r="T524" i="2"/>
  <c r="V825" i="1" s="1"/>
  <c r="W825" i="1" s="1"/>
  <c r="T523" i="2"/>
  <c r="V824" i="1"/>
  <c r="W824" i="1" s="1"/>
  <c r="T522" i="2"/>
  <c r="V823" i="1" s="1"/>
  <c r="W823" i="1" s="1"/>
  <c r="T521" i="2"/>
  <c r="V822" i="1"/>
  <c r="W822" i="1" s="1"/>
  <c r="T520" i="2"/>
  <c r="V821" i="1" s="1"/>
  <c r="W821" i="1" s="1"/>
  <c r="T519" i="2"/>
  <c r="V820" i="1"/>
  <c r="W820" i="1" s="1"/>
  <c r="V218" i="1"/>
  <c r="W218" i="1" s="1"/>
  <c r="V217" i="1"/>
  <c r="W217" i="1" s="1"/>
  <c r="V216" i="1"/>
  <c r="W216" i="1" s="1"/>
  <c r="V214" i="1"/>
  <c r="W214" i="1" s="1"/>
  <c r="V213" i="1"/>
  <c r="W213" i="1" s="1"/>
  <c r="V212" i="1"/>
  <c r="W212" i="1" s="1"/>
  <c r="V211" i="1"/>
  <c r="W211" i="1" s="1"/>
  <c r="V210" i="1"/>
  <c r="W210" i="1" s="1"/>
  <c r="V209" i="1"/>
  <c r="W209" i="1" s="1"/>
  <c r="V208" i="1"/>
  <c r="W208" i="1" s="1"/>
  <c r="V207" i="1"/>
  <c r="W207" i="1" s="1"/>
  <c r="T455" i="2"/>
  <c r="T451" i="2"/>
  <c r="T450" i="2"/>
  <c r="T424" i="2"/>
  <c r="V551" i="1"/>
  <c r="W551" i="1" s="1"/>
  <c r="T425" i="2"/>
  <c r="V552" i="1" s="1"/>
  <c r="W552" i="1" s="1"/>
  <c r="T426" i="2"/>
  <c r="V553" i="1"/>
  <c r="W553" i="1" s="1"/>
  <c r="T427" i="2"/>
  <c r="V554" i="1" s="1"/>
  <c r="T428" i="2"/>
  <c r="V555" i="1" s="1"/>
  <c r="T429" i="2"/>
  <c r="V556" i="1" s="1"/>
  <c r="T430" i="2"/>
  <c r="V557" i="1" s="1"/>
  <c r="T431" i="2"/>
  <c r="V558" i="1" s="1"/>
  <c r="T432" i="2"/>
  <c r="V559" i="1" s="1"/>
  <c r="T433" i="2"/>
  <c r="V560" i="1" s="1"/>
  <c r="T423" i="2"/>
  <c r="V550" i="1" s="1"/>
  <c r="W550" i="1" s="1"/>
  <c r="T351" i="2"/>
  <c r="V466" i="1"/>
  <c r="W466" i="1" s="1"/>
  <c r="T352" i="2"/>
  <c r="V467" i="1" s="1"/>
  <c r="W467" i="1" s="1"/>
  <c r="T353" i="2"/>
  <c r="V468" i="1"/>
  <c r="W468" i="1" s="1"/>
  <c r="T354" i="2"/>
  <c r="V469" i="1" s="1"/>
  <c r="W469" i="1" s="1"/>
  <c r="T355" i="2"/>
  <c r="V470" i="1"/>
  <c r="W470" i="1" s="1"/>
  <c r="T356" i="2"/>
  <c r="V471" i="1" s="1"/>
  <c r="W471" i="1" s="1"/>
  <c r="T357" i="2"/>
  <c r="V472" i="1"/>
  <c r="W472" i="1" s="1"/>
  <c r="T358" i="2"/>
  <c r="V473" i="1" s="1"/>
  <c r="W473" i="1" s="1"/>
  <c r="T365" i="2"/>
  <c r="V480" i="1"/>
  <c r="W480" i="1" s="1"/>
  <c r="T366" i="2"/>
  <c r="V481" i="1" s="1"/>
  <c r="W481" i="1" s="1"/>
  <c r="T367" i="2"/>
  <c r="V482" i="1"/>
  <c r="W482" i="1" s="1"/>
  <c r="T368" i="2"/>
  <c r="V483" i="1" s="1"/>
  <c r="W483" i="1" s="1"/>
  <c r="T369" i="2"/>
  <c r="V484" i="1"/>
  <c r="W484" i="1" s="1"/>
  <c r="T370" i="2"/>
  <c r="V485" i="1" s="1"/>
  <c r="W485" i="1" s="1"/>
  <c r="V486" i="1"/>
  <c r="W486" i="1" s="1"/>
  <c r="V488" i="1"/>
  <c r="W488" i="1" s="1"/>
  <c r="V489" i="1"/>
  <c r="W489" i="1" s="1"/>
  <c r="V491" i="1"/>
  <c r="W491" i="1" s="1"/>
  <c r="V492" i="1"/>
  <c r="W492" i="1" s="1"/>
  <c r="V493" i="1"/>
  <c r="W493" i="1" s="1"/>
  <c r="V498" i="1"/>
  <c r="W498" i="1" s="1"/>
  <c r="V499" i="1"/>
  <c r="W499" i="1" s="1"/>
  <c r="V500" i="1"/>
  <c r="W500" i="1" s="1"/>
  <c r="V501" i="1"/>
  <c r="W501" i="1" s="1"/>
  <c r="V502" i="1"/>
  <c r="W502" i="1" s="1"/>
  <c r="V504" i="1"/>
  <c r="W504" i="1" s="1"/>
  <c r="V505" i="1"/>
  <c r="W505" i="1" s="1"/>
  <c r="V506" i="1"/>
  <c r="W506" i="1" s="1"/>
  <c r="V507" i="1"/>
  <c r="W507" i="1" s="1"/>
  <c r="V508" i="1"/>
  <c r="W508" i="1" s="1"/>
  <c r="V509" i="1"/>
  <c r="W509" i="1" s="1"/>
  <c r="V510" i="1"/>
  <c r="W510" i="1" s="1"/>
  <c r="V511" i="1"/>
  <c r="W511" i="1" s="1"/>
  <c r="T397" i="2"/>
  <c r="V512" i="1"/>
  <c r="W512" i="1" s="1"/>
  <c r="T398" i="2"/>
  <c r="V513" i="1" s="1"/>
  <c r="W513" i="1" s="1"/>
  <c r="T399" i="2"/>
  <c r="V514" i="1"/>
  <c r="W514" i="1" s="1"/>
  <c r="T400" i="2"/>
  <c r="V515" i="1" s="1"/>
  <c r="W515" i="1" s="1"/>
  <c r="T401" i="2"/>
  <c r="V516" i="1"/>
  <c r="W516" i="1" s="1"/>
  <c r="T402" i="2"/>
  <c r="V517" i="1" s="1"/>
  <c r="W517" i="1" s="1"/>
  <c r="T403" i="2"/>
  <c r="V518" i="1"/>
  <c r="W518" i="1" s="1"/>
  <c r="T404" i="2"/>
  <c r="V519" i="1" s="1"/>
  <c r="W519" i="1" s="1"/>
  <c r="T405" i="2"/>
  <c r="V520" i="1"/>
  <c r="W520" i="1" s="1"/>
  <c r="T406" i="2"/>
  <c r="V521" i="1" s="1"/>
  <c r="W521" i="1" s="1"/>
  <c r="T407" i="2"/>
  <c r="V522" i="1"/>
  <c r="W522" i="1" s="1"/>
  <c r="T408" i="2"/>
  <c r="V523" i="1" s="1"/>
  <c r="W523" i="1" s="1"/>
  <c r="T409" i="2"/>
  <c r="V524" i="1"/>
  <c r="W524" i="1" s="1"/>
  <c r="T410" i="2"/>
  <c r="V525" i="1" s="1"/>
  <c r="W525" i="1" s="1"/>
  <c r="T411" i="2"/>
  <c r="V526" i="1"/>
  <c r="W526" i="1" s="1"/>
  <c r="T412" i="2"/>
  <c r="V527" i="1" s="1"/>
  <c r="W527" i="1" s="1"/>
  <c r="T413" i="2"/>
  <c r="T414" i="2"/>
  <c r="T415" i="2"/>
  <c r="T416" i="2"/>
  <c r="T417" i="2"/>
  <c r="T418" i="2"/>
  <c r="T419" i="2"/>
  <c r="T420" i="2"/>
  <c r="T421" i="2"/>
  <c r="T422" i="2"/>
  <c r="T350" i="2"/>
  <c r="V465" i="1"/>
  <c r="W465" i="1" s="1"/>
  <c r="U468" i="1"/>
  <c r="U471" i="1"/>
  <c r="U472" i="1"/>
  <c r="U473" i="1"/>
  <c r="U480" i="1"/>
  <c r="U481" i="1"/>
  <c r="U482" i="1"/>
  <c r="U483" i="1"/>
  <c r="U484" i="1"/>
  <c r="U486" i="1"/>
  <c r="U489" i="1"/>
  <c r="U491" i="1"/>
  <c r="U492" i="1"/>
  <c r="U493" i="1"/>
  <c r="U498" i="1"/>
  <c r="U500" i="1"/>
  <c r="U502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465" i="1"/>
  <c r="U336" i="1"/>
  <c r="U355" i="1"/>
  <c r="U169" i="1"/>
  <c r="U170" i="1"/>
  <c r="U162" i="1"/>
  <c r="S625" i="1"/>
  <c r="S626" i="1"/>
  <c r="S627" i="1"/>
  <c r="S628" i="1"/>
  <c r="S624" i="1"/>
  <c r="Q625" i="1"/>
  <c r="Q626" i="1"/>
  <c r="Q627" i="1"/>
  <c r="Q628" i="1"/>
  <c r="Q624" i="1"/>
  <c r="O624" i="1"/>
  <c r="O626" i="1"/>
  <c r="O627" i="1"/>
  <c r="O628" i="1"/>
  <c r="O625" i="1"/>
  <c r="H626" i="1"/>
  <c r="H627" i="1"/>
  <c r="H628" i="1"/>
  <c r="H625" i="1"/>
  <c r="H624" i="1"/>
  <c r="D626" i="1"/>
  <c r="D627" i="1"/>
  <c r="D628" i="1"/>
  <c r="D625" i="1"/>
  <c r="D624" i="1"/>
  <c r="D841" i="1"/>
  <c r="Q841" i="1"/>
  <c r="S841" i="1"/>
  <c r="D842" i="1"/>
  <c r="Q842" i="1"/>
  <c r="S842" i="1"/>
  <c r="D843" i="1"/>
  <c r="Q843" i="1"/>
  <c r="S843" i="1"/>
  <c r="D844" i="1"/>
  <c r="Q844" i="1"/>
  <c r="S844" i="1"/>
  <c r="D845" i="1"/>
  <c r="Q845" i="1"/>
  <c r="S845" i="1"/>
  <c r="D846" i="1"/>
  <c r="Q846" i="1"/>
  <c r="S846" i="1"/>
  <c r="D847" i="1"/>
  <c r="Q847" i="1"/>
  <c r="S847" i="1"/>
  <c r="D848" i="1"/>
  <c r="Q848" i="1"/>
  <c r="S848" i="1"/>
  <c r="D849" i="1"/>
  <c r="Q849" i="1"/>
  <c r="S849" i="1"/>
  <c r="D850" i="1"/>
  <c r="Q850" i="1"/>
  <c r="S850" i="1"/>
  <c r="D851" i="1"/>
  <c r="Q851" i="1"/>
  <c r="S851" i="1"/>
  <c r="I852" i="1"/>
  <c r="R849" i="1" s="1"/>
  <c r="C856" i="1"/>
  <c r="D856" i="1"/>
  <c r="Q856" i="1"/>
  <c r="S856" i="1"/>
  <c r="C857" i="1"/>
  <c r="D857" i="1"/>
  <c r="Q857" i="1"/>
  <c r="S857" i="1"/>
  <c r="C858" i="1"/>
  <c r="D858" i="1"/>
  <c r="Q858" i="1"/>
  <c r="S858" i="1"/>
  <c r="C859" i="1"/>
  <c r="Q859" i="1"/>
  <c r="S859" i="1"/>
  <c r="C860" i="1"/>
  <c r="Q860" i="1"/>
  <c r="S860" i="1"/>
  <c r="C861" i="1"/>
  <c r="Q861" i="1"/>
  <c r="S861" i="1"/>
  <c r="C862" i="1"/>
  <c r="Q862" i="1"/>
  <c r="S862" i="1"/>
  <c r="C863" i="1"/>
  <c r="D863" i="1"/>
  <c r="Q863" i="1"/>
  <c r="S863" i="1"/>
  <c r="C864" i="1"/>
  <c r="D864" i="1"/>
  <c r="Q864" i="1"/>
  <c r="M656" i="1"/>
  <c r="M700" i="1"/>
  <c r="M677" i="1"/>
  <c r="M706" i="1"/>
  <c r="M698" i="1"/>
  <c r="M686" i="1"/>
  <c r="M685" i="1"/>
  <c r="M684" i="1"/>
  <c r="M683" i="1"/>
  <c r="M682" i="1"/>
  <c r="M681" i="1"/>
  <c r="M680" i="1"/>
  <c r="D310" i="1"/>
  <c r="G310" i="1"/>
  <c r="H310" i="1"/>
  <c r="I310" i="1"/>
  <c r="J310" i="1"/>
  <c r="K310" i="1"/>
  <c r="L310" i="1"/>
  <c r="M310" i="1"/>
  <c r="N310" i="1"/>
  <c r="O310" i="1"/>
  <c r="Q310" i="1"/>
  <c r="S310" i="1"/>
  <c r="T310" i="1"/>
  <c r="C310" i="1" s="1"/>
  <c r="B737" i="1"/>
  <c r="S737" i="1" s="1"/>
  <c r="B461" i="1"/>
  <c r="S461" i="1" s="1"/>
  <c r="B246" i="1"/>
  <c r="S246" i="1" s="1"/>
  <c r="B240" i="1"/>
  <c r="S240" i="1" s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41" i="1"/>
  <c r="O742" i="1"/>
  <c r="O743" i="1"/>
  <c r="D736" i="1"/>
  <c r="O731" i="1"/>
  <c r="O732" i="1"/>
  <c r="O733" i="1"/>
  <c r="O734" i="1"/>
  <c r="O735" i="1"/>
  <c r="O736" i="1"/>
  <c r="O710" i="1"/>
  <c r="O711" i="1"/>
  <c r="O712" i="1"/>
  <c r="O713" i="1"/>
  <c r="O714" i="1"/>
  <c r="O715" i="1"/>
  <c r="O716" i="1"/>
  <c r="O717" i="1"/>
  <c r="O718" i="1"/>
  <c r="O719" i="1"/>
  <c r="O720" i="1"/>
  <c r="J553" i="1"/>
  <c r="K553" i="1"/>
  <c r="L553" i="1"/>
  <c r="M553" i="1"/>
  <c r="N553" i="1"/>
  <c r="O553" i="1"/>
  <c r="J554" i="1"/>
  <c r="K554" i="1"/>
  <c r="L554" i="1"/>
  <c r="M554" i="1"/>
  <c r="N554" i="1"/>
  <c r="O554" i="1"/>
  <c r="J555" i="1"/>
  <c r="K555" i="1"/>
  <c r="L555" i="1"/>
  <c r="M555" i="1"/>
  <c r="N555" i="1"/>
  <c r="O555" i="1"/>
  <c r="J556" i="1"/>
  <c r="K556" i="1"/>
  <c r="L556" i="1"/>
  <c r="M556" i="1"/>
  <c r="N556" i="1"/>
  <c r="O556" i="1"/>
  <c r="J557" i="1"/>
  <c r="K557" i="1"/>
  <c r="L557" i="1"/>
  <c r="M557" i="1"/>
  <c r="N557" i="1"/>
  <c r="O557" i="1"/>
  <c r="J558" i="1"/>
  <c r="K558" i="1"/>
  <c r="L558" i="1"/>
  <c r="M558" i="1"/>
  <c r="N558" i="1"/>
  <c r="O558" i="1"/>
  <c r="J559" i="1"/>
  <c r="K559" i="1"/>
  <c r="L559" i="1"/>
  <c r="M559" i="1"/>
  <c r="N559" i="1"/>
  <c r="O559" i="1"/>
  <c r="J560" i="1"/>
  <c r="K560" i="1"/>
  <c r="L560" i="1"/>
  <c r="M560" i="1"/>
  <c r="N560" i="1"/>
  <c r="O560" i="1"/>
  <c r="J550" i="1"/>
  <c r="K550" i="1"/>
  <c r="L550" i="1"/>
  <c r="M550" i="1"/>
  <c r="N550" i="1"/>
  <c r="O550" i="1"/>
  <c r="J551" i="1"/>
  <c r="K551" i="1"/>
  <c r="L551" i="1"/>
  <c r="M551" i="1"/>
  <c r="N551" i="1"/>
  <c r="O551" i="1"/>
  <c r="J552" i="1"/>
  <c r="J541" i="1"/>
  <c r="K541" i="1"/>
  <c r="L541" i="1"/>
  <c r="M541" i="1"/>
  <c r="N541" i="1"/>
  <c r="O541" i="1"/>
  <c r="J542" i="1"/>
  <c r="K542" i="1"/>
  <c r="L542" i="1"/>
  <c r="M542" i="1"/>
  <c r="N542" i="1"/>
  <c r="O542" i="1"/>
  <c r="J543" i="1"/>
  <c r="K543" i="1"/>
  <c r="L543" i="1"/>
  <c r="M543" i="1"/>
  <c r="N543" i="1"/>
  <c r="O543" i="1"/>
  <c r="J545" i="1"/>
  <c r="K545" i="1"/>
  <c r="L545" i="1"/>
  <c r="M545" i="1"/>
  <c r="N545" i="1"/>
  <c r="O545" i="1"/>
  <c r="D541" i="1"/>
  <c r="G541" i="1"/>
  <c r="H541" i="1"/>
  <c r="I541" i="1"/>
  <c r="Q541" i="1"/>
  <c r="S541" i="1"/>
  <c r="T541" i="1"/>
  <c r="C541" i="1" s="1"/>
  <c r="D542" i="1"/>
  <c r="G542" i="1"/>
  <c r="H542" i="1"/>
  <c r="I542" i="1"/>
  <c r="Q542" i="1"/>
  <c r="S542" i="1"/>
  <c r="T542" i="1"/>
  <c r="C542" i="1" s="1"/>
  <c r="J534" i="1"/>
  <c r="K534" i="1"/>
  <c r="L534" i="1"/>
  <c r="M534" i="1"/>
  <c r="N534" i="1"/>
  <c r="O534" i="1"/>
  <c r="J535" i="1"/>
  <c r="K535" i="1"/>
  <c r="L535" i="1"/>
  <c r="M535" i="1"/>
  <c r="N535" i="1"/>
  <c r="O535" i="1"/>
  <c r="J536" i="1"/>
  <c r="K536" i="1"/>
  <c r="L536" i="1"/>
  <c r="M536" i="1"/>
  <c r="N536" i="1"/>
  <c r="O536" i="1"/>
  <c r="J538" i="1"/>
  <c r="K538" i="1"/>
  <c r="L538" i="1"/>
  <c r="M538" i="1"/>
  <c r="N538" i="1"/>
  <c r="O538" i="1"/>
  <c r="J539" i="1"/>
  <c r="K539" i="1"/>
  <c r="L539" i="1"/>
  <c r="M539" i="1"/>
  <c r="N539" i="1"/>
  <c r="O539" i="1"/>
  <c r="J540" i="1"/>
  <c r="K540" i="1"/>
  <c r="L540" i="1"/>
  <c r="M540" i="1"/>
  <c r="N540" i="1"/>
  <c r="O540" i="1"/>
  <c r="J467" i="1"/>
  <c r="K467" i="1"/>
  <c r="L467" i="1"/>
  <c r="M467" i="1"/>
  <c r="N467" i="1"/>
  <c r="O467" i="1"/>
  <c r="J468" i="1"/>
  <c r="K468" i="1"/>
  <c r="L468" i="1"/>
  <c r="M468" i="1"/>
  <c r="N468" i="1"/>
  <c r="O468" i="1"/>
  <c r="J469" i="1"/>
  <c r="K469" i="1"/>
  <c r="L469" i="1"/>
  <c r="M469" i="1"/>
  <c r="N469" i="1"/>
  <c r="O469" i="1"/>
  <c r="J470" i="1"/>
  <c r="K470" i="1"/>
  <c r="L470" i="1"/>
  <c r="M470" i="1"/>
  <c r="N470" i="1"/>
  <c r="O470" i="1"/>
  <c r="J471" i="1"/>
  <c r="K471" i="1"/>
  <c r="L471" i="1"/>
  <c r="M471" i="1"/>
  <c r="N471" i="1"/>
  <c r="O471" i="1"/>
  <c r="J472" i="1"/>
  <c r="K472" i="1"/>
  <c r="L472" i="1"/>
  <c r="M472" i="1"/>
  <c r="N472" i="1"/>
  <c r="O472" i="1"/>
  <c r="J473" i="1"/>
  <c r="K473" i="1"/>
  <c r="L473" i="1"/>
  <c r="M473" i="1"/>
  <c r="N473" i="1"/>
  <c r="O473" i="1"/>
  <c r="J480" i="1"/>
  <c r="K480" i="1"/>
  <c r="L480" i="1"/>
  <c r="M480" i="1"/>
  <c r="N480" i="1"/>
  <c r="O480" i="1"/>
  <c r="J481" i="1"/>
  <c r="K481" i="1"/>
  <c r="L481" i="1"/>
  <c r="M481" i="1"/>
  <c r="N481" i="1"/>
  <c r="O481" i="1"/>
  <c r="J482" i="1"/>
  <c r="K482" i="1"/>
  <c r="L482" i="1"/>
  <c r="M482" i="1"/>
  <c r="N482" i="1"/>
  <c r="O482" i="1"/>
  <c r="J483" i="1"/>
  <c r="K483" i="1"/>
  <c r="L483" i="1"/>
  <c r="M483" i="1"/>
  <c r="N483" i="1"/>
  <c r="O483" i="1"/>
  <c r="J484" i="1"/>
  <c r="K484" i="1"/>
  <c r="L484" i="1"/>
  <c r="M484" i="1"/>
  <c r="N484" i="1"/>
  <c r="O484" i="1"/>
  <c r="J485" i="1"/>
  <c r="K485" i="1"/>
  <c r="L485" i="1"/>
  <c r="M485" i="1"/>
  <c r="N485" i="1"/>
  <c r="O485" i="1"/>
  <c r="J486" i="1"/>
  <c r="K486" i="1"/>
  <c r="L486" i="1"/>
  <c r="M486" i="1"/>
  <c r="N486" i="1"/>
  <c r="O486" i="1"/>
  <c r="J488" i="1"/>
  <c r="K488" i="1"/>
  <c r="L488" i="1"/>
  <c r="M488" i="1"/>
  <c r="N488" i="1"/>
  <c r="O488" i="1"/>
  <c r="J489" i="1"/>
  <c r="K489" i="1"/>
  <c r="L489" i="1"/>
  <c r="M489" i="1"/>
  <c r="N489" i="1"/>
  <c r="O489" i="1"/>
  <c r="J491" i="1"/>
  <c r="K491" i="1"/>
  <c r="L491" i="1"/>
  <c r="M491" i="1"/>
  <c r="N491" i="1"/>
  <c r="O491" i="1"/>
  <c r="J492" i="1"/>
  <c r="K492" i="1"/>
  <c r="L492" i="1"/>
  <c r="M492" i="1"/>
  <c r="N492" i="1"/>
  <c r="O492" i="1"/>
  <c r="J493" i="1"/>
  <c r="K493" i="1"/>
  <c r="L493" i="1"/>
  <c r="M493" i="1"/>
  <c r="N493" i="1"/>
  <c r="O493" i="1"/>
  <c r="J498" i="1"/>
  <c r="K498" i="1"/>
  <c r="L498" i="1"/>
  <c r="N498" i="1"/>
  <c r="O498" i="1"/>
  <c r="J499" i="1"/>
  <c r="K499" i="1"/>
  <c r="L499" i="1"/>
  <c r="M499" i="1"/>
  <c r="N499" i="1"/>
  <c r="O499" i="1"/>
  <c r="J500" i="1"/>
  <c r="K500" i="1"/>
  <c r="L500" i="1"/>
  <c r="M500" i="1"/>
  <c r="N500" i="1"/>
  <c r="O500" i="1"/>
  <c r="J501" i="1"/>
  <c r="K501" i="1"/>
  <c r="L501" i="1"/>
  <c r="M501" i="1"/>
  <c r="N501" i="1"/>
  <c r="O501" i="1"/>
  <c r="J502" i="1"/>
  <c r="K502" i="1"/>
  <c r="L502" i="1"/>
  <c r="M502" i="1"/>
  <c r="N502" i="1"/>
  <c r="O502" i="1"/>
  <c r="J504" i="1"/>
  <c r="K504" i="1"/>
  <c r="L504" i="1"/>
  <c r="M504" i="1"/>
  <c r="N504" i="1"/>
  <c r="O504" i="1"/>
  <c r="J505" i="1"/>
  <c r="K505" i="1"/>
  <c r="L505" i="1"/>
  <c r="M505" i="1"/>
  <c r="N505" i="1"/>
  <c r="O505" i="1"/>
  <c r="J506" i="1"/>
  <c r="K506" i="1"/>
  <c r="L506" i="1"/>
  <c r="M506" i="1"/>
  <c r="N506" i="1"/>
  <c r="O506" i="1"/>
  <c r="J507" i="1"/>
  <c r="K507" i="1"/>
  <c r="L507" i="1"/>
  <c r="M507" i="1"/>
  <c r="N507" i="1"/>
  <c r="O507" i="1"/>
  <c r="J508" i="1"/>
  <c r="K508" i="1"/>
  <c r="L508" i="1"/>
  <c r="M508" i="1"/>
  <c r="N508" i="1"/>
  <c r="O508" i="1"/>
  <c r="J509" i="1"/>
  <c r="K509" i="1"/>
  <c r="L509" i="1"/>
  <c r="M509" i="1"/>
  <c r="N509" i="1"/>
  <c r="O509" i="1"/>
  <c r="J510" i="1"/>
  <c r="K510" i="1"/>
  <c r="L510" i="1"/>
  <c r="M510" i="1"/>
  <c r="N510" i="1"/>
  <c r="O510" i="1"/>
  <c r="J511" i="1"/>
  <c r="K511" i="1"/>
  <c r="L511" i="1"/>
  <c r="M511" i="1"/>
  <c r="N511" i="1"/>
  <c r="O511" i="1"/>
  <c r="J512" i="1"/>
  <c r="K512" i="1"/>
  <c r="L512" i="1"/>
  <c r="M512" i="1"/>
  <c r="N512" i="1"/>
  <c r="O512" i="1"/>
  <c r="J513" i="1"/>
  <c r="K513" i="1"/>
  <c r="L513" i="1"/>
  <c r="M513" i="1"/>
  <c r="N513" i="1"/>
  <c r="O513" i="1"/>
  <c r="J514" i="1"/>
  <c r="K514" i="1"/>
  <c r="L514" i="1"/>
  <c r="M514" i="1"/>
  <c r="N514" i="1"/>
  <c r="O514" i="1"/>
  <c r="J515" i="1"/>
  <c r="K515" i="1"/>
  <c r="L515" i="1"/>
  <c r="M515" i="1"/>
  <c r="N515" i="1"/>
  <c r="O515" i="1"/>
  <c r="J516" i="1"/>
  <c r="K516" i="1"/>
  <c r="L516" i="1"/>
  <c r="M516" i="1"/>
  <c r="N516" i="1"/>
  <c r="O516" i="1"/>
  <c r="J517" i="1"/>
  <c r="K517" i="1"/>
  <c r="L517" i="1"/>
  <c r="M517" i="1"/>
  <c r="N517" i="1"/>
  <c r="O517" i="1"/>
  <c r="J518" i="1"/>
  <c r="K518" i="1"/>
  <c r="L518" i="1"/>
  <c r="M518" i="1"/>
  <c r="N518" i="1"/>
  <c r="O518" i="1"/>
  <c r="J519" i="1"/>
  <c r="K519" i="1"/>
  <c r="L519" i="1"/>
  <c r="M519" i="1"/>
  <c r="N519" i="1"/>
  <c r="O519" i="1"/>
  <c r="J520" i="1"/>
  <c r="K520" i="1"/>
  <c r="L520" i="1"/>
  <c r="M520" i="1"/>
  <c r="N520" i="1"/>
  <c r="O520" i="1"/>
  <c r="J521" i="1"/>
  <c r="K521" i="1"/>
  <c r="L521" i="1"/>
  <c r="M521" i="1"/>
  <c r="N521" i="1"/>
  <c r="O521" i="1"/>
  <c r="J522" i="1"/>
  <c r="K522" i="1"/>
  <c r="L522" i="1"/>
  <c r="M522" i="1"/>
  <c r="N522" i="1"/>
  <c r="O522" i="1"/>
  <c r="J523" i="1"/>
  <c r="K523" i="1"/>
  <c r="L523" i="1"/>
  <c r="M523" i="1"/>
  <c r="N523" i="1"/>
  <c r="O523" i="1"/>
  <c r="J524" i="1"/>
  <c r="K524" i="1"/>
  <c r="L524" i="1"/>
  <c r="M524" i="1"/>
  <c r="N524" i="1"/>
  <c r="O524" i="1"/>
  <c r="J525" i="1"/>
  <c r="K525" i="1"/>
  <c r="L525" i="1"/>
  <c r="M525" i="1"/>
  <c r="N525" i="1"/>
  <c r="O525" i="1"/>
  <c r="J526" i="1"/>
  <c r="K526" i="1"/>
  <c r="L526" i="1"/>
  <c r="M526" i="1"/>
  <c r="N526" i="1"/>
  <c r="O526" i="1"/>
  <c r="J527" i="1"/>
  <c r="K527" i="1"/>
  <c r="L527" i="1"/>
  <c r="M527" i="1"/>
  <c r="N527" i="1"/>
  <c r="O527" i="1"/>
  <c r="J358" i="1"/>
  <c r="M358" i="1"/>
  <c r="N358" i="1"/>
  <c r="O358" i="1"/>
  <c r="J359" i="1"/>
  <c r="M359" i="1"/>
  <c r="N359" i="1"/>
  <c r="O359" i="1"/>
  <c r="J361" i="1"/>
  <c r="M361" i="1"/>
  <c r="N361" i="1"/>
  <c r="O361" i="1"/>
  <c r="J362" i="1"/>
  <c r="K362" i="1"/>
  <c r="L362" i="1"/>
  <c r="M362" i="1"/>
  <c r="N362" i="1"/>
  <c r="O362" i="1"/>
  <c r="J363" i="1"/>
  <c r="K363" i="1"/>
  <c r="L363" i="1"/>
  <c r="M363" i="1"/>
  <c r="N363" i="1"/>
  <c r="O363" i="1"/>
  <c r="J364" i="1"/>
  <c r="K364" i="1"/>
  <c r="L364" i="1"/>
  <c r="M364" i="1"/>
  <c r="N364" i="1"/>
  <c r="O364" i="1"/>
  <c r="J365" i="1"/>
  <c r="K365" i="1"/>
  <c r="L365" i="1"/>
  <c r="M365" i="1"/>
  <c r="N365" i="1"/>
  <c r="O365" i="1"/>
  <c r="J366" i="1"/>
  <c r="K366" i="1"/>
  <c r="L366" i="1"/>
  <c r="M366" i="1"/>
  <c r="N366" i="1"/>
  <c r="O366" i="1"/>
  <c r="J367" i="1"/>
  <c r="K367" i="1"/>
  <c r="L367" i="1"/>
  <c r="M367" i="1"/>
  <c r="N367" i="1"/>
  <c r="O367" i="1"/>
  <c r="J368" i="1"/>
  <c r="K368" i="1"/>
  <c r="L368" i="1"/>
  <c r="M368" i="1"/>
  <c r="N368" i="1"/>
  <c r="O368" i="1"/>
  <c r="J369" i="1"/>
  <c r="K369" i="1"/>
  <c r="L369" i="1"/>
  <c r="M369" i="1"/>
  <c r="N369" i="1"/>
  <c r="O369" i="1"/>
  <c r="J370" i="1"/>
  <c r="K370" i="1"/>
  <c r="L370" i="1"/>
  <c r="M370" i="1"/>
  <c r="N370" i="1"/>
  <c r="O370" i="1"/>
  <c r="J371" i="1"/>
  <c r="K371" i="1"/>
  <c r="L371" i="1"/>
  <c r="M371" i="1"/>
  <c r="N371" i="1"/>
  <c r="O371" i="1"/>
  <c r="J372" i="1"/>
  <c r="K372" i="1"/>
  <c r="L372" i="1"/>
  <c r="M372" i="1"/>
  <c r="N372" i="1"/>
  <c r="O372" i="1"/>
  <c r="J373" i="1"/>
  <c r="K373" i="1"/>
  <c r="L373" i="1"/>
  <c r="M373" i="1"/>
  <c r="N373" i="1"/>
  <c r="O373" i="1"/>
  <c r="J374" i="1"/>
  <c r="K374" i="1"/>
  <c r="L374" i="1"/>
  <c r="M374" i="1"/>
  <c r="N374" i="1"/>
  <c r="O374" i="1"/>
  <c r="J375" i="1"/>
  <c r="K375" i="1"/>
  <c r="L375" i="1"/>
  <c r="M375" i="1"/>
  <c r="N375" i="1"/>
  <c r="O375" i="1"/>
  <c r="J376" i="1"/>
  <c r="K376" i="1"/>
  <c r="L376" i="1"/>
  <c r="M376" i="1"/>
  <c r="N376" i="1"/>
  <c r="O376" i="1"/>
  <c r="J377" i="1"/>
  <c r="K377" i="1"/>
  <c r="L377" i="1"/>
  <c r="M377" i="1"/>
  <c r="N377" i="1"/>
  <c r="O377" i="1"/>
  <c r="J378" i="1"/>
  <c r="K378" i="1"/>
  <c r="L378" i="1"/>
  <c r="M378" i="1"/>
  <c r="N378" i="1"/>
  <c r="O378" i="1"/>
  <c r="J379" i="1"/>
  <c r="K379" i="1"/>
  <c r="L379" i="1"/>
  <c r="M379" i="1"/>
  <c r="N379" i="1"/>
  <c r="O379" i="1"/>
  <c r="J380" i="1"/>
  <c r="K380" i="1"/>
  <c r="L380" i="1"/>
  <c r="M380" i="1"/>
  <c r="N380" i="1"/>
  <c r="O380" i="1"/>
  <c r="J381" i="1"/>
  <c r="K381" i="1"/>
  <c r="L381" i="1"/>
  <c r="M381" i="1"/>
  <c r="N381" i="1"/>
  <c r="O381" i="1"/>
  <c r="J382" i="1"/>
  <c r="K382" i="1"/>
  <c r="L382" i="1"/>
  <c r="M382" i="1"/>
  <c r="N382" i="1"/>
  <c r="O382" i="1"/>
  <c r="J383" i="1"/>
  <c r="K383" i="1"/>
  <c r="L383" i="1"/>
  <c r="M383" i="1"/>
  <c r="N383" i="1"/>
  <c r="O383" i="1"/>
  <c r="J384" i="1"/>
  <c r="K384" i="1"/>
  <c r="L384" i="1"/>
  <c r="M384" i="1"/>
  <c r="N384" i="1"/>
  <c r="O384" i="1"/>
  <c r="J385" i="1"/>
  <c r="K385" i="1"/>
  <c r="L385" i="1"/>
  <c r="M385" i="1"/>
  <c r="N385" i="1"/>
  <c r="O385" i="1"/>
  <c r="J387" i="1"/>
  <c r="K387" i="1"/>
  <c r="L387" i="1"/>
  <c r="M387" i="1"/>
  <c r="N387" i="1"/>
  <c r="O387" i="1"/>
  <c r="J388" i="1"/>
  <c r="K388" i="1"/>
  <c r="L388" i="1"/>
  <c r="M388" i="1"/>
  <c r="N388" i="1"/>
  <c r="O388" i="1"/>
  <c r="J389" i="1"/>
  <c r="K389" i="1"/>
  <c r="L389" i="1"/>
  <c r="M389" i="1"/>
  <c r="N389" i="1"/>
  <c r="O389" i="1"/>
  <c r="J390" i="1"/>
  <c r="K390" i="1"/>
  <c r="L390" i="1"/>
  <c r="M390" i="1"/>
  <c r="N390" i="1"/>
  <c r="O390" i="1"/>
  <c r="J391" i="1"/>
  <c r="K391" i="1"/>
  <c r="L391" i="1"/>
  <c r="M391" i="1"/>
  <c r="N391" i="1"/>
  <c r="O391" i="1"/>
  <c r="J392" i="1"/>
  <c r="K392" i="1"/>
  <c r="L392" i="1"/>
  <c r="M392" i="1"/>
  <c r="N392" i="1"/>
  <c r="O392" i="1"/>
  <c r="J393" i="1"/>
  <c r="K393" i="1"/>
  <c r="L393" i="1"/>
  <c r="M393" i="1"/>
  <c r="N393" i="1"/>
  <c r="O393" i="1"/>
  <c r="J394" i="1"/>
  <c r="K394" i="1"/>
  <c r="L394" i="1"/>
  <c r="M394" i="1"/>
  <c r="N394" i="1"/>
  <c r="O394" i="1"/>
  <c r="J395" i="1"/>
  <c r="K395" i="1"/>
  <c r="L395" i="1"/>
  <c r="M395" i="1"/>
  <c r="N395" i="1"/>
  <c r="O395" i="1"/>
  <c r="J396" i="1"/>
  <c r="K396" i="1"/>
  <c r="L396" i="1"/>
  <c r="M396" i="1"/>
  <c r="N396" i="1"/>
  <c r="O396" i="1"/>
  <c r="J397" i="1"/>
  <c r="K397" i="1"/>
  <c r="L397" i="1"/>
  <c r="M397" i="1"/>
  <c r="N397" i="1"/>
  <c r="O397" i="1"/>
  <c r="J398" i="1"/>
  <c r="K398" i="1"/>
  <c r="L398" i="1"/>
  <c r="M398" i="1"/>
  <c r="N398" i="1"/>
  <c r="O398" i="1"/>
  <c r="J399" i="1"/>
  <c r="K399" i="1"/>
  <c r="L399" i="1"/>
  <c r="M399" i="1"/>
  <c r="N399" i="1"/>
  <c r="O399" i="1"/>
  <c r="J400" i="1"/>
  <c r="K400" i="1"/>
  <c r="L400" i="1"/>
  <c r="M400" i="1"/>
  <c r="N400" i="1"/>
  <c r="O400" i="1"/>
  <c r="J401" i="1"/>
  <c r="K401" i="1"/>
  <c r="L401" i="1"/>
  <c r="M401" i="1"/>
  <c r="N401" i="1"/>
  <c r="O401" i="1"/>
  <c r="J402" i="1"/>
  <c r="K402" i="1"/>
  <c r="L402" i="1"/>
  <c r="M402" i="1"/>
  <c r="N402" i="1"/>
  <c r="O402" i="1"/>
  <c r="J403" i="1"/>
  <c r="K403" i="1"/>
  <c r="L403" i="1"/>
  <c r="M403" i="1"/>
  <c r="N403" i="1"/>
  <c r="O403" i="1"/>
  <c r="J404" i="1"/>
  <c r="K404" i="1"/>
  <c r="L404" i="1"/>
  <c r="M404" i="1"/>
  <c r="N404" i="1"/>
  <c r="O404" i="1"/>
  <c r="J405" i="1"/>
  <c r="K405" i="1"/>
  <c r="L405" i="1"/>
  <c r="M405" i="1"/>
  <c r="N405" i="1"/>
  <c r="O405" i="1"/>
  <c r="J406" i="1"/>
  <c r="K406" i="1"/>
  <c r="L406" i="1"/>
  <c r="M406" i="1"/>
  <c r="N406" i="1"/>
  <c r="O406" i="1"/>
  <c r="J407" i="1"/>
  <c r="K407" i="1"/>
  <c r="L407" i="1"/>
  <c r="M407" i="1"/>
  <c r="N407" i="1"/>
  <c r="O407" i="1"/>
  <c r="J409" i="1"/>
  <c r="K409" i="1"/>
  <c r="L409" i="1"/>
  <c r="M409" i="1"/>
  <c r="N409" i="1"/>
  <c r="O409" i="1"/>
  <c r="J410" i="1"/>
  <c r="K410" i="1"/>
  <c r="L410" i="1"/>
  <c r="M410" i="1"/>
  <c r="N410" i="1"/>
  <c r="O410" i="1"/>
  <c r="J411" i="1"/>
  <c r="K411" i="1"/>
  <c r="L411" i="1"/>
  <c r="M411" i="1"/>
  <c r="N411" i="1"/>
  <c r="O411" i="1"/>
  <c r="J413" i="1"/>
  <c r="K413" i="1"/>
  <c r="L413" i="1"/>
  <c r="M413" i="1"/>
  <c r="N413" i="1"/>
  <c r="O413" i="1"/>
  <c r="J414" i="1"/>
  <c r="K414" i="1"/>
  <c r="L414" i="1"/>
  <c r="M414" i="1"/>
  <c r="N414" i="1"/>
  <c r="O414" i="1"/>
  <c r="J415" i="1"/>
  <c r="K415" i="1"/>
  <c r="L415" i="1"/>
  <c r="M415" i="1"/>
  <c r="N415" i="1"/>
  <c r="O415" i="1"/>
  <c r="J418" i="1"/>
  <c r="K418" i="1"/>
  <c r="L418" i="1"/>
  <c r="M418" i="1"/>
  <c r="N418" i="1"/>
  <c r="O418" i="1"/>
  <c r="J419" i="1"/>
  <c r="K419" i="1"/>
  <c r="L419" i="1"/>
  <c r="M419" i="1"/>
  <c r="N419" i="1"/>
  <c r="O419" i="1"/>
  <c r="J420" i="1"/>
  <c r="K420" i="1"/>
  <c r="L420" i="1"/>
  <c r="M420" i="1"/>
  <c r="N420" i="1"/>
  <c r="O420" i="1"/>
  <c r="J421" i="1"/>
  <c r="K421" i="1"/>
  <c r="L421" i="1"/>
  <c r="M421" i="1"/>
  <c r="N421" i="1"/>
  <c r="O421" i="1"/>
  <c r="J422" i="1"/>
  <c r="K422" i="1"/>
  <c r="L422" i="1"/>
  <c r="M422" i="1"/>
  <c r="N422" i="1"/>
  <c r="O422" i="1"/>
  <c r="J423" i="1"/>
  <c r="K423" i="1"/>
  <c r="L423" i="1"/>
  <c r="M423" i="1"/>
  <c r="N423" i="1"/>
  <c r="O423" i="1"/>
  <c r="J424" i="1"/>
  <c r="K424" i="1"/>
  <c r="L424" i="1"/>
  <c r="M424" i="1"/>
  <c r="N424" i="1"/>
  <c r="O424" i="1"/>
  <c r="J425" i="1"/>
  <c r="K425" i="1"/>
  <c r="L425" i="1"/>
  <c r="M425" i="1"/>
  <c r="N425" i="1"/>
  <c r="O425" i="1"/>
  <c r="J426" i="1"/>
  <c r="K426" i="1"/>
  <c r="L426" i="1"/>
  <c r="M426" i="1"/>
  <c r="N426" i="1"/>
  <c r="O426" i="1"/>
  <c r="J427" i="1"/>
  <c r="K427" i="1"/>
  <c r="L427" i="1"/>
  <c r="M427" i="1"/>
  <c r="N427" i="1"/>
  <c r="O427" i="1"/>
  <c r="J428" i="1"/>
  <c r="K428" i="1"/>
  <c r="L428" i="1"/>
  <c r="M428" i="1"/>
  <c r="N428" i="1"/>
  <c r="O428" i="1"/>
  <c r="J429" i="1"/>
  <c r="K429" i="1"/>
  <c r="L429" i="1"/>
  <c r="M429" i="1"/>
  <c r="N429" i="1"/>
  <c r="O429" i="1"/>
  <c r="J430" i="1"/>
  <c r="K430" i="1"/>
  <c r="L430" i="1"/>
  <c r="M430" i="1"/>
  <c r="N430" i="1"/>
  <c r="O430" i="1"/>
  <c r="J431" i="1"/>
  <c r="K431" i="1"/>
  <c r="L431" i="1"/>
  <c r="M431" i="1"/>
  <c r="N431" i="1"/>
  <c r="O431" i="1"/>
  <c r="J432" i="1"/>
  <c r="K432" i="1"/>
  <c r="L432" i="1"/>
  <c r="M432" i="1"/>
  <c r="N432" i="1"/>
  <c r="O432" i="1"/>
  <c r="J433" i="1"/>
  <c r="K433" i="1"/>
  <c r="L433" i="1"/>
  <c r="M433" i="1"/>
  <c r="N433" i="1"/>
  <c r="O433" i="1"/>
  <c r="J434" i="1"/>
  <c r="K434" i="1"/>
  <c r="L434" i="1"/>
  <c r="N434" i="1"/>
  <c r="O434" i="1"/>
  <c r="J435" i="1"/>
  <c r="K435" i="1"/>
  <c r="L435" i="1"/>
  <c r="M435" i="1"/>
  <c r="N435" i="1"/>
  <c r="O435" i="1"/>
  <c r="J436" i="1"/>
  <c r="K436" i="1"/>
  <c r="L436" i="1"/>
  <c r="N436" i="1"/>
  <c r="O436" i="1"/>
  <c r="J437" i="1"/>
  <c r="K437" i="1"/>
  <c r="L437" i="1"/>
  <c r="M437" i="1"/>
  <c r="N437" i="1"/>
  <c r="O437" i="1"/>
  <c r="J439" i="1"/>
  <c r="K439" i="1"/>
  <c r="L439" i="1"/>
  <c r="M439" i="1"/>
  <c r="N439" i="1"/>
  <c r="O439" i="1"/>
  <c r="J440" i="1"/>
  <c r="K440" i="1"/>
  <c r="L440" i="1"/>
  <c r="M440" i="1"/>
  <c r="N440" i="1"/>
  <c r="O440" i="1"/>
  <c r="J441" i="1"/>
  <c r="K441" i="1"/>
  <c r="L441" i="1"/>
  <c r="M441" i="1"/>
  <c r="N441" i="1"/>
  <c r="O441" i="1"/>
  <c r="J442" i="1"/>
  <c r="K442" i="1"/>
  <c r="L442" i="1"/>
  <c r="M442" i="1"/>
  <c r="N442" i="1"/>
  <c r="O442" i="1"/>
  <c r="J443" i="1"/>
  <c r="K443" i="1"/>
  <c r="L443" i="1"/>
  <c r="M443" i="1"/>
  <c r="N443" i="1"/>
  <c r="O443" i="1"/>
  <c r="J444" i="1"/>
  <c r="K444" i="1"/>
  <c r="L444" i="1"/>
  <c r="M444" i="1"/>
  <c r="N444" i="1"/>
  <c r="O444" i="1"/>
  <c r="J446" i="1"/>
  <c r="K446" i="1"/>
  <c r="L446" i="1"/>
  <c r="M446" i="1"/>
  <c r="N446" i="1"/>
  <c r="O446" i="1"/>
  <c r="J447" i="1"/>
  <c r="K447" i="1"/>
  <c r="L447" i="1"/>
  <c r="M447" i="1"/>
  <c r="N447" i="1"/>
  <c r="O447" i="1"/>
  <c r="J448" i="1"/>
  <c r="K448" i="1"/>
  <c r="L448" i="1"/>
  <c r="M448" i="1"/>
  <c r="N448" i="1"/>
  <c r="O448" i="1"/>
  <c r="J449" i="1"/>
  <c r="K449" i="1"/>
  <c r="L449" i="1"/>
  <c r="M449" i="1"/>
  <c r="N449" i="1"/>
  <c r="O449" i="1"/>
  <c r="J450" i="1"/>
  <c r="K450" i="1"/>
  <c r="L450" i="1"/>
  <c r="M450" i="1"/>
  <c r="N450" i="1"/>
  <c r="O450" i="1"/>
  <c r="J451" i="1"/>
  <c r="K451" i="1"/>
  <c r="L451" i="1"/>
  <c r="M451" i="1"/>
  <c r="N451" i="1"/>
  <c r="O451" i="1"/>
  <c r="J452" i="1"/>
  <c r="K452" i="1"/>
  <c r="L452" i="1"/>
  <c r="M452" i="1"/>
  <c r="N452" i="1"/>
  <c r="O452" i="1"/>
  <c r="J455" i="1"/>
  <c r="K455" i="1"/>
  <c r="L455" i="1"/>
  <c r="M455" i="1"/>
  <c r="N455" i="1"/>
  <c r="O455" i="1"/>
  <c r="J338" i="1"/>
  <c r="K338" i="1"/>
  <c r="L338" i="1"/>
  <c r="M338" i="1"/>
  <c r="N338" i="1"/>
  <c r="O338" i="1"/>
  <c r="J340" i="1"/>
  <c r="K340" i="1"/>
  <c r="L340" i="1"/>
  <c r="M340" i="1"/>
  <c r="N340" i="1"/>
  <c r="O340" i="1"/>
  <c r="J341" i="1"/>
  <c r="K341" i="1"/>
  <c r="L341" i="1"/>
  <c r="M341" i="1"/>
  <c r="N341" i="1"/>
  <c r="O341" i="1"/>
  <c r="J342" i="1"/>
  <c r="K342" i="1"/>
  <c r="L342" i="1"/>
  <c r="M342" i="1"/>
  <c r="N342" i="1"/>
  <c r="O342" i="1"/>
  <c r="J343" i="1"/>
  <c r="K343" i="1"/>
  <c r="L343" i="1"/>
  <c r="M343" i="1"/>
  <c r="N343" i="1"/>
  <c r="O343" i="1"/>
  <c r="J347" i="1"/>
  <c r="K347" i="1"/>
  <c r="L347" i="1"/>
  <c r="M347" i="1"/>
  <c r="N347" i="1"/>
  <c r="O347" i="1"/>
  <c r="J348" i="1"/>
  <c r="K348" i="1"/>
  <c r="L348" i="1"/>
  <c r="M348" i="1"/>
  <c r="N348" i="1"/>
  <c r="O348" i="1"/>
  <c r="J349" i="1"/>
  <c r="K349" i="1"/>
  <c r="L349" i="1"/>
  <c r="M349" i="1"/>
  <c r="N349" i="1"/>
  <c r="O349" i="1"/>
  <c r="J350" i="1"/>
  <c r="K350" i="1"/>
  <c r="L350" i="1"/>
  <c r="M350" i="1"/>
  <c r="N350" i="1"/>
  <c r="O350" i="1"/>
  <c r="D342" i="1"/>
  <c r="G342" i="1"/>
  <c r="H342" i="1"/>
  <c r="I342" i="1"/>
  <c r="Q342" i="1"/>
  <c r="S342" i="1"/>
  <c r="T342" i="1"/>
  <c r="C342" i="1" s="1"/>
  <c r="D343" i="1"/>
  <c r="G343" i="1"/>
  <c r="H343" i="1"/>
  <c r="I343" i="1"/>
  <c r="Q343" i="1"/>
  <c r="S343" i="1"/>
  <c r="T343" i="1"/>
  <c r="C343" i="1" s="1"/>
  <c r="D347" i="1"/>
  <c r="G347" i="1"/>
  <c r="H347" i="1"/>
  <c r="I347" i="1"/>
  <c r="Q347" i="1"/>
  <c r="S347" i="1"/>
  <c r="T347" i="1"/>
  <c r="C347" i="1" s="1"/>
  <c r="D415" i="1"/>
  <c r="G415" i="1"/>
  <c r="H415" i="1"/>
  <c r="I415" i="1"/>
  <c r="Q415" i="1"/>
  <c r="S415" i="1"/>
  <c r="T415" i="1"/>
  <c r="C415" i="1" s="1"/>
  <c r="J355" i="1"/>
  <c r="J356" i="1"/>
  <c r="J357" i="1"/>
  <c r="D377" i="1"/>
  <c r="G377" i="1"/>
  <c r="H377" i="1"/>
  <c r="I377" i="1"/>
  <c r="Q377" i="1"/>
  <c r="S377" i="1"/>
  <c r="T377" i="1"/>
  <c r="C377" i="1" s="1"/>
  <c r="J337" i="1"/>
  <c r="K337" i="1"/>
  <c r="L337" i="1"/>
  <c r="M337" i="1"/>
  <c r="N337" i="1"/>
  <c r="O337" i="1"/>
  <c r="J284" i="1"/>
  <c r="K284" i="1"/>
  <c r="L284" i="1"/>
  <c r="M284" i="1"/>
  <c r="N284" i="1"/>
  <c r="O284" i="1"/>
  <c r="J285" i="1"/>
  <c r="K285" i="1"/>
  <c r="L285" i="1"/>
  <c r="M285" i="1"/>
  <c r="N285" i="1"/>
  <c r="O285" i="1"/>
  <c r="J286" i="1"/>
  <c r="K286" i="1"/>
  <c r="L286" i="1"/>
  <c r="M286" i="1"/>
  <c r="N286" i="1"/>
  <c r="O286" i="1"/>
  <c r="J287" i="1"/>
  <c r="K287" i="1"/>
  <c r="L287" i="1"/>
  <c r="M287" i="1"/>
  <c r="N287" i="1"/>
  <c r="O287" i="1"/>
  <c r="J288" i="1"/>
  <c r="K288" i="1"/>
  <c r="L288" i="1"/>
  <c r="M288" i="1"/>
  <c r="N288" i="1"/>
  <c r="O288" i="1"/>
  <c r="J289" i="1"/>
  <c r="K289" i="1"/>
  <c r="L289" i="1"/>
  <c r="M289" i="1"/>
  <c r="N289" i="1"/>
  <c r="O289" i="1"/>
  <c r="J290" i="1"/>
  <c r="K290" i="1"/>
  <c r="L290" i="1"/>
  <c r="M290" i="1"/>
  <c r="N290" i="1"/>
  <c r="O290" i="1"/>
  <c r="J291" i="1"/>
  <c r="K291" i="1"/>
  <c r="L291" i="1"/>
  <c r="M291" i="1"/>
  <c r="N291" i="1"/>
  <c r="O291" i="1"/>
  <c r="J292" i="1"/>
  <c r="K292" i="1"/>
  <c r="L292" i="1"/>
  <c r="M292" i="1"/>
  <c r="N292" i="1"/>
  <c r="O292" i="1"/>
  <c r="J293" i="1"/>
  <c r="K293" i="1"/>
  <c r="L293" i="1"/>
  <c r="M293" i="1"/>
  <c r="N293" i="1"/>
  <c r="O293" i="1"/>
  <c r="J294" i="1"/>
  <c r="K294" i="1"/>
  <c r="L294" i="1"/>
  <c r="M294" i="1"/>
  <c r="N294" i="1"/>
  <c r="O294" i="1"/>
  <c r="J295" i="1"/>
  <c r="K295" i="1"/>
  <c r="L295" i="1"/>
  <c r="M295" i="1"/>
  <c r="N295" i="1"/>
  <c r="O295" i="1"/>
  <c r="J296" i="1"/>
  <c r="K296" i="1"/>
  <c r="L296" i="1"/>
  <c r="M296" i="1"/>
  <c r="N296" i="1"/>
  <c r="O296" i="1"/>
  <c r="J297" i="1"/>
  <c r="K297" i="1"/>
  <c r="L297" i="1"/>
  <c r="M297" i="1"/>
  <c r="N297" i="1"/>
  <c r="O297" i="1"/>
  <c r="J298" i="1"/>
  <c r="K298" i="1"/>
  <c r="L298" i="1"/>
  <c r="M298" i="1"/>
  <c r="N298" i="1"/>
  <c r="O298" i="1"/>
  <c r="J299" i="1"/>
  <c r="K299" i="1"/>
  <c r="L299" i="1"/>
  <c r="M299" i="1"/>
  <c r="N299" i="1"/>
  <c r="O299" i="1"/>
  <c r="J300" i="1"/>
  <c r="K300" i="1"/>
  <c r="L300" i="1"/>
  <c r="M300" i="1"/>
  <c r="N300" i="1"/>
  <c r="O300" i="1"/>
  <c r="J301" i="1"/>
  <c r="K301" i="1"/>
  <c r="L301" i="1"/>
  <c r="M301" i="1"/>
  <c r="N301" i="1"/>
  <c r="O301" i="1"/>
  <c r="J302" i="1"/>
  <c r="K302" i="1"/>
  <c r="L302" i="1"/>
  <c r="M302" i="1"/>
  <c r="N302" i="1"/>
  <c r="O302" i="1"/>
  <c r="J303" i="1"/>
  <c r="K303" i="1"/>
  <c r="L303" i="1"/>
  <c r="M303" i="1"/>
  <c r="N303" i="1"/>
  <c r="O303" i="1"/>
  <c r="J304" i="1"/>
  <c r="K304" i="1"/>
  <c r="L304" i="1"/>
  <c r="M304" i="1"/>
  <c r="N304" i="1"/>
  <c r="O304" i="1"/>
  <c r="J305" i="1"/>
  <c r="K305" i="1"/>
  <c r="L305" i="1"/>
  <c r="M305" i="1"/>
  <c r="N305" i="1"/>
  <c r="O305" i="1"/>
  <c r="J306" i="1"/>
  <c r="K306" i="1"/>
  <c r="L306" i="1"/>
  <c r="N306" i="1"/>
  <c r="O306" i="1"/>
  <c r="J307" i="1"/>
  <c r="K307" i="1"/>
  <c r="L307" i="1"/>
  <c r="M307" i="1"/>
  <c r="N307" i="1"/>
  <c r="O307" i="1"/>
  <c r="J308" i="1"/>
  <c r="K308" i="1"/>
  <c r="L308" i="1"/>
  <c r="M308" i="1"/>
  <c r="N308" i="1"/>
  <c r="O308" i="1"/>
  <c r="J311" i="1"/>
  <c r="K311" i="1"/>
  <c r="L311" i="1"/>
  <c r="M311" i="1"/>
  <c r="N311" i="1"/>
  <c r="O311" i="1"/>
  <c r="J312" i="1"/>
  <c r="K312" i="1"/>
  <c r="L312" i="1"/>
  <c r="M312" i="1"/>
  <c r="N312" i="1"/>
  <c r="O312" i="1"/>
  <c r="J313" i="1"/>
  <c r="K313" i="1"/>
  <c r="L313" i="1"/>
  <c r="M313" i="1"/>
  <c r="N313" i="1"/>
  <c r="O313" i="1"/>
  <c r="J314" i="1"/>
  <c r="K314" i="1"/>
  <c r="L314" i="1"/>
  <c r="M314" i="1"/>
  <c r="N314" i="1"/>
  <c r="O314" i="1"/>
  <c r="J315" i="1"/>
  <c r="K315" i="1"/>
  <c r="L315" i="1"/>
  <c r="M315" i="1"/>
  <c r="N315" i="1"/>
  <c r="O315" i="1"/>
  <c r="J316" i="1"/>
  <c r="K316" i="1"/>
  <c r="L316" i="1"/>
  <c r="M316" i="1"/>
  <c r="N316" i="1"/>
  <c r="O316" i="1"/>
  <c r="J317" i="1"/>
  <c r="K317" i="1"/>
  <c r="L317" i="1"/>
  <c r="M317" i="1"/>
  <c r="N317" i="1"/>
  <c r="O317" i="1"/>
  <c r="J320" i="1"/>
  <c r="K320" i="1"/>
  <c r="L320" i="1"/>
  <c r="M320" i="1"/>
  <c r="N320" i="1"/>
  <c r="O320" i="1"/>
  <c r="J321" i="1"/>
  <c r="K321" i="1"/>
  <c r="L321" i="1"/>
  <c r="M321" i="1"/>
  <c r="N321" i="1"/>
  <c r="O321" i="1"/>
  <c r="J322" i="1"/>
  <c r="K322" i="1"/>
  <c r="L322" i="1"/>
  <c r="M322" i="1"/>
  <c r="N322" i="1"/>
  <c r="O322" i="1"/>
  <c r="J323" i="1"/>
  <c r="K323" i="1"/>
  <c r="L323" i="1"/>
  <c r="M323" i="1"/>
  <c r="N323" i="1"/>
  <c r="O323" i="1"/>
  <c r="J324" i="1"/>
  <c r="K324" i="1"/>
  <c r="L324" i="1"/>
  <c r="M324" i="1"/>
  <c r="N324" i="1"/>
  <c r="O324" i="1"/>
  <c r="J325" i="1"/>
  <c r="K325" i="1"/>
  <c r="L325" i="1"/>
  <c r="M325" i="1"/>
  <c r="N325" i="1"/>
  <c r="O325" i="1"/>
  <c r="J326" i="1"/>
  <c r="K326" i="1"/>
  <c r="L326" i="1"/>
  <c r="M326" i="1"/>
  <c r="N326" i="1"/>
  <c r="O326" i="1"/>
  <c r="J327" i="1"/>
  <c r="K327" i="1"/>
  <c r="L327" i="1"/>
  <c r="M327" i="1"/>
  <c r="N327" i="1"/>
  <c r="O327" i="1"/>
  <c r="J328" i="1"/>
  <c r="K328" i="1"/>
  <c r="L328" i="1"/>
  <c r="M328" i="1"/>
  <c r="N328" i="1"/>
  <c r="O328" i="1"/>
  <c r="J329" i="1"/>
  <c r="K329" i="1"/>
  <c r="L329" i="1"/>
  <c r="M329" i="1"/>
  <c r="N329" i="1"/>
  <c r="O329" i="1"/>
  <c r="N223" i="1"/>
  <c r="N226" i="1"/>
  <c r="N178" i="1"/>
  <c r="N229" i="1"/>
  <c r="N225" i="1"/>
  <c r="J225" i="1"/>
  <c r="K225" i="1"/>
  <c r="L225" i="1"/>
  <c r="M225" i="1"/>
  <c r="O225" i="1"/>
  <c r="J226" i="1"/>
  <c r="K226" i="1"/>
  <c r="L226" i="1"/>
  <c r="M226" i="1"/>
  <c r="O226" i="1"/>
  <c r="J178" i="1"/>
  <c r="K178" i="1"/>
  <c r="L178" i="1"/>
  <c r="M178" i="1"/>
  <c r="O178" i="1"/>
  <c r="J229" i="1"/>
  <c r="K229" i="1"/>
  <c r="L229" i="1"/>
  <c r="M229" i="1"/>
  <c r="O229" i="1"/>
  <c r="J209" i="1"/>
  <c r="K209" i="1"/>
  <c r="L209" i="1"/>
  <c r="M209" i="1"/>
  <c r="N209" i="1"/>
  <c r="O209" i="1"/>
  <c r="J210" i="1"/>
  <c r="K210" i="1"/>
  <c r="L210" i="1"/>
  <c r="M210" i="1"/>
  <c r="N210" i="1"/>
  <c r="O210" i="1"/>
  <c r="J211" i="1"/>
  <c r="K211" i="1"/>
  <c r="L211" i="1"/>
  <c r="M211" i="1"/>
  <c r="N211" i="1"/>
  <c r="O211" i="1"/>
  <c r="J212" i="1"/>
  <c r="K212" i="1"/>
  <c r="L212" i="1"/>
  <c r="M212" i="1"/>
  <c r="N212" i="1"/>
  <c r="O212" i="1"/>
  <c r="J213" i="1"/>
  <c r="K213" i="1"/>
  <c r="L213" i="1"/>
  <c r="M213" i="1"/>
  <c r="N213" i="1"/>
  <c r="O213" i="1"/>
  <c r="J214" i="1"/>
  <c r="K214" i="1"/>
  <c r="L214" i="1"/>
  <c r="M214" i="1"/>
  <c r="N214" i="1"/>
  <c r="O214" i="1"/>
  <c r="J216" i="1"/>
  <c r="K216" i="1"/>
  <c r="L216" i="1"/>
  <c r="M216" i="1"/>
  <c r="N216" i="1"/>
  <c r="O216" i="1"/>
  <c r="J217" i="1"/>
  <c r="K217" i="1"/>
  <c r="L217" i="1"/>
  <c r="M217" i="1"/>
  <c r="N217" i="1"/>
  <c r="O217" i="1"/>
  <c r="J218" i="1"/>
  <c r="K218" i="1"/>
  <c r="L218" i="1"/>
  <c r="M218" i="1"/>
  <c r="N218" i="1"/>
  <c r="O218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5" i="1"/>
  <c r="K85" i="1"/>
  <c r="L85" i="1"/>
  <c r="M85" i="1"/>
  <c r="N85" i="1"/>
  <c r="O85" i="1"/>
  <c r="J86" i="1"/>
  <c r="K86" i="1"/>
  <c r="L86" i="1"/>
  <c r="M86" i="1"/>
  <c r="N86" i="1"/>
  <c r="O86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B3" i="5"/>
  <c r="O800" i="1"/>
  <c r="O801" i="1"/>
  <c r="O802" i="1"/>
  <c r="D58" i="1"/>
  <c r="G58" i="1"/>
  <c r="H58" i="1"/>
  <c r="I58" i="1"/>
  <c r="Q58" i="1"/>
  <c r="S58" i="1"/>
  <c r="T58" i="1"/>
  <c r="C58" i="1" s="1"/>
  <c r="D135" i="1"/>
  <c r="G135" i="1"/>
  <c r="H135" i="1"/>
  <c r="I135" i="1"/>
  <c r="Q135" i="1"/>
  <c r="S135" i="1"/>
  <c r="T135" i="1"/>
  <c r="C135" i="1" s="1"/>
  <c r="D136" i="1"/>
  <c r="G136" i="1"/>
  <c r="H136" i="1"/>
  <c r="I136" i="1"/>
  <c r="Q136" i="1"/>
  <c r="S136" i="1"/>
  <c r="T136" i="1"/>
  <c r="C136" i="1" s="1"/>
  <c r="D1" i="5"/>
  <c r="J568" i="1"/>
  <c r="S566" i="1"/>
  <c r="S567" i="1"/>
  <c r="S568" i="1"/>
  <c r="S569" i="1"/>
  <c r="S570" i="1"/>
  <c r="S571" i="1"/>
  <c r="S572" i="1"/>
  <c r="S573" i="1"/>
  <c r="S574" i="1"/>
  <c r="S575" i="1"/>
  <c r="S576" i="1"/>
  <c r="S565" i="1"/>
  <c r="K565" i="1"/>
  <c r="K567" i="1"/>
  <c r="D566" i="1"/>
  <c r="G566" i="1"/>
  <c r="H566" i="1"/>
  <c r="J566" i="1"/>
  <c r="K566" i="1"/>
  <c r="L566" i="1"/>
  <c r="M566" i="1"/>
  <c r="N566" i="1"/>
  <c r="O566" i="1"/>
  <c r="D567" i="1"/>
  <c r="G567" i="1"/>
  <c r="H567" i="1"/>
  <c r="J567" i="1"/>
  <c r="L567" i="1"/>
  <c r="M567" i="1"/>
  <c r="N567" i="1"/>
  <c r="O567" i="1"/>
  <c r="D568" i="1"/>
  <c r="G568" i="1"/>
  <c r="H568" i="1"/>
  <c r="K568" i="1"/>
  <c r="L568" i="1"/>
  <c r="M568" i="1"/>
  <c r="N568" i="1"/>
  <c r="O568" i="1"/>
  <c r="D569" i="1"/>
  <c r="G569" i="1"/>
  <c r="H569" i="1"/>
  <c r="J569" i="1"/>
  <c r="K569" i="1"/>
  <c r="L569" i="1"/>
  <c r="M569" i="1"/>
  <c r="N569" i="1"/>
  <c r="O569" i="1"/>
  <c r="D570" i="1"/>
  <c r="G570" i="1"/>
  <c r="H570" i="1"/>
  <c r="J570" i="1"/>
  <c r="K570" i="1"/>
  <c r="L570" i="1"/>
  <c r="M570" i="1"/>
  <c r="N570" i="1"/>
  <c r="O570" i="1"/>
  <c r="D571" i="1"/>
  <c r="G571" i="1"/>
  <c r="H571" i="1"/>
  <c r="J571" i="1"/>
  <c r="K571" i="1"/>
  <c r="L571" i="1"/>
  <c r="M571" i="1"/>
  <c r="N571" i="1"/>
  <c r="O571" i="1"/>
  <c r="D572" i="1"/>
  <c r="G572" i="1"/>
  <c r="H572" i="1"/>
  <c r="J572" i="1"/>
  <c r="K572" i="1"/>
  <c r="L572" i="1"/>
  <c r="M572" i="1"/>
  <c r="N572" i="1"/>
  <c r="O572" i="1"/>
  <c r="D573" i="1"/>
  <c r="G573" i="1"/>
  <c r="H573" i="1"/>
  <c r="J573" i="1"/>
  <c r="K573" i="1"/>
  <c r="L573" i="1"/>
  <c r="M573" i="1"/>
  <c r="N573" i="1"/>
  <c r="O573" i="1"/>
  <c r="D574" i="1"/>
  <c r="G574" i="1"/>
  <c r="H574" i="1"/>
  <c r="J574" i="1"/>
  <c r="K574" i="1"/>
  <c r="L574" i="1"/>
  <c r="M574" i="1"/>
  <c r="N574" i="1"/>
  <c r="O574" i="1"/>
  <c r="D575" i="1"/>
  <c r="G575" i="1"/>
  <c r="H575" i="1"/>
  <c r="J575" i="1"/>
  <c r="K575" i="1"/>
  <c r="L575" i="1"/>
  <c r="M575" i="1"/>
  <c r="N575" i="1"/>
  <c r="O575" i="1"/>
  <c r="D576" i="1"/>
  <c r="G576" i="1"/>
  <c r="H576" i="1"/>
  <c r="J576" i="1"/>
  <c r="K576" i="1"/>
  <c r="L576" i="1"/>
  <c r="M576" i="1"/>
  <c r="N576" i="1"/>
  <c r="O576" i="1"/>
  <c r="D565" i="1"/>
  <c r="G565" i="1"/>
  <c r="H565" i="1"/>
  <c r="J565" i="1"/>
  <c r="L565" i="1"/>
  <c r="M565" i="1"/>
  <c r="N565" i="1"/>
  <c r="O565" i="1"/>
  <c r="Q566" i="1"/>
  <c r="T566" i="1"/>
  <c r="C566" i="1" s="1"/>
  <c r="Q567" i="1"/>
  <c r="T567" i="1"/>
  <c r="C567" i="1" s="1"/>
  <c r="Q568" i="1"/>
  <c r="T568" i="1"/>
  <c r="C568" i="1" s="1"/>
  <c r="Q569" i="1"/>
  <c r="T569" i="1"/>
  <c r="C569" i="1" s="1"/>
  <c r="Q570" i="1"/>
  <c r="T570" i="1"/>
  <c r="C570" i="1" s="1"/>
  <c r="Q571" i="1"/>
  <c r="T571" i="1"/>
  <c r="C571" i="1" s="1"/>
  <c r="Q572" i="1"/>
  <c r="T572" i="1"/>
  <c r="C572" i="1" s="1"/>
  <c r="Q573" i="1"/>
  <c r="T573" i="1"/>
  <c r="C573" i="1" s="1"/>
  <c r="Q574" i="1"/>
  <c r="T574" i="1"/>
  <c r="C574" i="1" s="1"/>
  <c r="Q575" i="1"/>
  <c r="T575" i="1"/>
  <c r="C575" i="1" s="1"/>
  <c r="Q576" i="1"/>
  <c r="T576" i="1"/>
  <c r="C576" i="1" s="1"/>
  <c r="T565" i="1"/>
  <c r="C565" i="1" s="1"/>
  <c r="Q565" i="1"/>
  <c r="M235" i="1"/>
  <c r="M207" i="1"/>
  <c r="M208" i="1"/>
  <c r="O638" i="1"/>
  <c r="O642" i="1"/>
  <c r="O659" i="1"/>
  <c r="O664" i="1"/>
  <c r="O668" i="1"/>
  <c r="O675" i="1"/>
  <c r="O676" i="1"/>
  <c r="O687" i="1"/>
  <c r="O688" i="1"/>
  <c r="O689" i="1"/>
  <c r="O690" i="1"/>
  <c r="O691" i="1"/>
  <c r="O692" i="1"/>
  <c r="O693" i="1"/>
  <c r="O694" i="1"/>
  <c r="O695" i="1"/>
  <c r="O696" i="1"/>
  <c r="O810" i="1"/>
  <c r="O811" i="1"/>
  <c r="O812" i="1"/>
  <c r="O821" i="1"/>
  <c r="O822" i="1"/>
  <c r="O823" i="1"/>
  <c r="O824" i="1"/>
  <c r="J465" i="1"/>
  <c r="K465" i="1"/>
  <c r="L465" i="1"/>
  <c r="M465" i="1"/>
  <c r="N465" i="1"/>
  <c r="T349" i="1"/>
  <c r="C349" i="1" s="1"/>
  <c r="D349" i="1"/>
  <c r="G349" i="1"/>
  <c r="H349" i="1"/>
  <c r="I349" i="1"/>
  <c r="Q349" i="1"/>
  <c r="S349" i="1"/>
  <c r="D350" i="1"/>
  <c r="G350" i="1"/>
  <c r="H350" i="1"/>
  <c r="I350" i="1"/>
  <c r="Q350" i="1"/>
  <c r="S350" i="1"/>
  <c r="T350" i="1"/>
  <c r="C350" i="1" s="1"/>
  <c r="D599" i="1"/>
  <c r="G599" i="1"/>
  <c r="H599" i="1"/>
  <c r="I599" i="1"/>
  <c r="J599" i="1"/>
  <c r="K599" i="1"/>
  <c r="L599" i="1"/>
  <c r="M599" i="1"/>
  <c r="N599" i="1"/>
  <c r="O599" i="1"/>
  <c r="Q599" i="1"/>
  <c r="S599" i="1"/>
  <c r="T599" i="1"/>
  <c r="C599" i="1" s="1"/>
  <c r="L664" i="1"/>
  <c r="K664" i="1"/>
  <c r="M694" i="1"/>
  <c r="D719" i="1"/>
  <c r="H719" i="1"/>
  <c r="K719" i="1"/>
  <c r="L719" i="1"/>
  <c r="M719" i="1"/>
  <c r="Q719" i="1"/>
  <c r="S719" i="1"/>
  <c r="T719" i="1"/>
  <c r="C719" i="1" s="1"/>
  <c r="D720" i="1"/>
  <c r="H720" i="1"/>
  <c r="K720" i="1"/>
  <c r="L720" i="1"/>
  <c r="M720" i="1"/>
  <c r="Q720" i="1"/>
  <c r="S720" i="1"/>
  <c r="T720" i="1"/>
  <c r="C720" i="1" s="1"/>
  <c r="D718" i="1"/>
  <c r="H718" i="1"/>
  <c r="K718" i="1"/>
  <c r="L718" i="1"/>
  <c r="M718" i="1"/>
  <c r="Q718" i="1"/>
  <c r="S718" i="1"/>
  <c r="T718" i="1"/>
  <c r="C718" i="1" s="1"/>
  <c r="D699" i="1"/>
  <c r="H699" i="1"/>
  <c r="K699" i="1"/>
  <c r="L699" i="1"/>
  <c r="M699" i="1"/>
  <c r="N699" i="1"/>
  <c r="O699" i="1"/>
  <c r="Q699" i="1"/>
  <c r="S699" i="1"/>
  <c r="T699" i="1"/>
  <c r="C699" i="1" s="1"/>
  <c r="D161" i="1"/>
  <c r="G161" i="1"/>
  <c r="H161" i="1"/>
  <c r="I161" i="1"/>
  <c r="Q161" i="1"/>
  <c r="S161" i="1"/>
  <c r="T161" i="1"/>
  <c r="C161" i="1" s="1"/>
  <c r="D501" i="1"/>
  <c r="G501" i="1"/>
  <c r="H501" i="1"/>
  <c r="I501" i="1"/>
  <c r="Q501" i="1"/>
  <c r="S501" i="1"/>
  <c r="T501" i="1"/>
  <c r="C501" i="1" s="1"/>
  <c r="D480" i="1"/>
  <c r="G480" i="1"/>
  <c r="H480" i="1"/>
  <c r="I480" i="1"/>
  <c r="Q480" i="1"/>
  <c r="S480" i="1"/>
  <c r="T480" i="1"/>
  <c r="C480" i="1" s="1"/>
  <c r="D303" i="1"/>
  <c r="G303" i="1"/>
  <c r="H303" i="1"/>
  <c r="I303" i="1"/>
  <c r="Q303" i="1"/>
  <c r="S303" i="1"/>
  <c r="T303" i="1"/>
  <c r="C303" i="1" s="1"/>
  <c r="D292" i="1"/>
  <c r="G292" i="1"/>
  <c r="H292" i="1"/>
  <c r="I292" i="1"/>
  <c r="Q292" i="1"/>
  <c r="S292" i="1"/>
  <c r="T292" i="1"/>
  <c r="C292" i="1" s="1"/>
  <c r="D296" i="1"/>
  <c r="G296" i="1"/>
  <c r="H296" i="1"/>
  <c r="I296" i="1"/>
  <c r="Q296" i="1"/>
  <c r="S296" i="1"/>
  <c r="T296" i="1"/>
  <c r="C296" i="1" s="1"/>
  <c r="D294" i="1"/>
  <c r="G294" i="1"/>
  <c r="H294" i="1"/>
  <c r="I294" i="1"/>
  <c r="Q294" i="1"/>
  <c r="S294" i="1"/>
  <c r="T294" i="1"/>
  <c r="C294" i="1" s="1"/>
  <c r="D198" i="1"/>
  <c r="G198" i="1"/>
  <c r="H198" i="1"/>
  <c r="I198" i="1"/>
  <c r="Q198" i="1"/>
  <c r="S198" i="1"/>
  <c r="T198" i="1"/>
  <c r="C198" i="1" s="1"/>
  <c r="M759" i="1"/>
  <c r="D189" i="1"/>
  <c r="G189" i="1"/>
  <c r="H189" i="1"/>
  <c r="I189" i="1"/>
  <c r="J189" i="1"/>
  <c r="K189" i="1"/>
  <c r="L189" i="1"/>
  <c r="M189" i="1"/>
  <c r="N189" i="1"/>
  <c r="O189" i="1"/>
  <c r="Q189" i="1"/>
  <c r="S189" i="1"/>
  <c r="T189" i="1"/>
  <c r="C189" i="1" s="1"/>
  <c r="D498" i="1"/>
  <c r="G498" i="1"/>
  <c r="H498" i="1"/>
  <c r="I498" i="1"/>
  <c r="Q498" i="1"/>
  <c r="S498" i="1"/>
  <c r="T498" i="1"/>
  <c r="C498" i="1" s="1"/>
  <c r="D534" i="1"/>
  <c r="G534" i="1"/>
  <c r="H534" i="1"/>
  <c r="I534" i="1"/>
  <c r="Q534" i="1"/>
  <c r="S534" i="1"/>
  <c r="T534" i="1"/>
  <c r="C534" i="1" s="1"/>
  <c r="M552" i="1"/>
  <c r="G516" i="1"/>
  <c r="H516" i="1"/>
  <c r="I516" i="1"/>
  <c r="Q516" i="1"/>
  <c r="S516" i="1"/>
  <c r="T516" i="1"/>
  <c r="C516" i="1" s="1"/>
  <c r="Q128" i="1"/>
  <c r="S128" i="1"/>
  <c r="T128" i="1"/>
  <c r="C128" i="1" s="1"/>
  <c r="Q129" i="1"/>
  <c r="S129" i="1"/>
  <c r="T129" i="1"/>
  <c r="C129" i="1" s="1"/>
  <c r="D128" i="1"/>
  <c r="G128" i="1"/>
  <c r="H128" i="1"/>
  <c r="I128" i="1"/>
  <c r="D98" i="1"/>
  <c r="G98" i="1"/>
  <c r="H98" i="1"/>
  <c r="I98" i="1"/>
  <c r="Q98" i="1"/>
  <c r="S98" i="1"/>
  <c r="T98" i="1"/>
  <c r="C98" i="1" s="1"/>
  <c r="D715" i="1"/>
  <c r="H715" i="1"/>
  <c r="K715" i="1"/>
  <c r="L715" i="1"/>
  <c r="M715" i="1"/>
  <c r="N715" i="1"/>
  <c r="Q715" i="1"/>
  <c r="S715" i="1"/>
  <c r="T715" i="1"/>
  <c r="C715" i="1" s="1"/>
  <c r="D313" i="1"/>
  <c r="G313" i="1"/>
  <c r="H313" i="1"/>
  <c r="I313" i="1"/>
  <c r="Q313" i="1"/>
  <c r="S313" i="1"/>
  <c r="T313" i="1"/>
  <c r="C313" i="1" s="1"/>
  <c r="D307" i="1"/>
  <c r="G307" i="1"/>
  <c r="H307" i="1"/>
  <c r="I307" i="1"/>
  <c r="Q307" i="1"/>
  <c r="S307" i="1"/>
  <c r="T307" i="1"/>
  <c r="C307" i="1" s="1"/>
  <c r="K824" i="1"/>
  <c r="L824" i="1"/>
  <c r="M824" i="1"/>
  <c r="N824" i="1"/>
  <c r="K825" i="1"/>
  <c r="L825" i="1"/>
  <c r="M825" i="1"/>
  <c r="N825" i="1"/>
  <c r="O825" i="1"/>
  <c r="K826" i="1"/>
  <c r="L826" i="1"/>
  <c r="M826" i="1"/>
  <c r="N826" i="1"/>
  <c r="O826" i="1"/>
  <c r="L823" i="1"/>
  <c r="M823" i="1"/>
  <c r="J23" i="1"/>
  <c r="K23" i="1"/>
  <c r="L23" i="1"/>
  <c r="M23" i="1"/>
  <c r="N23" i="1"/>
  <c r="J24" i="1"/>
  <c r="K24" i="1"/>
  <c r="L24" i="1"/>
  <c r="M24" i="1"/>
  <c r="N24" i="1"/>
  <c r="D589" i="1"/>
  <c r="G589" i="1"/>
  <c r="H589" i="1"/>
  <c r="I589" i="1"/>
  <c r="J589" i="1"/>
  <c r="Q589" i="1"/>
  <c r="S589" i="1"/>
  <c r="T589" i="1"/>
  <c r="C589" i="1" s="1"/>
  <c r="D590" i="1"/>
  <c r="G590" i="1"/>
  <c r="H590" i="1"/>
  <c r="I590" i="1"/>
  <c r="T590" i="1"/>
  <c r="C590" i="1" s="1"/>
  <c r="D591" i="1"/>
  <c r="G591" i="1"/>
  <c r="I591" i="1"/>
  <c r="T591" i="1"/>
  <c r="C591" i="1" s="1"/>
  <c r="D600" i="1"/>
  <c r="G600" i="1"/>
  <c r="H600" i="1"/>
  <c r="I600" i="1"/>
  <c r="J600" i="1"/>
  <c r="K600" i="1"/>
  <c r="L600" i="1"/>
  <c r="M600" i="1"/>
  <c r="N600" i="1"/>
  <c r="O600" i="1"/>
  <c r="Q600" i="1"/>
  <c r="S600" i="1"/>
  <c r="T600" i="1"/>
  <c r="C600" i="1" s="1"/>
  <c r="H732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6" i="1"/>
  <c r="H717" i="1"/>
  <c r="H675" i="1"/>
  <c r="D713" i="1"/>
  <c r="K713" i="1"/>
  <c r="L713" i="1"/>
  <c r="M713" i="1"/>
  <c r="N713" i="1"/>
  <c r="Q713" i="1"/>
  <c r="S713" i="1"/>
  <c r="T713" i="1"/>
  <c r="C713" i="1" s="1"/>
  <c r="D714" i="1"/>
  <c r="K714" i="1"/>
  <c r="L714" i="1"/>
  <c r="M714" i="1"/>
  <c r="N714" i="1"/>
  <c r="Q714" i="1"/>
  <c r="S714" i="1"/>
  <c r="T714" i="1"/>
  <c r="C714" i="1" s="1"/>
  <c r="D716" i="1"/>
  <c r="K716" i="1"/>
  <c r="L716" i="1"/>
  <c r="M716" i="1"/>
  <c r="N716" i="1"/>
  <c r="Q716" i="1"/>
  <c r="S716" i="1"/>
  <c r="T716" i="1"/>
  <c r="C716" i="1" s="1"/>
  <c r="D717" i="1"/>
  <c r="K717" i="1"/>
  <c r="L717" i="1"/>
  <c r="M717" i="1"/>
  <c r="Q717" i="1"/>
  <c r="S717" i="1"/>
  <c r="T717" i="1"/>
  <c r="C717" i="1" s="1"/>
  <c r="D676" i="1"/>
  <c r="K676" i="1"/>
  <c r="L676" i="1"/>
  <c r="M676" i="1"/>
  <c r="N676" i="1"/>
  <c r="Q676" i="1"/>
  <c r="S676" i="1"/>
  <c r="T676" i="1"/>
  <c r="C676" i="1" s="1"/>
  <c r="D677" i="1"/>
  <c r="K677" i="1"/>
  <c r="L677" i="1"/>
  <c r="N677" i="1"/>
  <c r="O677" i="1"/>
  <c r="Q677" i="1"/>
  <c r="S677" i="1"/>
  <c r="T677" i="1"/>
  <c r="C677" i="1" s="1"/>
  <c r="D678" i="1"/>
  <c r="K678" i="1"/>
  <c r="L678" i="1"/>
  <c r="M678" i="1"/>
  <c r="N678" i="1"/>
  <c r="O678" i="1"/>
  <c r="Q678" i="1"/>
  <c r="S678" i="1"/>
  <c r="T678" i="1"/>
  <c r="C678" i="1" s="1"/>
  <c r="D679" i="1"/>
  <c r="K679" i="1"/>
  <c r="L679" i="1"/>
  <c r="M679" i="1"/>
  <c r="N679" i="1"/>
  <c r="O679" i="1"/>
  <c r="Q679" i="1"/>
  <c r="S679" i="1"/>
  <c r="T679" i="1"/>
  <c r="C679" i="1" s="1"/>
  <c r="D680" i="1"/>
  <c r="K680" i="1"/>
  <c r="L680" i="1"/>
  <c r="N680" i="1"/>
  <c r="O680" i="1"/>
  <c r="Q680" i="1"/>
  <c r="S680" i="1"/>
  <c r="T680" i="1"/>
  <c r="C680" i="1" s="1"/>
  <c r="D681" i="1"/>
  <c r="K681" i="1"/>
  <c r="L681" i="1"/>
  <c r="N681" i="1"/>
  <c r="O681" i="1"/>
  <c r="Q681" i="1"/>
  <c r="S681" i="1"/>
  <c r="T681" i="1"/>
  <c r="C681" i="1" s="1"/>
  <c r="D682" i="1"/>
  <c r="K682" i="1"/>
  <c r="L682" i="1"/>
  <c r="N682" i="1"/>
  <c r="O682" i="1"/>
  <c r="Q682" i="1"/>
  <c r="S682" i="1"/>
  <c r="T682" i="1"/>
  <c r="C682" i="1" s="1"/>
  <c r="D683" i="1"/>
  <c r="K683" i="1"/>
  <c r="L683" i="1"/>
  <c r="N683" i="1"/>
  <c r="O683" i="1"/>
  <c r="Q683" i="1"/>
  <c r="S683" i="1"/>
  <c r="T683" i="1"/>
  <c r="C683" i="1" s="1"/>
  <c r="D684" i="1"/>
  <c r="K684" i="1"/>
  <c r="L684" i="1"/>
  <c r="N684" i="1"/>
  <c r="O684" i="1"/>
  <c r="Q684" i="1"/>
  <c r="S684" i="1"/>
  <c r="T684" i="1"/>
  <c r="C684" i="1" s="1"/>
  <c r="D685" i="1"/>
  <c r="K685" i="1"/>
  <c r="L685" i="1"/>
  <c r="N685" i="1"/>
  <c r="O685" i="1"/>
  <c r="Q685" i="1"/>
  <c r="S685" i="1"/>
  <c r="T685" i="1"/>
  <c r="C685" i="1" s="1"/>
  <c r="D686" i="1"/>
  <c r="K686" i="1"/>
  <c r="L686" i="1"/>
  <c r="N686" i="1"/>
  <c r="O686" i="1"/>
  <c r="Q686" i="1"/>
  <c r="S686" i="1"/>
  <c r="T686" i="1"/>
  <c r="C686" i="1" s="1"/>
  <c r="D687" i="1"/>
  <c r="K687" i="1"/>
  <c r="L687" i="1"/>
  <c r="M687" i="1"/>
  <c r="N687" i="1"/>
  <c r="Q687" i="1"/>
  <c r="S687" i="1"/>
  <c r="T687" i="1"/>
  <c r="C687" i="1" s="1"/>
  <c r="D688" i="1"/>
  <c r="K688" i="1"/>
  <c r="L688" i="1"/>
  <c r="M688" i="1"/>
  <c r="N688" i="1"/>
  <c r="Q688" i="1"/>
  <c r="S688" i="1"/>
  <c r="T688" i="1"/>
  <c r="C688" i="1" s="1"/>
  <c r="D689" i="1"/>
  <c r="K689" i="1"/>
  <c r="L689" i="1"/>
  <c r="M689" i="1"/>
  <c r="N689" i="1"/>
  <c r="Q689" i="1"/>
  <c r="S689" i="1"/>
  <c r="T689" i="1"/>
  <c r="C689" i="1" s="1"/>
  <c r="D690" i="1"/>
  <c r="K690" i="1"/>
  <c r="L690" i="1"/>
  <c r="M690" i="1"/>
  <c r="N690" i="1"/>
  <c r="Q690" i="1"/>
  <c r="S690" i="1"/>
  <c r="T690" i="1"/>
  <c r="C690" i="1" s="1"/>
  <c r="D691" i="1"/>
  <c r="K691" i="1"/>
  <c r="L691" i="1"/>
  <c r="M691" i="1"/>
  <c r="N691" i="1"/>
  <c r="Q691" i="1"/>
  <c r="S691" i="1"/>
  <c r="T691" i="1"/>
  <c r="C691" i="1" s="1"/>
  <c r="D692" i="1"/>
  <c r="K692" i="1"/>
  <c r="L692" i="1"/>
  <c r="M692" i="1"/>
  <c r="N692" i="1"/>
  <c r="Q692" i="1"/>
  <c r="S692" i="1"/>
  <c r="T692" i="1"/>
  <c r="C692" i="1" s="1"/>
  <c r="D693" i="1"/>
  <c r="K693" i="1"/>
  <c r="L693" i="1"/>
  <c r="M693" i="1"/>
  <c r="N693" i="1"/>
  <c r="Q693" i="1"/>
  <c r="S693" i="1"/>
  <c r="T693" i="1"/>
  <c r="C693" i="1" s="1"/>
  <c r="D694" i="1"/>
  <c r="K694" i="1"/>
  <c r="L694" i="1"/>
  <c r="N694" i="1"/>
  <c r="Q694" i="1"/>
  <c r="S694" i="1"/>
  <c r="T694" i="1"/>
  <c r="C694" i="1" s="1"/>
  <c r="D695" i="1"/>
  <c r="K695" i="1"/>
  <c r="L695" i="1"/>
  <c r="M695" i="1"/>
  <c r="N695" i="1"/>
  <c r="Q695" i="1"/>
  <c r="S695" i="1"/>
  <c r="T695" i="1"/>
  <c r="C695" i="1" s="1"/>
  <c r="D696" i="1"/>
  <c r="K696" i="1"/>
  <c r="L696" i="1"/>
  <c r="M696" i="1"/>
  <c r="Q696" i="1"/>
  <c r="S696" i="1"/>
  <c r="T696" i="1"/>
  <c r="C696" i="1" s="1"/>
  <c r="D697" i="1"/>
  <c r="K697" i="1"/>
  <c r="L697" i="1"/>
  <c r="M697" i="1"/>
  <c r="N697" i="1"/>
  <c r="O697" i="1"/>
  <c r="Q697" i="1"/>
  <c r="S697" i="1"/>
  <c r="T697" i="1"/>
  <c r="C697" i="1" s="1"/>
  <c r="D698" i="1"/>
  <c r="K698" i="1"/>
  <c r="L698" i="1"/>
  <c r="N698" i="1"/>
  <c r="O698" i="1"/>
  <c r="Q698" i="1"/>
  <c r="S698" i="1"/>
  <c r="T698" i="1"/>
  <c r="C698" i="1" s="1"/>
  <c r="D700" i="1"/>
  <c r="K700" i="1"/>
  <c r="L700" i="1"/>
  <c r="N700" i="1"/>
  <c r="O700" i="1"/>
  <c r="Q700" i="1"/>
  <c r="S700" i="1"/>
  <c r="T700" i="1"/>
  <c r="C700" i="1" s="1"/>
  <c r="D701" i="1"/>
  <c r="K701" i="1"/>
  <c r="L701" i="1"/>
  <c r="M701" i="1"/>
  <c r="N701" i="1"/>
  <c r="O701" i="1"/>
  <c r="Q701" i="1"/>
  <c r="S701" i="1"/>
  <c r="T701" i="1"/>
  <c r="C701" i="1" s="1"/>
  <c r="D702" i="1"/>
  <c r="K702" i="1"/>
  <c r="L702" i="1"/>
  <c r="N702" i="1"/>
  <c r="O702" i="1"/>
  <c r="Q702" i="1"/>
  <c r="S702" i="1"/>
  <c r="T702" i="1"/>
  <c r="C702" i="1" s="1"/>
  <c r="D703" i="1"/>
  <c r="K703" i="1"/>
  <c r="L703" i="1"/>
  <c r="N703" i="1"/>
  <c r="O703" i="1"/>
  <c r="Q703" i="1"/>
  <c r="S703" i="1"/>
  <c r="T703" i="1"/>
  <c r="C703" i="1" s="1"/>
  <c r="D704" i="1"/>
  <c r="K704" i="1"/>
  <c r="L704" i="1"/>
  <c r="M704" i="1"/>
  <c r="N704" i="1"/>
  <c r="O704" i="1"/>
  <c r="Q704" i="1"/>
  <c r="S704" i="1"/>
  <c r="T704" i="1"/>
  <c r="C704" i="1" s="1"/>
  <c r="D705" i="1"/>
  <c r="K705" i="1"/>
  <c r="L705" i="1"/>
  <c r="M705" i="1"/>
  <c r="N705" i="1"/>
  <c r="O705" i="1"/>
  <c r="Q705" i="1"/>
  <c r="S705" i="1"/>
  <c r="T705" i="1"/>
  <c r="C705" i="1" s="1"/>
  <c r="D706" i="1"/>
  <c r="K706" i="1"/>
  <c r="L706" i="1"/>
  <c r="N706" i="1"/>
  <c r="O706" i="1"/>
  <c r="Q706" i="1"/>
  <c r="S706" i="1"/>
  <c r="T706" i="1"/>
  <c r="C706" i="1" s="1"/>
  <c r="D707" i="1"/>
  <c r="K707" i="1"/>
  <c r="L707" i="1"/>
  <c r="N707" i="1"/>
  <c r="O707" i="1"/>
  <c r="Q707" i="1"/>
  <c r="S707" i="1"/>
  <c r="T707" i="1"/>
  <c r="C707" i="1" s="1"/>
  <c r="D708" i="1"/>
  <c r="K708" i="1"/>
  <c r="L708" i="1"/>
  <c r="M708" i="1"/>
  <c r="N708" i="1"/>
  <c r="O708" i="1"/>
  <c r="Q708" i="1"/>
  <c r="S708" i="1"/>
  <c r="T708" i="1"/>
  <c r="C708" i="1" s="1"/>
  <c r="D709" i="1"/>
  <c r="K709" i="1"/>
  <c r="L709" i="1"/>
  <c r="M709" i="1"/>
  <c r="N709" i="1"/>
  <c r="O709" i="1"/>
  <c r="Q709" i="1"/>
  <c r="S709" i="1"/>
  <c r="T709" i="1"/>
  <c r="C709" i="1" s="1"/>
  <c r="D710" i="1"/>
  <c r="K710" i="1"/>
  <c r="L710" i="1"/>
  <c r="M710" i="1"/>
  <c r="N710" i="1"/>
  <c r="Q710" i="1"/>
  <c r="S710" i="1"/>
  <c r="T710" i="1"/>
  <c r="C710" i="1" s="1"/>
  <c r="D711" i="1"/>
  <c r="K711" i="1"/>
  <c r="L711" i="1"/>
  <c r="N711" i="1"/>
  <c r="Q711" i="1"/>
  <c r="S711" i="1"/>
  <c r="T711" i="1"/>
  <c r="C711" i="1" s="1"/>
  <c r="D712" i="1"/>
  <c r="K712" i="1"/>
  <c r="L712" i="1"/>
  <c r="M712" i="1"/>
  <c r="N712" i="1"/>
  <c r="Q712" i="1"/>
  <c r="S712" i="1"/>
  <c r="T712" i="1"/>
  <c r="C712" i="1" s="1"/>
  <c r="D675" i="1"/>
  <c r="Q675" i="1"/>
  <c r="S675" i="1"/>
  <c r="T675" i="1"/>
  <c r="C675" i="1" s="1"/>
  <c r="D337" i="1"/>
  <c r="G337" i="1"/>
  <c r="H337" i="1"/>
  <c r="I337" i="1"/>
  <c r="Q337" i="1"/>
  <c r="S337" i="1"/>
  <c r="T337" i="1"/>
  <c r="C337" i="1" s="1"/>
  <c r="G338" i="1"/>
  <c r="H338" i="1"/>
  <c r="I338" i="1"/>
  <c r="Q338" i="1"/>
  <c r="S338" i="1"/>
  <c r="T338" i="1"/>
  <c r="C338" i="1" s="1"/>
  <c r="D340" i="1"/>
  <c r="G340" i="1"/>
  <c r="H340" i="1"/>
  <c r="I340" i="1"/>
  <c r="Q340" i="1"/>
  <c r="S340" i="1"/>
  <c r="T340" i="1"/>
  <c r="C340" i="1" s="1"/>
  <c r="D341" i="1"/>
  <c r="G341" i="1"/>
  <c r="H341" i="1"/>
  <c r="I341" i="1"/>
  <c r="Q341" i="1"/>
  <c r="S341" i="1"/>
  <c r="T341" i="1"/>
  <c r="C341" i="1" s="1"/>
  <c r="D348" i="1"/>
  <c r="G348" i="1"/>
  <c r="H348" i="1"/>
  <c r="I348" i="1"/>
  <c r="Q348" i="1"/>
  <c r="S348" i="1"/>
  <c r="T348" i="1"/>
  <c r="C348" i="1" s="1"/>
  <c r="D526" i="1"/>
  <c r="G526" i="1"/>
  <c r="H526" i="1"/>
  <c r="I526" i="1"/>
  <c r="Q526" i="1"/>
  <c r="S526" i="1"/>
  <c r="T526" i="1"/>
  <c r="C526" i="1" s="1"/>
  <c r="D527" i="1"/>
  <c r="G527" i="1"/>
  <c r="H527" i="1"/>
  <c r="I527" i="1"/>
  <c r="Q527" i="1"/>
  <c r="S527" i="1"/>
  <c r="T527" i="1"/>
  <c r="C527" i="1" s="1"/>
  <c r="D500" i="1"/>
  <c r="G500" i="1"/>
  <c r="H500" i="1"/>
  <c r="I500" i="1"/>
  <c r="Q500" i="1"/>
  <c r="S500" i="1"/>
  <c r="T500" i="1"/>
  <c r="C500" i="1" s="1"/>
  <c r="D502" i="1"/>
  <c r="G502" i="1"/>
  <c r="H502" i="1"/>
  <c r="I502" i="1"/>
  <c r="Q502" i="1"/>
  <c r="S502" i="1"/>
  <c r="T502" i="1"/>
  <c r="C502" i="1" s="1"/>
  <c r="D504" i="1"/>
  <c r="G504" i="1"/>
  <c r="H504" i="1"/>
  <c r="I504" i="1"/>
  <c r="Q504" i="1"/>
  <c r="S504" i="1"/>
  <c r="T504" i="1"/>
  <c r="C504" i="1" s="1"/>
  <c r="D505" i="1"/>
  <c r="G505" i="1"/>
  <c r="H505" i="1"/>
  <c r="I505" i="1"/>
  <c r="Q505" i="1"/>
  <c r="S505" i="1"/>
  <c r="T505" i="1"/>
  <c r="C505" i="1" s="1"/>
  <c r="D506" i="1"/>
  <c r="G506" i="1"/>
  <c r="H506" i="1"/>
  <c r="I506" i="1"/>
  <c r="Q506" i="1"/>
  <c r="S506" i="1"/>
  <c r="T506" i="1"/>
  <c r="C506" i="1" s="1"/>
  <c r="D507" i="1"/>
  <c r="G507" i="1"/>
  <c r="H507" i="1"/>
  <c r="I507" i="1"/>
  <c r="Q507" i="1"/>
  <c r="S507" i="1"/>
  <c r="T507" i="1"/>
  <c r="C507" i="1" s="1"/>
  <c r="D508" i="1"/>
  <c r="G508" i="1"/>
  <c r="H508" i="1"/>
  <c r="I508" i="1"/>
  <c r="Q508" i="1"/>
  <c r="S508" i="1"/>
  <c r="T508" i="1"/>
  <c r="C508" i="1" s="1"/>
  <c r="D509" i="1"/>
  <c r="G509" i="1"/>
  <c r="H509" i="1"/>
  <c r="I509" i="1"/>
  <c r="Q509" i="1"/>
  <c r="S509" i="1"/>
  <c r="T509" i="1"/>
  <c r="C509" i="1" s="1"/>
  <c r="D510" i="1"/>
  <c r="G510" i="1"/>
  <c r="H510" i="1"/>
  <c r="I510" i="1"/>
  <c r="Q510" i="1"/>
  <c r="S510" i="1"/>
  <c r="T510" i="1"/>
  <c r="C510" i="1" s="1"/>
  <c r="D511" i="1"/>
  <c r="G511" i="1"/>
  <c r="H511" i="1"/>
  <c r="I511" i="1"/>
  <c r="Q511" i="1"/>
  <c r="S511" i="1"/>
  <c r="T511" i="1"/>
  <c r="C511" i="1" s="1"/>
  <c r="D512" i="1"/>
  <c r="G512" i="1"/>
  <c r="H512" i="1"/>
  <c r="I512" i="1"/>
  <c r="Q512" i="1"/>
  <c r="S512" i="1"/>
  <c r="T512" i="1"/>
  <c r="C512" i="1" s="1"/>
  <c r="D513" i="1"/>
  <c r="G513" i="1"/>
  <c r="H513" i="1"/>
  <c r="I513" i="1"/>
  <c r="Q513" i="1"/>
  <c r="S513" i="1"/>
  <c r="T513" i="1"/>
  <c r="C513" i="1" s="1"/>
  <c r="D514" i="1"/>
  <c r="G514" i="1"/>
  <c r="H514" i="1"/>
  <c r="I514" i="1"/>
  <c r="Q514" i="1"/>
  <c r="S514" i="1"/>
  <c r="T514" i="1"/>
  <c r="C514" i="1" s="1"/>
  <c r="D515" i="1"/>
  <c r="G515" i="1"/>
  <c r="H515" i="1"/>
  <c r="I515" i="1"/>
  <c r="Q515" i="1"/>
  <c r="S515" i="1"/>
  <c r="T515" i="1"/>
  <c r="C515" i="1" s="1"/>
  <c r="D517" i="1"/>
  <c r="G517" i="1"/>
  <c r="H517" i="1"/>
  <c r="I517" i="1"/>
  <c r="Q517" i="1"/>
  <c r="S517" i="1"/>
  <c r="T517" i="1"/>
  <c r="C517" i="1" s="1"/>
  <c r="D518" i="1"/>
  <c r="G518" i="1"/>
  <c r="H518" i="1"/>
  <c r="I518" i="1"/>
  <c r="Q518" i="1"/>
  <c r="S518" i="1"/>
  <c r="T518" i="1"/>
  <c r="C518" i="1" s="1"/>
  <c r="D519" i="1"/>
  <c r="G519" i="1"/>
  <c r="H519" i="1"/>
  <c r="I519" i="1"/>
  <c r="Q519" i="1"/>
  <c r="S519" i="1"/>
  <c r="T519" i="1"/>
  <c r="C519" i="1" s="1"/>
  <c r="D520" i="1"/>
  <c r="G520" i="1"/>
  <c r="H520" i="1"/>
  <c r="I520" i="1"/>
  <c r="Q520" i="1"/>
  <c r="S520" i="1"/>
  <c r="T520" i="1"/>
  <c r="C520" i="1" s="1"/>
  <c r="D521" i="1"/>
  <c r="G521" i="1"/>
  <c r="H521" i="1"/>
  <c r="I521" i="1"/>
  <c r="Q521" i="1"/>
  <c r="S521" i="1"/>
  <c r="T521" i="1"/>
  <c r="C521" i="1" s="1"/>
  <c r="D522" i="1"/>
  <c r="G522" i="1"/>
  <c r="H522" i="1"/>
  <c r="I522" i="1"/>
  <c r="Q522" i="1"/>
  <c r="S522" i="1"/>
  <c r="T522" i="1"/>
  <c r="C522" i="1" s="1"/>
  <c r="D523" i="1"/>
  <c r="H523" i="1"/>
  <c r="I523" i="1"/>
  <c r="Q523" i="1"/>
  <c r="S523" i="1"/>
  <c r="T523" i="1"/>
  <c r="C523" i="1" s="1"/>
  <c r="D524" i="1"/>
  <c r="G524" i="1"/>
  <c r="H524" i="1"/>
  <c r="I524" i="1"/>
  <c r="Q524" i="1"/>
  <c r="S524" i="1"/>
  <c r="T524" i="1"/>
  <c r="C524" i="1" s="1"/>
  <c r="D525" i="1"/>
  <c r="G525" i="1"/>
  <c r="H525" i="1"/>
  <c r="I525" i="1"/>
  <c r="Q525" i="1"/>
  <c r="S525" i="1"/>
  <c r="T525" i="1"/>
  <c r="C525" i="1" s="1"/>
  <c r="D488" i="1"/>
  <c r="G488" i="1"/>
  <c r="H488" i="1"/>
  <c r="I488" i="1"/>
  <c r="Q488" i="1"/>
  <c r="S488" i="1"/>
  <c r="T488" i="1"/>
  <c r="C488" i="1" s="1"/>
  <c r="D489" i="1"/>
  <c r="G489" i="1"/>
  <c r="H489" i="1"/>
  <c r="I489" i="1"/>
  <c r="Q489" i="1"/>
  <c r="S489" i="1"/>
  <c r="T489" i="1"/>
  <c r="C489" i="1" s="1"/>
  <c r="D491" i="1"/>
  <c r="G491" i="1"/>
  <c r="H491" i="1"/>
  <c r="I491" i="1"/>
  <c r="Q491" i="1"/>
  <c r="S491" i="1"/>
  <c r="T491" i="1"/>
  <c r="C491" i="1" s="1"/>
  <c r="D492" i="1"/>
  <c r="G492" i="1"/>
  <c r="H492" i="1"/>
  <c r="I492" i="1"/>
  <c r="Q492" i="1"/>
  <c r="S492" i="1"/>
  <c r="T492" i="1"/>
  <c r="C492" i="1" s="1"/>
  <c r="D493" i="1"/>
  <c r="G493" i="1"/>
  <c r="H493" i="1"/>
  <c r="I493" i="1"/>
  <c r="Q493" i="1"/>
  <c r="S493" i="1"/>
  <c r="T493" i="1"/>
  <c r="C493" i="1" s="1"/>
  <c r="D499" i="1"/>
  <c r="G499" i="1"/>
  <c r="H499" i="1"/>
  <c r="I499" i="1"/>
  <c r="Q499" i="1"/>
  <c r="S499" i="1"/>
  <c r="T499" i="1"/>
  <c r="C499" i="1" s="1"/>
  <c r="D467" i="1"/>
  <c r="G467" i="1"/>
  <c r="H467" i="1"/>
  <c r="I467" i="1"/>
  <c r="Q467" i="1"/>
  <c r="S467" i="1"/>
  <c r="T467" i="1"/>
  <c r="C467" i="1" s="1"/>
  <c r="D468" i="1"/>
  <c r="G468" i="1"/>
  <c r="H468" i="1"/>
  <c r="I468" i="1"/>
  <c r="Q468" i="1"/>
  <c r="S468" i="1"/>
  <c r="T468" i="1"/>
  <c r="C468" i="1" s="1"/>
  <c r="D469" i="1"/>
  <c r="G469" i="1"/>
  <c r="H469" i="1"/>
  <c r="I469" i="1"/>
  <c r="Q469" i="1"/>
  <c r="S469" i="1"/>
  <c r="T469" i="1"/>
  <c r="C469" i="1" s="1"/>
  <c r="D470" i="1"/>
  <c r="G470" i="1"/>
  <c r="H470" i="1"/>
  <c r="I470" i="1"/>
  <c r="Q470" i="1"/>
  <c r="S470" i="1"/>
  <c r="T470" i="1"/>
  <c r="C470" i="1" s="1"/>
  <c r="D471" i="1"/>
  <c r="G471" i="1"/>
  <c r="H471" i="1"/>
  <c r="I471" i="1"/>
  <c r="Q471" i="1"/>
  <c r="S471" i="1"/>
  <c r="T471" i="1"/>
  <c r="C471" i="1" s="1"/>
  <c r="D472" i="1"/>
  <c r="G472" i="1"/>
  <c r="H472" i="1"/>
  <c r="I472" i="1"/>
  <c r="Q472" i="1"/>
  <c r="S472" i="1"/>
  <c r="T472" i="1"/>
  <c r="C472" i="1" s="1"/>
  <c r="D473" i="1"/>
  <c r="G473" i="1"/>
  <c r="H473" i="1"/>
  <c r="I473" i="1"/>
  <c r="Q473" i="1"/>
  <c r="S473" i="1"/>
  <c r="T473" i="1"/>
  <c r="C473" i="1" s="1"/>
  <c r="D481" i="1"/>
  <c r="G481" i="1"/>
  <c r="H481" i="1"/>
  <c r="I481" i="1"/>
  <c r="Q481" i="1"/>
  <c r="S481" i="1"/>
  <c r="T481" i="1"/>
  <c r="C481" i="1" s="1"/>
  <c r="D482" i="1"/>
  <c r="G482" i="1"/>
  <c r="H482" i="1"/>
  <c r="I482" i="1"/>
  <c r="Q482" i="1"/>
  <c r="S482" i="1"/>
  <c r="T482" i="1"/>
  <c r="C482" i="1" s="1"/>
  <c r="D483" i="1"/>
  <c r="H483" i="1"/>
  <c r="I483" i="1"/>
  <c r="Q483" i="1"/>
  <c r="S483" i="1"/>
  <c r="T483" i="1"/>
  <c r="C483" i="1" s="1"/>
  <c r="D484" i="1"/>
  <c r="G484" i="1"/>
  <c r="H484" i="1"/>
  <c r="I484" i="1"/>
  <c r="Q484" i="1"/>
  <c r="S484" i="1"/>
  <c r="T484" i="1"/>
  <c r="C484" i="1" s="1"/>
  <c r="D485" i="1"/>
  <c r="G485" i="1"/>
  <c r="H485" i="1"/>
  <c r="I485" i="1"/>
  <c r="Q485" i="1"/>
  <c r="S485" i="1"/>
  <c r="T485" i="1"/>
  <c r="C485" i="1" s="1"/>
  <c r="D486" i="1"/>
  <c r="G486" i="1"/>
  <c r="H486" i="1"/>
  <c r="I486" i="1"/>
  <c r="Q486" i="1"/>
  <c r="S486" i="1"/>
  <c r="T486" i="1"/>
  <c r="C486" i="1" s="1"/>
  <c r="D466" i="1"/>
  <c r="G466" i="1"/>
  <c r="H466" i="1"/>
  <c r="I466" i="1"/>
  <c r="J466" i="1"/>
  <c r="K466" i="1"/>
  <c r="L466" i="1"/>
  <c r="M466" i="1"/>
  <c r="N466" i="1"/>
  <c r="O466" i="1"/>
  <c r="Q466" i="1"/>
  <c r="S466" i="1"/>
  <c r="T466" i="1"/>
  <c r="C466" i="1" s="1"/>
  <c r="D726" i="1"/>
  <c r="H726" i="1"/>
  <c r="J726" i="1"/>
  <c r="K726" i="1"/>
  <c r="L726" i="1"/>
  <c r="M726" i="1"/>
  <c r="N726" i="1"/>
  <c r="O726" i="1"/>
  <c r="Q726" i="1"/>
  <c r="S726" i="1"/>
  <c r="T726" i="1"/>
  <c r="C726" i="1" s="1"/>
  <c r="D727" i="1"/>
  <c r="H727" i="1"/>
  <c r="J727" i="1"/>
  <c r="K727" i="1"/>
  <c r="L727" i="1"/>
  <c r="M727" i="1"/>
  <c r="N727" i="1"/>
  <c r="O727" i="1"/>
  <c r="Q727" i="1"/>
  <c r="S727" i="1"/>
  <c r="T727" i="1"/>
  <c r="C727" i="1" s="1"/>
  <c r="D728" i="1"/>
  <c r="H728" i="1"/>
  <c r="J728" i="1"/>
  <c r="K728" i="1"/>
  <c r="L728" i="1"/>
  <c r="M728" i="1"/>
  <c r="N728" i="1"/>
  <c r="O728" i="1"/>
  <c r="Q728" i="1"/>
  <c r="S728" i="1"/>
  <c r="T728" i="1"/>
  <c r="C728" i="1" s="1"/>
  <c r="D729" i="1"/>
  <c r="H729" i="1"/>
  <c r="J729" i="1"/>
  <c r="K729" i="1"/>
  <c r="L729" i="1"/>
  <c r="M729" i="1"/>
  <c r="N729" i="1"/>
  <c r="O729" i="1"/>
  <c r="Q729" i="1"/>
  <c r="S729" i="1"/>
  <c r="T729" i="1"/>
  <c r="C729" i="1" s="1"/>
  <c r="D730" i="1"/>
  <c r="H730" i="1"/>
  <c r="J730" i="1"/>
  <c r="K730" i="1"/>
  <c r="L730" i="1"/>
  <c r="M730" i="1"/>
  <c r="N730" i="1"/>
  <c r="O730" i="1"/>
  <c r="Q730" i="1"/>
  <c r="S730" i="1"/>
  <c r="T730" i="1"/>
  <c r="C730" i="1" s="1"/>
  <c r="D731" i="1"/>
  <c r="H731" i="1"/>
  <c r="J731" i="1"/>
  <c r="K731" i="1"/>
  <c r="L731" i="1"/>
  <c r="M731" i="1"/>
  <c r="N731" i="1"/>
  <c r="Q731" i="1"/>
  <c r="S731" i="1"/>
  <c r="T731" i="1"/>
  <c r="C731" i="1" s="1"/>
  <c r="D732" i="1"/>
  <c r="J732" i="1"/>
  <c r="K732" i="1"/>
  <c r="L732" i="1"/>
  <c r="M732" i="1"/>
  <c r="Q732" i="1"/>
  <c r="S732" i="1"/>
  <c r="T732" i="1"/>
  <c r="C732" i="1" s="1"/>
  <c r="D733" i="1"/>
  <c r="H733" i="1"/>
  <c r="J733" i="1"/>
  <c r="K733" i="1"/>
  <c r="L733" i="1"/>
  <c r="M733" i="1"/>
  <c r="N733" i="1"/>
  <c r="Q733" i="1"/>
  <c r="S733" i="1"/>
  <c r="T733" i="1"/>
  <c r="C733" i="1" s="1"/>
  <c r="D734" i="1"/>
  <c r="H734" i="1"/>
  <c r="J734" i="1"/>
  <c r="K734" i="1"/>
  <c r="L734" i="1"/>
  <c r="M734" i="1"/>
  <c r="N734" i="1"/>
  <c r="Q734" i="1"/>
  <c r="S734" i="1"/>
  <c r="T734" i="1"/>
  <c r="C734" i="1" s="1"/>
  <c r="D735" i="1"/>
  <c r="H735" i="1"/>
  <c r="J735" i="1"/>
  <c r="K735" i="1"/>
  <c r="L735" i="1"/>
  <c r="M735" i="1"/>
  <c r="N735" i="1"/>
  <c r="Q735" i="1"/>
  <c r="S735" i="1"/>
  <c r="T735" i="1"/>
  <c r="C735" i="1" s="1"/>
  <c r="H736" i="1"/>
  <c r="J736" i="1"/>
  <c r="K736" i="1"/>
  <c r="L736" i="1"/>
  <c r="M736" i="1"/>
  <c r="N736" i="1"/>
  <c r="Q736" i="1"/>
  <c r="S736" i="1"/>
  <c r="T736" i="1"/>
  <c r="C736" i="1" s="1"/>
  <c r="T725" i="1"/>
  <c r="C725" i="1" s="1"/>
  <c r="Q725" i="1"/>
  <c r="O725" i="1"/>
  <c r="N725" i="1"/>
  <c r="M725" i="1"/>
  <c r="L725" i="1"/>
  <c r="K725" i="1"/>
  <c r="J725" i="1"/>
  <c r="H725" i="1"/>
  <c r="D725" i="1"/>
  <c r="S725" i="1"/>
  <c r="Q441" i="1"/>
  <c r="H660" i="1"/>
  <c r="R650" i="1" s="1"/>
  <c r="S532" i="1"/>
  <c r="S533" i="1"/>
  <c r="S535" i="1"/>
  <c r="S536" i="1"/>
  <c r="S538" i="1"/>
  <c r="S539" i="1"/>
  <c r="S540" i="1"/>
  <c r="S543" i="1"/>
  <c r="Q536" i="1"/>
  <c r="T244" i="1"/>
  <c r="C244" i="1" s="1"/>
  <c r="T245" i="1"/>
  <c r="C245" i="1" s="1"/>
  <c r="H801" i="1"/>
  <c r="H802" i="1"/>
  <c r="H803" i="1"/>
  <c r="H804" i="1"/>
  <c r="H800" i="1"/>
  <c r="S244" i="1"/>
  <c r="D288" i="1"/>
  <c r="G288" i="1"/>
  <c r="H288" i="1"/>
  <c r="I288" i="1"/>
  <c r="Q288" i="1"/>
  <c r="S288" i="1"/>
  <c r="T288" i="1"/>
  <c r="C288" i="1" s="1"/>
  <c r="D139" i="1"/>
  <c r="G139" i="1"/>
  <c r="H139" i="1"/>
  <c r="I139" i="1"/>
  <c r="Q139" i="1"/>
  <c r="S139" i="1"/>
  <c r="T139" i="1"/>
  <c r="C139" i="1" s="1"/>
  <c r="I810" i="1"/>
  <c r="I811" i="1"/>
  <c r="I812" i="1"/>
  <c r="I813" i="1"/>
  <c r="I814" i="1"/>
  <c r="I815" i="1"/>
  <c r="D441" i="1"/>
  <c r="G441" i="1"/>
  <c r="H441" i="1"/>
  <c r="I441" i="1"/>
  <c r="S441" i="1"/>
  <c r="T441" i="1"/>
  <c r="C441" i="1" s="1"/>
  <c r="D424" i="1"/>
  <c r="G424" i="1"/>
  <c r="H424" i="1"/>
  <c r="I424" i="1"/>
  <c r="Q424" i="1"/>
  <c r="S424" i="1"/>
  <c r="T424" i="1"/>
  <c r="C424" i="1" s="1"/>
  <c r="B1" i="5"/>
  <c r="C460" i="1"/>
  <c r="C223" i="1"/>
  <c r="M244" i="1"/>
  <c r="M245" i="1"/>
  <c r="D245" i="1"/>
  <c r="M769" i="1"/>
  <c r="M761" i="1"/>
  <c r="M758" i="1"/>
  <c r="M751" i="1"/>
  <c r="M749" i="1"/>
  <c r="M744" i="1"/>
  <c r="M742" i="1"/>
  <c r="M795" i="1"/>
  <c r="D792" i="1"/>
  <c r="H792" i="1"/>
  <c r="K792" i="1"/>
  <c r="L792" i="1"/>
  <c r="M792" i="1"/>
  <c r="N792" i="1"/>
  <c r="O792" i="1"/>
  <c r="Q792" i="1"/>
  <c r="S792" i="1"/>
  <c r="T792" i="1"/>
  <c r="C792" i="1" s="1"/>
  <c r="D793" i="1"/>
  <c r="H793" i="1"/>
  <c r="K793" i="1"/>
  <c r="L793" i="1"/>
  <c r="M793" i="1"/>
  <c r="N793" i="1"/>
  <c r="O793" i="1"/>
  <c r="Q793" i="1"/>
  <c r="S793" i="1"/>
  <c r="T793" i="1"/>
  <c r="C793" i="1" s="1"/>
  <c r="D794" i="1"/>
  <c r="H794" i="1"/>
  <c r="K794" i="1"/>
  <c r="L794" i="1"/>
  <c r="M794" i="1"/>
  <c r="N794" i="1"/>
  <c r="O794" i="1"/>
  <c r="Q794" i="1"/>
  <c r="S794" i="1"/>
  <c r="T794" i="1"/>
  <c r="C794" i="1" s="1"/>
  <c r="D795" i="1"/>
  <c r="H795" i="1"/>
  <c r="K795" i="1"/>
  <c r="L795" i="1"/>
  <c r="N795" i="1"/>
  <c r="O795" i="1"/>
  <c r="Q795" i="1"/>
  <c r="S795" i="1"/>
  <c r="T795" i="1"/>
  <c r="C795" i="1" s="1"/>
  <c r="T791" i="1"/>
  <c r="C791" i="1" s="1"/>
  <c r="Q791" i="1"/>
  <c r="O791" i="1"/>
  <c r="N791" i="1"/>
  <c r="M791" i="1"/>
  <c r="L791" i="1"/>
  <c r="K791" i="1"/>
  <c r="H791" i="1"/>
  <c r="D791" i="1"/>
  <c r="S791" i="1"/>
  <c r="D199" i="1"/>
  <c r="G199" i="1"/>
  <c r="H199" i="1"/>
  <c r="I199" i="1"/>
  <c r="Q199" i="1"/>
  <c r="S199" i="1"/>
  <c r="T199" i="1"/>
  <c r="C199" i="1" s="1"/>
  <c r="Q244" i="1"/>
  <c r="G245" i="1"/>
  <c r="H245" i="1"/>
  <c r="K245" i="1"/>
  <c r="L245" i="1"/>
  <c r="Q245" i="1"/>
  <c r="S245" i="1"/>
  <c r="L244" i="1"/>
  <c r="K244" i="1"/>
  <c r="H244" i="1"/>
  <c r="G244" i="1"/>
  <c r="D244" i="1"/>
  <c r="T536" i="1"/>
  <c r="C536" i="1" s="1"/>
  <c r="I536" i="1"/>
  <c r="H536" i="1"/>
  <c r="G536" i="1"/>
  <c r="D536" i="1"/>
  <c r="H543" i="1"/>
  <c r="S832" i="1"/>
  <c r="S822" i="1"/>
  <c r="S810" i="1"/>
  <c r="S801" i="1"/>
  <c r="S802" i="1"/>
  <c r="S803" i="1"/>
  <c r="S804" i="1"/>
  <c r="S800" i="1"/>
  <c r="S657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41" i="1"/>
  <c r="S667" i="1"/>
  <c r="S640" i="1"/>
  <c r="S555" i="1"/>
  <c r="S460" i="1"/>
  <c r="S362" i="1"/>
  <c r="S237" i="1"/>
  <c r="S225" i="1"/>
  <c r="S207" i="1"/>
  <c r="S188" i="1"/>
  <c r="S284" i="1"/>
  <c r="S285" i="1"/>
  <c r="S286" i="1"/>
  <c r="S287" i="1"/>
  <c r="S289" i="1"/>
  <c r="S290" i="1"/>
  <c r="S291" i="1"/>
  <c r="S293" i="1"/>
  <c r="S295" i="1"/>
  <c r="S297" i="1"/>
  <c r="S298" i="1"/>
  <c r="S299" i="1"/>
  <c r="S300" i="1"/>
  <c r="S301" i="1"/>
  <c r="S302" i="1"/>
  <c r="S304" i="1"/>
  <c r="S305" i="1"/>
  <c r="S306" i="1"/>
  <c r="S308" i="1"/>
  <c r="S311" i="1"/>
  <c r="S312" i="1"/>
  <c r="S314" i="1"/>
  <c r="S315" i="1"/>
  <c r="S316" i="1"/>
  <c r="S317" i="1"/>
  <c r="S320" i="1"/>
  <c r="S321" i="1"/>
  <c r="S322" i="1"/>
  <c r="S323" i="1"/>
  <c r="S324" i="1"/>
  <c r="S325" i="1"/>
  <c r="S326" i="1"/>
  <c r="S327" i="1"/>
  <c r="S328" i="1"/>
  <c r="S329" i="1"/>
  <c r="S833" i="1"/>
  <c r="S834" i="1"/>
  <c r="S835" i="1"/>
  <c r="S836" i="1"/>
  <c r="S831" i="1"/>
  <c r="H832" i="1"/>
  <c r="H833" i="1"/>
  <c r="H834" i="1"/>
  <c r="H835" i="1"/>
  <c r="H836" i="1"/>
  <c r="H831" i="1"/>
  <c r="H821" i="1"/>
  <c r="H822" i="1"/>
  <c r="H823" i="1"/>
  <c r="H824" i="1"/>
  <c r="H825" i="1"/>
  <c r="H826" i="1"/>
  <c r="H820" i="1"/>
  <c r="H810" i="1"/>
  <c r="H811" i="1"/>
  <c r="H812" i="1"/>
  <c r="H813" i="1"/>
  <c r="H814" i="1"/>
  <c r="H815" i="1"/>
  <c r="H809" i="1"/>
  <c r="H656" i="1"/>
  <c r="H657" i="1"/>
  <c r="H658" i="1"/>
  <c r="H659" i="1"/>
  <c r="H655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41" i="1"/>
  <c r="H665" i="1"/>
  <c r="H666" i="1"/>
  <c r="H667" i="1"/>
  <c r="H668" i="1"/>
  <c r="H669" i="1"/>
  <c r="H670" i="1"/>
  <c r="H639" i="1"/>
  <c r="H640" i="1"/>
  <c r="H641" i="1"/>
  <c r="H642" i="1"/>
  <c r="H643" i="1"/>
  <c r="H644" i="1"/>
  <c r="H638" i="1"/>
  <c r="H551" i="1"/>
  <c r="H552" i="1"/>
  <c r="H553" i="1"/>
  <c r="H554" i="1"/>
  <c r="H555" i="1"/>
  <c r="H556" i="1"/>
  <c r="H557" i="1"/>
  <c r="H558" i="1"/>
  <c r="H559" i="1"/>
  <c r="H560" i="1"/>
  <c r="H550" i="1"/>
  <c r="H535" i="1"/>
  <c r="H538" i="1"/>
  <c r="H539" i="1"/>
  <c r="H540" i="1"/>
  <c r="H545" i="1"/>
  <c r="H532" i="1"/>
  <c r="H533" i="1"/>
  <c r="H465" i="1"/>
  <c r="H460" i="1"/>
  <c r="H334" i="1"/>
  <c r="H336" i="1"/>
  <c r="H284" i="1"/>
  <c r="H285" i="1"/>
  <c r="H286" i="1"/>
  <c r="H287" i="1"/>
  <c r="H289" i="1"/>
  <c r="H290" i="1"/>
  <c r="H291" i="1"/>
  <c r="H293" i="1"/>
  <c r="H295" i="1"/>
  <c r="H297" i="1"/>
  <c r="H298" i="1"/>
  <c r="H299" i="1"/>
  <c r="H300" i="1"/>
  <c r="H301" i="1"/>
  <c r="H302" i="1"/>
  <c r="H304" i="1"/>
  <c r="H305" i="1"/>
  <c r="H306" i="1"/>
  <c r="H308" i="1"/>
  <c r="H311" i="1"/>
  <c r="H312" i="1"/>
  <c r="H314" i="1"/>
  <c r="H315" i="1"/>
  <c r="H316" i="1"/>
  <c r="H317" i="1"/>
  <c r="H320" i="1"/>
  <c r="H321" i="1"/>
  <c r="H322" i="1"/>
  <c r="H323" i="1"/>
  <c r="H324" i="1"/>
  <c r="H325" i="1"/>
  <c r="H326" i="1"/>
  <c r="H327" i="1"/>
  <c r="H328" i="1"/>
  <c r="H329" i="1"/>
  <c r="H357" i="1"/>
  <c r="H358" i="1"/>
  <c r="H359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8" i="1"/>
  <c r="H379" i="1"/>
  <c r="H380" i="1"/>
  <c r="H381" i="1"/>
  <c r="H382" i="1"/>
  <c r="H383" i="1"/>
  <c r="H384" i="1"/>
  <c r="H385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9" i="1"/>
  <c r="H410" i="1"/>
  <c r="H411" i="1"/>
  <c r="H413" i="1"/>
  <c r="H414" i="1"/>
  <c r="H418" i="1"/>
  <c r="H419" i="1"/>
  <c r="H420" i="1"/>
  <c r="H421" i="1"/>
  <c r="H422" i="1"/>
  <c r="H423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9" i="1"/>
  <c r="H440" i="1"/>
  <c r="H442" i="1"/>
  <c r="H443" i="1"/>
  <c r="H444" i="1"/>
  <c r="H446" i="1"/>
  <c r="H447" i="1"/>
  <c r="H448" i="1"/>
  <c r="H449" i="1"/>
  <c r="H450" i="1"/>
  <c r="H451" i="1"/>
  <c r="H452" i="1"/>
  <c r="H455" i="1"/>
  <c r="H356" i="1"/>
  <c r="H236" i="1"/>
  <c r="H237" i="1"/>
  <c r="H238" i="1"/>
  <c r="H239" i="1"/>
  <c r="H234" i="1"/>
  <c r="H235" i="1"/>
  <c r="H223" i="1"/>
  <c r="H225" i="1"/>
  <c r="H226" i="1"/>
  <c r="H178" i="1"/>
  <c r="H229" i="1"/>
  <c r="H208" i="1"/>
  <c r="H209" i="1"/>
  <c r="H210" i="1"/>
  <c r="H211" i="1"/>
  <c r="H212" i="1"/>
  <c r="H213" i="1"/>
  <c r="H214" i="1"/>
  <c r="H216" i="1"/>
  <c r="H217" i="1"/>
  <c r="H218" i="1"/>
  <c r="H207" i="1"/>
  <c r="H190" i="1"/>
  <c r="H191" i="1"/>
  <c r="H192" i="1"/>
  <c r="H193" i="1"/>
  <c r="H194" i="1"/>
  <c r="H195" i="1"/>
  <c r="H196" i="1"/>
  <c r="H197" i="1"/>
  <c r="H200" i="1"/>
  <c r="H201" i="1"/>
  <c r="H202" i="1"/>
  <c r="H188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5" i="1"/>
  <c r="H86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6" i="1"/>
  <c r="H127" i="1"/>
  <c r="H129" i="1"/>
  <c r="H130" i="1"/>
  <c r="H131" i="1"/>
  <c r="H132" i="1"/>
  <c r="H133" i="1"/>
  <c r="H134" i="1"/>
  <c r="H137" i="1"/>
  <c r="H138" i="1"/>
  <c r="H140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7" i="1"/>
  <c r="H168" i="1"/>
  <c r="H169" i="1"/>
  <c r="H170" i="1"/>
  <c r="H23" i="1"/>
  <c r="D554" i="1"/>
  <c r="I554" i="1"/>
  <c r="Q554" i="1"/>
  <c r="S554" i="1"/>
  <c r="T554" i="1"/>
  <c r="C554" i="1" s="1"/>
  <c r="D555" i="1"/>
  <c r="I555" i="1"/>
  <c r="Q555" i="1"/>
  <c r="T555" i="1"/>
  <c r="C555" i="1" s="1"/>
  <c r="D556" i="1"/>
  <c r="I556" i="1"/>
  <c r="Q556" i="1"/>
  <c r="S556" i="1"/>
  <c r="T556" i="1"/>
  <c r="C556" i="1" s="1"/>
  <c r="D557" i="1"/>
  <c r="I557" i="1"/>
  <c r="Q557" i="1"/>
  <c r="S557" i="1"/>
  <c r="T557" i="1"/>
  <c r="C557" i="1" s="1"/>
  <c r="D558" i="1"/>
  <c r="I558" i="1"/>
  <c r="Q558" i="1"/>
  <c r="S558" i="1"/>
  <c r="T558" i="1"/>
  <c r="C558" i="1" s="1"/>
  <c r="D559" i="1"/>
  <c r="I559" i="1"/>
  <c r="Q559" i="1"/>
  <c r="S559" i="1"/>
  <c r="T559" i="1"/>
  <c r="C559" i="1" s="1"/>
  <c r="D560" i="1"/>
  <c r="I560" i="1"/>
  <c r="Q560" i="1"/>
  <c r="S560" i="1"/>
  <c r="T560" i="1"/>
  <c r="C560" i="1" s="1"/>
  <c r="D447" i="1"/>
  <c r="G447" i="1"/>
  <c r="I447" i="1"/>
  <c r="Q447" i="1"/>
  <c r="S447" i="1"/>
  <c r="T447" i="1"/>
  <c r="C447" i="1" s="1"/>
  <c r="D35" i="1"/>
  <c r="G35" i="1"/>
  <c r="I35" i="1"/>
  <c r="Q35" i="1"/>
  <c r="S35" i="1"/>
  <c r="T35" i="1"/>
  <c r="C35" i="1" s="1"/>
  <c r="D36" i="1"/>
  <c r="G36" i="1"/>
  <c r="I36" i="1"/>
  <c r="Q36" i="1"/>
  <c r="S36" i="1"/>
  <c r="T36" i="1"/>
  <c r="C36" i="1" s="1"/>
  <c r="D37" i="1"/>
  <c r="G37" i="1"/>
  <c r="I37" i="1"/>
  <c r="Q37" i="1"/>
  <c r="S37" i="1"/>
  <c r="T37" i="1"/>
  <c r="C37" i="1" s="1"/>
  <c r="D38" i="1"/>
  <c r="G38" i="1"/>
  <c r="I38" i="1"/>
  <c r="Q38" i="1"/>
  <c r="S38" i="1"/>
  <c r="T38" i="1"/>
  <c r="C38" i="1" s="1"/>
  <c r="D39" i="1"/>
  <c r="G39" i="1"/>
  <c r="I39" i="1"/>
  <c r="Q39" i="1"/>
  <c r="S39" i="1"/>
  <c r="T39" i="1"/>
  <c r="C39" i="1" s="1"/>
  <c r="D40" i="1"/>
  <c r="G40" i="1"/>
  <c r="I40" i="1"/>
  <c r="Q40" i="1"/>
  <c r="S40" i="1"/>
  <c r="T40" i="1"/>
  <c r="C40" i="1" s="1"/>
  <c r="D41" i="1"/>
  <c r="G41" i="1"/>
  <c r="I41" i="1"/>
  <c r="Q41" i="1"/>
  <c r="S41" i="1"/>
  <c r="T41" i="1"/>
  <c r="C41" i="1" s="1"/>
  <c r="D42" i="1"/>
  <c r="G42" i="1"/>
  <c r="I42" i="1"/>
  <c r="Q42" i="1"/>
  <c r="S42" i="1"/>
  <c r="T42" i="1"/>
  <c r="C42" i="1" s="1"/>
  <c r="D45" i="1"/>
  <c r="G45" i="1"/>
  <c r="I45" i="1"/>
  <c r="Q45" i="1"/>
  <c r="S45" i="1"/>
  <c r="T45" i="1"/>
  <c r="C45" i="1" s="1"/>
  <c r="D46" i="1"/>
  <c r="G46" i="1"/>
  <c r="I46" i="1"/>
  <c r="Q46" i="1"/>
  <c r="S46" i="1"/>
  <c r="T46" i="1"/>
  <c r="C46" i="1" s="1"/>
  <c r="D47" i="1"/>
  <c r="G47" i="1"/>
  <c r="I47" i="1"/>
  <c r="Q47" i="1"/>
  <c r="S47" i="1"/>
  <c r="T47" i="1"/>
  <c r="C47" i="1" s="1"/>
  <c r="D48" i="1"/>
  <c r="G48" i="1"/>
  <c r="I48" i="1"/>
  <c r="Q48" i="1"/>
  <c r="S48" i="1"/>
  <c r="T48" i="1"/>
  <c r="C48" i="1" s="1"/>
  <c r="D49" i="1"/>
  <c r="G49" i="1"/>
  <c r="I49" i="1"/>
  <c r="Q49" i="1"/>
  <c r="S49" i="1"/>
  <c r="T49" i="1"/>
  <c r="C49" i="1" s="1"/>
  <c r="D50" i="1"/>
  <c r="G50" i="1"/>
  <c r="I50" i="1"/>
  <c r="Q50" i="1"/>
  <c r="S50" i="1"/>
  <c r="T50" i="1"/>
  <c r="C50" i="1" s="1"/>
  <c r="D51" i="1"/>
  <c r="G51" i="1"/>
  <c r="I51" i="1"/>
  <c r="Q51" i="1"/>
  <c r="S51" i="1"/>
  <c r="T51" i="1"/>
  <c r="C51" i="1" s="1"/>
  <c r="D52" i="1"/>
  <c r="G52" i="1"/>
  <c r="I52" i="1"/>
  <c r="Q52" i="1"/>
  <c r="S52" i="1"/>
  <c r="T52" i="1"/>
  <c r="C52" i="1" s="1"/>
  <c r="D53" i="1"/>
  <c r="G53" i="1"/>
  <c r="I53" i="1"/>
  <c r="Q53" i="1"/>
  <c r="S53" i="1"/>
  <c r="T53" i="1"/>
  <c r="C53" i="1" s="1"/>
  <c r="D54" i="1"/>
  <c r="G54" i="1"/>
  <c r="I54" i="1"/>
  <c r="Q54" i="1"/>
  <c r="S54" i="1"/>
  <c r="T54" i="1"/>
  <c r="C54" i="1" s="1"/>
  <c r="D55" i="1"/>
  <c r="G55" i="1"/>
  <c r="I55" i="1"/>
  <c r="Q55" i="1"/>
  <c r="S55" i="1"/>
  <c r="T55" i="1"/>
  <c r="C55" i="1" s="1"/>
  <c r="D56" i="1"/>
  <c r="G56" i="1"/>
  <c r="I56" i="1"/>
  <c r="Q56" i="1"/>
  <c r="S56" i="1"/>
  <c r="T56" i="1"/>
  <c r="C56" i="1" s="1"/>
  <c r="D57" i="1"/>
  <c r="G57" i="1"/>
  <c r="I57" i="1"/>
  <c r="Q57" i="1"/>
  <c r="S57" i="1"/>
  <c r="T57" i="1"/>
  <c r="C57" i="1" s="1"/>
  <c r="D59" i="1"/>
  <c r="G59" i="1"/>
  <c r="I59" i="1"/>
  <c r="Q59" i="1"/>
  <c r="S59" i="1"/>
  <c r="T59" i="1"/>
  <c r="C59" i="1" s="1"/>
  <c r="D60" i="1"/>
  <c r="G60" i="1"/>
  <c r="I60" i="1"/>
  <c r="Q60" i="1"/>
  <c r="S60" i="1"/>
  <c r="T60" i="1"/>
  <c r="C60" i="1" s="1"/>
  <c r="D61" i="1"/>
  <c r="G61" i="1"/>
  <c r="I61" i="1"/>
  <c r="Q61" i="1"/>
  <c r="S61" i="1"/>
  <c r="T61" i="1"/>
  <c r="C61" i="1" s="1"/>
  <c r="D62" i="1"/>
  <c r="G62" i="1"/>
  <c r="I62" i="1"/>
  <c r="Q62" i="1"/>
  <c r="S62" i="1"/>
  <c r="T62" i="1"/>
  <c r="C62" i="1" s="1"/>
  <c r="D63" i="1"/>
  <c r="G63" i="1"/>
  <c r="I63" i="1"/>
  <c r="Q63" i="1"/>
  <c r="S63" i="1"/>
  <c r="T63" i="1"/>
  <c r="C63" i="1" s="1"/>
  <c r="D64" i="1"/>
  <c r="G64" i="1"/>
  <c r="I64" i="1"/>
  <c r="Q64" i="1"/>
  <c r="S64" i="1"/>
  <c r="T64" i="1"/>
  <c r="C64" i="1" s="1"/>
  <c r="D65" i="1"/>
  <c r="G65" i="1"/>
  <c r="I65" i="1"/>
  <c r="Q65" i="1"/>
  <c r="S65" i="1"/>
  <c r="T65" i="1"/>
  <c r="C65" i="1" s="1"/>
  <c r="D66" i="1"/>
  <c r="G66" i="1"/>
  <c r="I66" i="1"/>
  <c r="Q66" i="1"/>
  <c r="S66" i="1"/>
  <c r="T66" i="1"/>
  <c r="C66" i="1" s="1"/>
  <c r="D67" i="1"/>
  <c r="G67" i="1"/>
  <c r="I67" i="1"/>
  <c r="Q67" i="1"/>
  <c r="S67" i="1"/>
  <c r="T67" i="1"/>
  <c r="C67" i="1" s="1"/>
  <c r="D68" i="1"/>
  <c r="G68" i="1"/>
  <c r="I68" i="1"/>
  <c r="Q68" i="1"/>
  <c r="S68" i="1"/>
  <c r="T68" i="1"/>
  <c r="C68" i="1" s="1"/>
  <c r="D69" i="1"/>
  <c r="G69" i="1"/>
  <c r="I69" i="1"/>
  <c r="Q69" i="1"/>
  <c r="S69" i="1"/>
  <c r="T69" i="1"/>
  <c r="C69" i="1" s="1"/>
  <c r="D70" i="1"/>
  <c r="G70" i="1"/>
  <c r="I70" i="1"/>
  <c r="Q70" i="1"/>
  <c r="S70" i="1"/>
  <c r="T70" i="1"/>
  <c r="C70" i="1" s="1"/>
  <c r="D71" i="1"/>
  <c r="G71" i="1"/>
  <c r="I71" i="1"/>
  <c r="Q71" i="1"/>
  <c r="S71" i="1"/>
  <c r="T71" i="1"/>
  <c r="C71" i="1" s="1"/>
  <c r="D72" i="1"/>
  <c r="G72" i="1"/>
  <c r="I72" i="1"/>
  <c r="Q72" i="1"/>
  <c r="S72" i="1"/>
  <c r="T72" i="1"/>
  <c r="C72" i="1" s="1"/>
  <c r="D73" i="1"/>
  <c r="G73" i="1"/>
  <c r="I73" i="1"/>
  <c r="Q73" i="1"/>
  <c r="S73" i="1"/>
  <c r="T73" i="1"/>
  <c r="C73" i="1" s="1"/>
  <c r="D74" i="1"/>
  <c r="G74" i="1"/>
  <c r="I74" i="1"/>
  <c r="Q74" i="1"/>
  <c r="S74" i="1"/>
  <c r="T74" i="1"/>
  <c r="C74" i="1" s="1"/>
  <c r="D75" i="1"/>
  <c r="G75" i="1"/>
  <c r="I75" i="1"/>
  <c r="Q75" i="1"/>
  <c r="S75" i="1"/>
  <c r="T75" i="1"/>
  <c r="C75" i="1" s="1"/>
  <c r="D77" i="1"/>
  <c r="G77" i="1"/>
  <c r="I77" i="1"/>
  <c r="Q77" i="1"/>
  <c r="S77" i="1"/>
  <c r="T77" i="1"/>
  <c r="C77" i="1" s="1"/>
  <c r="D78" i="1"/>
  <c r="G78" i="1"/>
  <c r="I78" i="1"/>
  <c r="Q78" i="1"/>
  <c r="S78" i="1"/>
  <c r="T78" i="1"/>
  <c r="C78" i="1" s="1"/>
  <c r="D79" i="1"/>
  <c r="G79" i="1"/>
  <c r="I79" i="1"/>
  <c r="Q79" i="1"/>
  <c r="S79" i="1"/>
  <c r="T79" i="1"/>
  <c r="C79" i="1" s="1"/>
  <c r="D80" i="1"/>
  <c r="G80" i="1"/>
  <c r="I80" i="1"/>
  <c r="Q80" i="1"/>
  <c r="S80" i="1"/>
  <c r="T80" i="1"/>
  <c r="C80" i="1" s="1"/>
  <c r="D81" i="1"/>
  <c r="G81" i="1"/>
  <c r="I81" i="1"/>
  <c r="Q81" i="1"/>
  <c r="S81" i="1"/>
  <c r="T81" i="1"/>
  <c r="C81" i="1" s="1"/>
  <c r="D82" i="1"/>
  <c r="G82" i="1"/>
  <c r="I82" i="1"/>
  <c r="Q82" i="1"/>
  <c r="S82" i="1"/>
  <c r="T82" i="1"/>
  <c r="C82" i="1" s="1"/>
  <c r="D85" i="1"/>
  <c r="G85" i="1"/>
  <c r="I85" i="1"/>
  <c r="Q85" i="1"/>
  <c r="S85" i="1"/>
  <c r="T85" i="1"/>
  <c r="C85" i="1" s="1"/>
  <c r="D86" i="1"/>
  <c r="G86" i="1"/>
  <c r="I86" i="1"/>
  <c r="Q86" i="1"/>
  <c r="S86" i="1"/>
  <c r="T86" i="1"/>
  <c r="C86" i="1" s="1"/>
  <c r="D88" i="1"/>
  <c r="G88" i="1"/>
  <c r="I88" i="1"/>
  <c r="Q88" i="1"/>
  <c r="S88" i="1"/>
  <c r="T88" i="1"/>
  <c r="C88" i="1" s="1"/>
  <c r="D89" i="1"/>
  <c r="G89" i="1"/>
  <c r="I89" i="1"/>
  <c r="Q89" i="1"/>
  <c r="S89" i="1"/>
  <c r="T89" i="1"/>
  <c r="C89" i="1" s="1"/>
  <c r="D90" i="1"/>
  <c r="G90" i="1"/>
  <c r="I90" i="1"/>
  <c r="Q90" i="1"/>
  <c r="S90" i="1"/>
  <c r="T90" i="1"/>
  <c r="C90" i="1" s="1"/>
  <c r="D91" i="1"/>
  <c r="G91" i="1"/>
  <c r="I91" i="1"/>
  <c r="Q91" i="1"/>
  <c r="S91" i="1"/>
  <c r="T91" i="1"/>
  <c r="C91" i="1" s="1"/>
  <c r="D92" i="1"/>
  <c r="G92" i="1"/>
  <c r="I92" i="1"/>
  <c r="Q92" i="1"/>
  <c r="S92" i="1"/>
  <c r="T92" i="1"/>
  <c r="C92" i="1" s="1"/>
  <c r="D93" i="1"/>
  <c r="G93" i="1"/>
  <c r="I93" i="1"/>
  <c r="Q93" i="1"/>
  <c r="S93" i="1"/>
  <c r="T93" i="1"/>
  <c r="C93" i="1" s="1"/>
  <c r="D94" i="1"/>
  <c r="G94" i="1"/>
  <c r="I94" i="1"/>
  <c r="Q94" i="1"/>
  <c r="S94" i="1"/>
  <c r="T94" i="1"/>
  <c r="C94" i="1" s="1"/>
  <c r="D95" i="1"/>
  <c r="G95" i="1"/>
  <c r="I95" i="1"/>
  <c r="Q95" i="1"/>
  <c r="S95" i="1"/>
  <c r="T95" i="1"/>
  <c r="C95" i="1" s="1"/>
  <c r="D96" i="1"/>
  <c r="G96" i="1"/>
  <c r="I96" i="1"/>
  <c r="Q96" i="1"/>
  <c r="S96" i="1"/>
  <c r="T96" i="1"/>
  <c r="C96" i="1" s="1"/>
  <c r="D97" i="1"/>
  <c r="G97" i="1"/>
  <c r="I97" i="1"/>
  <c r="Q97" i="1"/>
  <c r="S97" i="1"/>
  <c r="T97" i="1"/>
  <c r="C97" i="1" s="1"/>
  <c r="D99" i="1"/>
  <c r="G99" i="1"/>
  <c r="I99" i="1"/>
  <c r="Q99" i="1"/>
  <c r="S99" i="1"/>
  <c r="T99" i="1"/>
  <c r="C99" i="1" s="1"/>
  <c r="D100" i="1"/>
  <c r="G100" i="1"/>
  <c r="I100" i="1"/>
  <c r="Q100" i="1"/>
  <c r="S100" i="1"/>
  <c r="T100" i="1"/>
  <c r="C100" i="1" s="1"/>
  <c r="D101" i="1"/>
  <c r="G101" i="1"/>
  <c r="I101" i="1"/>
  <c r="Q101" i="1"/>
  <c r="S101" i="1"/>
  <c r="T101" i="1"/>
  <c r="C101" i="1" s="1"/>
  <c r="D102" i="1"/>
  <c r="G102" i="1"/>
  <c r="I102" i="1"/>
  <c r="Q102" i="1"/>
  <c r="S102" i="1"/>
  <c r="T102" i="1"/>
  <c r="C102" i="1" s="1"/>
  <c r="D103" i="1"/>
  <c r="G103" i="1"/>
  <c r="I103" i="1"/>
  <c r="Q103" i="1"/>
  <c r="S103" i="1"/>
  <c r="T103" i="1"/>
  <c r="C103" i="1" s="1"/>
  <c r="D104" i="1"/>
  <c r="G104" i="1"/>
  <c r="I104" i="1"/>
  <c r="Q104" i="1"/>
  <c r="S104" i="1"/>
  <c r="T104" i="1"/>
  <c r="C104" i="1" s="1"/>
  <c r="D105" i="1"/>
  <c r="G105" i="1"/>
  <c r="I105" i="1"/>
  <c r="Q105" i="1"/>
  <c r="S105" i="1"/>
  <c r="T105" i="1"/>
  <c r="C105" i="1" s="1"/>
  <c r="D106" i="1"/>
  <c r="G106" i="1"/>
  <c r="I106" i="1"/>
  <c r="Q106" i="1"/>
  <c r="S106" i="1"/>
  <c r="T106" i="1"/>
  <c r="C106" i="1" s="1"/>
  <c r="D107" i="1"/>
  <c r="G107" i="1"/>
  <c r="I107" i="1"/>
  <c r="Q107" i="1"/>
  <c r="S107" i="1"/>
  <c r="T107" i="1"/>
  <c r="C107" i="1" s="1"/>
  <c r="D108" i="1"/>
  <c r="G108" i="1"/>
  <c r="I108" i="1"/>
  <c r="Q108" i="1"/>
  <c r="S108" i="1"/>
  <c r="T108" i="1"/>
  <c r="C108" i="1" s="1"/>
  <c r="D109" i="1"/>
  <c r="G109" i="1"/>
  <c r="I109" i="1"/>
  <c r="Q109" i="1"/>
  <c r="S109" i="1"/>
  <c r="T109" i="1"/>
  <c r="C109" i="1" s="1"/>
  <c r="D110" i="1"/>
  <c r="G110" i="1"/>
  <c r="I110" i="1"/>
  <c r="Q110" i="1"/>
  <c r="S110" i="1"/>
  <c r="T110" i="1"/>
  <c r="C110" i="1" s="1"/>
  <c r="D111" i="1"/>
  <c r="G111" i="1"/>
  <c r="I111" i="1"/>
  <c r="Q111" i="1"/>
  <c r="S111" i="1"/>
  <c r="T111" i="1"/>
  <c r="C111" i="1" s="1"/>
  <c r="D112" i="1"/>
  <c r="G112" i="1"/>
  <c r="I112" i="1"/>
  <c r="Q112" i="1"/>
  <c r="S112" i="1"/>
  <c r="T112" i="1"/>
  <c r="C112" i="1" s="1"/>
  <c r="D113" i="1"/>
  <c r="G113" i="1"/>
  <c r="I113" i="1"/>
  <c r="Q113" i="1"/>
  <c r="S113" i="1"/>
  <c r="T113" i="1"/>
  <c r="C113" i="1" s="1"/>
  <c r="D114" i="1"/>
  <c r="G114" i="1"/>
  <c r="I114" i="1"/>
  <c r="Q114" i="1"/>
  <c r="S114" i="1"/>
  <c r="T114" i="1"/>
  <c r="C114" i="1" s="1"/>
  <c r="D115" i="1"/>
  <c r="G115" i="1"/>
  <c r="I115" i="1"/>
  <c r="Q115" i="1"/>
  <c r="S115" i="1"/>
  <c r="T115" i="1"/>
  <c r="C115" i="1" s="1"/>
  <c r="D116" i="1"/>
  <c r="G116" i="1"/>
  <c r="I116" i="1"/>
  <c r="Q116" i="1"/>
  <c r="S116" i="1"/>
  <c r="T116" i="1"/>
  <c r="C116" i="1" s="1"/>
  <c r="D117" i="1"/>
  <c r="G117" i="1"/>
  <c r="I117" i="1"/>
  <c r="Q117" i="1"/>
  <c r="S117" i="1"/>
  <c r="T117" i="1"/>
  <c r="C117" i="1" s="1"/>
  <c r="D118" i="1"/>
  <c r="G118" i="1"/>
  <c r="I118" i="1"/>
  <c r="Q118" i="1"/>
  <c r="S118" i="1"/>
  <c r="T118" i="1"/>
  <c r="C118" i="1" s="1"/>
  <c r="D119" i="1"/>
  <c r="G119" i="1"/>
  <c r="I119" i="1"/>
  <c r="Q119" i="1"/>
  <c r="S119" i="1"/>
  <c r="T119" i="1"/>
  <c r="C119" i="1" s="1"/>
  <c r="D120" i="1"/>
  <c r="G120" i="1"/>
  <c r="I120" i="1"/>
  <c r="Q120" i="1"/>
  <c r="S120" i="1"/>
  <c r="T120" i="1"/>
  <c r="C120" i="1" s="1"/>
  <c r="D121" i="1"/>
  <c r="G121" i="1"/>
  <c r="I121" i="1"/>
  <c r="Q121" i="1"/>
  <c r="S121" i="1"/>
  <c r="T121" i="1"/>
  <c r="C121" i="1" s="1"/>
  <c r="D122" i="1"/>
  <c r="G122" i="1"/>
  <c r="I122" i="1"/>
  <c r="Q122" i="1"/>
  <c r="S122" i="1"/>
  <c r="T122" i="1"/>
  <c r="C122" i="1" s="1"/>
  <c r="D123" i="1"/>
  <c r="G123" i="1"/>
  <c r="I123" i="1"/>
  <c r="Q123" i="1"/>
  <c r="S123" i="1"/>
  <c r="T123" i="1"/>
  <c r="C123" i="1" s="1"/>
  <c r="D124" i="1"/>
  <c r="G124" i="1"/>
  <c r="I124" i="1"/>
  <c r="Q124" i="1"/>
  <c r="S124" i="1"/>
  <c r="T124" i="1"/>
  <c r="C124" i="1" s="1"/>
  <c r="D126" i="1"/>
  <c r="G126" i="1"/>
  <c r="I126" i="1"/>
  <c r="Q126" i="1"/>
  <c r="S126" i="1"/>
  <c r="T126" i="1"/>
  <c r="C126" i="1" s="1"/>
  <c r="D127" i="1"/>
  <c r="G127" i="1"/>
  <c r="I127" i="1"/>
  <c r="Q127" i="1"/>
  <c r="S127" i="1"/>
  <c r="T127" i="1"/>
  <c r="C127" i="1" s="1"/>
  <c r="D129" i="1"/>
  <c r="G129" i="1"/>
  <c r="I129" i="1"/>
  <c r="D130" i="1"/>
  <c r="G130" i="1"/>
  <c r="I130" i="1"/>
  <c r="Q130" i="1"/>
  <c r="S130" i="1"/>
  <c r="T130" i="1"/>
  <c r="C130" i="1" s="1"/>
  <c r="D131" i="1"/>
  <c r="G131" i="1"/>
  <c r="I131" i="1"/>
  <c r="Q131" i="1"/>
  <c r="S131" i="1"/>
  <c r="T131" i="1"/>
  <c r="C131" i="1" s="1"/>
  <c r="D132" i="1"/>
  <c r="G132" i="1"/>
  <c r="I132" i="1"/>
  <c r="Q132" i="1"/>
  <c r="S132" i="1"/>
  <c r="T132" i="1"/>
  <c r="C132" i="1" s="1"/>
  <c r="D133" i="1"/>
  <c r="G133" i="1"/>
  <c r="I133" i="1"/>
  <c r="Q133" i="1"/>
  <c r="S133" i="1"/>
  <c r="T133" i="1"/>
  <c r="C133" i="1" s="1"/>
  <c r="D134" i="1"/>
  <c r="G134" i="1"/>
  <c r="I134" i="1"/>
  <c r="Q134" i="1"/>
  <c r="S134" i="1"/>
  <c r="T134" i="1"/>
  <c r="C134" i="1" s="1"/>
  <c r="D137" i="1"/>
  <c r="G137" i="1"/>
  <c r="I137" i="1"/>
  <c r="Q137" i="1"/>
  <c r="S137" i="1"/>
  <c r="T137" i="1"/>
  <c r="C137" i="1" s="1"/>
  <c r="D138" i="1"/>
  <c r="G138" i="1"/>
  <c r="I138" i="1"/>
  <c r="Q138" i="1"/>
  <c r="S138" i="1"/>
  <c r="T138" i="1"/>
  <c r="C138" i="1" s="1"/>
  <c r="D140" i="1"/>
  <c r="G140" i="1"/>
  <c r="I140" i="1"/>
  <c r="Q140" i="1"/>
  <c r="S140" i="1"/>
  <c r="T140" i="1"/>
  <c r="C140" i="1" s="1"/>
  <c r="D142" i="1"/>
  <c r="G142" i="1"/>
  <c r="I142" i="1"/>
  <c r="Q142" i="1"/>
  <c r="S142" i="1"/>
  <c r="T142" i="1"/>
  <c r="C142" i="1" s="1"/>
  <c r="D143" i="1"/>
  <c r="G143" i="1"/>
  <c r="I143" i="1"/>
  <c r="Q143" i="1"/>
  <c r="S143" i="1"/>
  <c r="T143" i="1"/>
  <c r="C143" i="1" s="1"/>
  <c r="D144" i="1"/>
  <c r="G144" i="1"/>
  <c r="I144" i="1"/>
  <c r="Q144" i="1"/>
  <c r="S144" i="1"/>
  <c r="T144" i="1"/>
  <c r="C144" i="1" s="1"/>
  <c r="D145" i="1"/>
  <c r="G145" i="1"/>
  <c r="I145" i="1"/>
  <c r="Q145" i="1"/>
  <c r="S145" i="1"/>
  <c r="T145" i="1"/>
  <c r="C145" i="1" s="1"/>
  <c r="D146" i="1"/>
  <c r="G146" i="1"/>
  <c r="I146" i="1"/>
  <c r="Q146" i="1"/>
  <c r="S146" i="1"/>
  <c r="T146" i="1"/>
  <c r="C146" i="1" s="1"/>
  <c r="D147" i="1"/>
  <c r="G147" i="1"/>
  <c r="I147" i="1"/>
  <c r="Q147" i="1"/>
  <c r="S147" i="1"/>
  <c r="T147" i="1"/>
  <c r="C147" i="1" s="1"/>
  <c r="D148" i="1"/>
  <c r="G148" i="1"/>
  <c r="I148" i="1"/>
  <c r="Q148" i="1"/>
  <c r="S148" i="1"/>
  <c r="T148" i="1"/>
  <c r="C148" i="1" s="1"/>
  <c r="D149" i="1"/>
  <c r="G149" i="1"/>
  <c r="I149" i="1"/>
  <c r="Q149" i="1"/>
  <c r="S149" i="1"/>
  <c r="T149" i="1"/>
  <c r="C149" i="1" s="1"/>
  <c r="D150" i="1"/>
  <c r="G150" i="1"/>
  <c r="I150" i="1"/>
  <c r="Q150" i="1"/>
  <c r="S150" i="1"/>
  <c r="T150" i="1"/>
  <c r="C150" i="1" s="1"/>
  <c r="D151" i="1"/>
  <c r="G151" i="1"/>
  <c r="I151" i="1"/>
  <c r="Q151" i="1"/>
  <c r="S151" i="1"/>
  <c r="T151" i="1"/>
  <c r="C151" i="1" s="1"/>
  <c r="D152" i="1"/>
  <c r="G152" i="1"/>
  <c r="I152" i="1"/>
  <c r="Q152" i="1"/>
  <c r="S152" i="1"/>
  <c r="T152" i="1"/>
  <c r="C152" i="1" s="1"/>
  <c r="D153" i="1"/>
  <c r="G153" i="1"/>
  <c r="I153" i="1"/>
  <c r="Q153" i="1"/>
  <c r="S153" i="1"/>
  <c r="T153" i="1"/>
  <c r="C153" i="1" s="1"/>
  <c r="D154" i="1"/>
  <c r="G154" i="1"/>
  <c r="I154" i="1"/>
  <c r="Q154" i="1"/>
  <c r="S154" i="1"/>
  <c r="T154" i="1"/>
  <c r="C154" i="1" s="1"/>
  <c r="D155" i="1"/>
  <c r="G155" i="1"/>
  <c r="I155" i="1"/>
  <c r="Q155" i="1"/>
  <c r="S155" i="1"/>
  <c r="T155" i="1"/>
  <c r="C155" i="1" s="1"/>
  <c r="D156" i="1"/>
  <c r="G156" i="1"/>
  <c r="I156" i="1"/>
  <c r="Q156" i="1"/>
  <c r="S156" i="1"/>
  <c r="T156" i="1"/>
  <c r="C156" i="1" s="1"/>
  <c r="D157" i="1"/>
  <c r="G157" i="1"/>
  <c r="I157" i="1"/>
  <c r="Q157" i="1"/>
  <c r="S157" i="1"/>
  <c r="T157" i="1"/>
  <c r="C157" i="1" s="1"/>
  <c r="D158" i="1"/>
  <c r="G158" i="1"/>
  <c r="I158" i="1"/>
  <c r="Q158" i="1"/>
  <c r="S158" i="1"/>
  <c r="T158" i="1"/>
  <c r="C158" i="1" s="1"/>
  <c r="D159" i="1"/>
  <c r="G159" i="1"/>
  <c r="I159" i="1"/>
  <c r="Q159" i="1"/>
  <c r="S159" i="1"/>
  <c r="T159" i="1"/>
  <c r="C159" i="1" s="1"/>
  <c r="D160" i="1"/>
  <c r="G160" i="1"/>
  <c r="I160" i="1"/>
  <c r="Q160" i="1"/>
  <c r="S160" i="1"/>
  <c r="T160" i="1"/>
  <c r="C160" i="1" s="1"/>
  <c r="D162" i="1"/>
  <c r="G162" i="1"/>
  <c r="I162" i="1"/>
  <c r="Q162" i="1"/>
  <c r="S162" i="1"/>
  <c r="T162" i="1"/>
  <c r="C162" i="1" s="1"/>
  <c r="D163" i="1"/>
  <c r="G163" i="1"/>
  <c r="I163" i="1"/>
  <c r="Q163" i="1"/>
  <c r="S163" i="1"/>
  <c r="T163" i="1"/>
  <c r="C163" i="1" s="1"/>
  <c r="D164" i="1"/>
  <c r="G164" i="1"/>
  <c r="I164" i="1"/>
  <c r="Q164" i="1"/>
  <c r="S164" i="1"/>
  <c r="T164" i="1"/>
  <c r="C164" i="1" s="1"/>
  <c r="D165" i="1"/>
  <c r="G165" i="1"/>
  <c r="I165" i="1"/>
  <c r="Q165" i="1"/>
  <c r="S165" i="1"/>
  <c r="T165" i="1"/>
  <c r="C165" i="1" s="1"/>
  <c r="D166" i="1"/>
  <c r="G166" i="1"/>
  <c r="I166" i="1"/>
  <c r="Q166" i="1"/>
  <c r="S166" i="1"/>
  <c r="T166" i="1"/>
  <c r="C166" i="1" s="1"/>
  <c r="D167" i="1"/>
  <c r="G167" i="1"/>
  <c r="I167" i="1"/>
  <c r="Q167" i="1"/>
  <c r="S167" i="1"/>
  <c r="T167" i="1"/>
  <c r="C167" i="1" s="1"/>
  <c r="D168" i="1"/>
  <c r="G168" i="1"/>
  <c r="I168" i="1"/>
  <c r="Q168" i="1"/>
  <c r="S168" i="1"/>
  <c r="T168" i="1"/>
  <c r="C168" i="1" s="1"/>
  <c r="D169" i="1"/>
  <c r="G169" i="1"/>
  <c r="I169" i="1"/>
  <c r="Q169" i="1"/>
  <c r="S169" i="1"/>
  <c r="T169" i="1"/>
  <c r="C169" i="1" s="1"/>
  <c r="D170" i="1"/>
  <c r="G170" i="1"/>
  <c r="I170" i="1"/>
  <c r="Q170" i="1"/>
  <c r="S170" i="1"/>
  <c r="T170" i="1"/>
  <c r="C170" i="1" s="1"/>
  <c r="D33" i="1"/>
  <c r="G33" i="1"/>
  <c r="I33" i="1"/>
  <c r="Q33" i="1"/>
  <c r="S33" i="1"/>
  <c r="T33" i="1"/>
  <c r="C33" i="1" s="1"/>
  <c r="D34" i="1"/>
  <c r="G34" i="1"/>
  <c r="I34" i="1"/>
  <c r="Q34" i="1"/>
  <c r="S34" i="1"/>
  <c r="T34" i="1"/>
  <c r="C34" i="1" s="1"/>
  <c r="D195" i="1"/>
  <c r="G195" i="1"/>
  <c r="I195" i="1"/>
  <c r="Q195" i="1"/>
  <c r="S195" i="1"/>
  <c r="T195" i="1"/>
  <c r="C195" i="1" s="1"/>
  <c r="D196" i="1"/>
  <c r="G196" i="1"/>
  <c r="I196" i="1"/>
  <c r="Q196" i="1"/>
  <c r="S196" i="1"/>
  <c r="T196" i="1"/>
  <c r="C196" i="1" s="1"/>
  <c r="D197" i="1"/>
  <c r="G197" i="1"/>
  <c r="I197" i="1"/>
  <c r="Q197" i="1"/>
  <c r="S197" i="1"/>
  <c r="T197" i="1"/>
  <c r="C197" i="1" s="1"/>
  <c r="D200" i="1"/>
  <c r="G200" i="1"/>
  <c r="I200" i="1"/>
  <c r="Q200" i="1"/>
  <c r="S200" i="1"/>
  <c r="T200" i="1"/>
  <c r="C200" i="1" s="1"/>
  <c r="D201" i="1"/>
  <c r="G201" i="1"/>
  <c r="I201" i="1"/>
  <c r="Q201" i="1"/>
  <c r="S201" i="1"/>
  <c r="T201" i="1"/>
  <c r="C201" i="1" s="1"/>
  <c r="G202" i="1"/>
  <c r="I202" i="1"/>
  <c r="Q202" i="1"/>
  <c r="S202" i="1"/>
  <c r="T202" i="1"/>
  <c r="C202" i="1" s="1"/>
  <c r="D832" i="1"/>
  <c r="J832" i="1"/>
  <c r="K832" i="1"/>
  <c r="L832" i="1"/>
  <c r="M832" i="1"/>
  <c r="N832" i="1"/>
  <c r="Q832" i="1"/>
  <c r="T832" i="1"/>
  <c r="C832" i="1" s="1"/>
  <c r="D833" i="1"/>
  <c r="J833" i="1"/>
  <c r="K833" i="1"/>
  <c r="L833" i="1"/>
  <c r="M833" i="1"/>
  <c r="N833" i="1"/>
  <c r="Q833" i="1"/>
  <c r="T833" i="1"/>
  <c r="C833" i="1" s="1"/>
  <c r="D834" i="1"/>
  <c r="J834" i="1"/>
  <c r="K834" i="1"/>
  <c r="L834" i="1"/>
  <c r="M834" i="1"/>
  <c r="N834" i="1"/>
  <c r="Q834" i="1"/>
  <c r="T834" i="1"/>
  <c r="C834" i="1" s="1"/>
  <c r="D835" i="1"/>
  <c r="J835" i="1"/>
  <c r="K835" i="1"/>
  <c r="L835" i="1"/>
  <c r="M835" i="1"/>
  <c r="N835" i="1"/>
  <c r="Q835" i="1"/>
  <c r="T835" i="1"/>
  <c r="C835" i="1" s="1"/>
  <c r="D836" i="1"/>
  <c r="J836" i="1"/>
  <c r="K836" i="1"/>
  <c r="L836" i="1"/>
  <c r="M836" i="1"/>
  <c r="N836" i="1"/>
  <c r="Q836" i="1"/>
  <c r="T836" i="1"/>
  <c r="C836" i="1" s="1"/>
  <c r="T831" i="1"/>
  <c r="C831" i="1" s="1"/>
  <c r="Q831" i="1"/>
  <c r="N831" i="1"/>
  <c r="M831" i="1"/>
  <c r="L831" i="1"/>
  <c r="K831" i="1"/>
  <c r="J831" i="1"/>
  <c r="D831" i="1"/>
  <c r="D801" i="1"/>
  <c r="J801" i="1"/>
  <c r="K801" i="1"/>
  <c r="L801" i="1"/>
  <c r="M801" i="1"/>
  <c r="N801" i="1"/>
  <c r="Q801" i="1"/>
  <c r="T801" i="1"/>
  <c r="C801" i="1" s="1"/>
  <c r="D802" i="1"/>
  <c r="J802" i="1"/>
  <c r="K802" i="1"/>
  <c r="L802" i="1"/>
  <c r="M802" i="1"/>
  <c r="N802" i="1"/>
  <c r="Q802" i="1"/>
  <c r="T802" i="1"/>
  <c r="C802" i="1" s="1"/>
  <c r="D803" i="1"/>
  <c r="J803" i="1"/>
  <c r="K803" i="1"/>
  <c r="L803" i="1"/>
  <c r="M803" i="1"/>
  <c r="N803" i="1"/>
  <c r="O803" i="1"/>
  <c r="Q803" i="1"/>
  <c r="T803" i="1"/>
  <c r="C803" i="1" s="1"/>
  <c r="D804" i="1"/>
  <c r="J804" i="1"/>
  <c r="K804" i="1"/>
  <c r="L804" i="1"/>
  <c r="M804" i="1"/>
  <c r="N804" i="1"/>
  <c r="O804" i="1"/>
  <c r="Q804" i="1"/>
  <c r="T804" i="1"/>
  <c r="C804" i="1" s="1"/>
  <c r="T800" i="1"/>
  <c r="C800" i="1" s="1"/>
  <c r="Q800" i="1"/>
  <c r="N800" i="1"/>
  <c r="L800" i="1"/>
  <c r="K800" i="1"/>
  <c r="J800" i="1"/>
  <c r="D800" i="1"/>
  <c r="D742" i="1"/>
  <c r="K742" i="1"/>
  <c r="L742" i="1"/>
  <c r="N742" i="1"/>
  <c r="Q742" i="1"/>
  <c r="T742" i="1"/>
  <c r="C742" i="1" s="1"/>
  <c r="D743" i="1"/>
  <c r="K743" i="1"/>
  <c r="L743" i="1"/>
  <c r="M743" i="1"/>
  <c r="N743" i="1"/>
  <c r="Q743" i="1"/>
  <c r="T743" i="1"/>
  <c r="C743" i="1" s="1"/>
  <c r="D744" i="1"/>
  <c r="K744" i="1"/>
  <c r="L744" i="1"/>
  <c r="N744" i="1"/>
  <c r="O744" i="1"/>
  <c r="Q744" i="1"/>
  <c r="T744" i="1"/>
  <c r="C744" i="1" s="1"/>
  <c r="D745" i="1"/>
  <c r="K745" i="1"/>
  <c r="L745" i="1"/>
  <c r="M745" i="1"/>
  <c r="N745" i="1"/>
  <c r="O745" i="1"/>
  <c r="Q745" i="1"/>
  <c r="T745" i="1"/>
  <c r="C745" i="1" s="1"/>
  <c r="D746" i="1"/>
  <c r="K746" i="1"/>
  <c r="L746" i="1"/>
  <c r="M746" i="1"/>
  <c r="N746" i="1"/>
  <c r="O746" i="1"/>
  <c r="Q746" i="1"/>
  <c r="T746" i="1"/>
  <c r="C746" i="1" s="1"/>
  <c r="D747" i="1"/>
  <c r="K747" i="1"/>
  <c r="L747" i="1"/>
  <c r="M747" i="1"/>
  <c r="N747" i="1"/>
  <c r="O747" i="1"/>
  <c r="Q747" i="1"/>
  <c r="T747" i="1"/>
  <c r="C747" i="1" s="1"/>
  <c r="D748" i="1"/>
  <c r="K748" i="1"/>
  <c r="L748" i="1"/>
  <c r="M748" i="1"/>
  <c r="N748" i="1"/>
  <c r="O748" i="1"/>
  <c r="Q748" i="1"/>
  <c r="T748" i="1"/>
  <c r="C748" i="1" s="1"/>
  <c r="D749" i="1"/>
  <c r="K749" i="1"/>
  <c r="L749" i="1"/>
  <c r="N749" i="1"/>
  <c r="O749" i="1"/>
  <c r="Q749" i="1"/>
  <c r="T749" i="1"/>
  <c r="C749" i="1" s="1"/>
  <c r="D750" i="1"/>
  <c r="K750" i="1"/>
  <c r="L750" i="1"/>
  <c r="M750" i="1"/>
  <c r="N750" i="1"/>
  <c r="Q750" i="1"/>
  <c r="T750" i="1"/>
  <c r="C750" i="1" s="1"/>
  <c r="D751" i="1"/>
  <c r="K751" i="1"/>
  <c r="L751" i="1"/>
  <c r="N751" i="1"/>
  <c r="Q751" i="1"/>
  <c r="T751" i="1"/>
  <c r="C751" i="1" s="1"/>
  <c r="D752" i="1"/>
  <c r="K752" i="1"/>
  <c r="L752" i="1"/>
  <c r="M752" i="1"/>
  <c r="N752" i="1"/>
  <c r="Q752" i="1"/>
  <c r="T752" i="1"/>
  <c r="C752" i="1" s="1"/>
  <c r="D753" i="1"/>
  <c r="K753" i="1"/>
  <c r="L753" i="1"/>
  <c r="M753" i="1"/>
  <c r="N753" i="1"/>
  <c r="Q753" i="1"/>
  <c r="T753" i="1"/>
  <c r="C753" i="1" s="1"/>
  <c r="D754" i="1"/>
  <c r="K754" i="1"/>
  <c r="L754" i="1"/>
  <c r="M754" i="1"/>
  <c r="N754" i="1"/>
  <c r="Q754" i="1"/>
  <c r="T754" i="1"/>
  <c r="C754" i="1" s="1"/>
  <c r="D755" i="1"/>
  <c r="K755" i="1"/>
  <c r="L755" i="1"/>
  <c r="M755" i="1"/>
  <c r="N755" i="1"/>
  <c r="Q755" i="1"/>
  <c r="T755" i="1"/>
  <c r="C755" i="1" s="1"/>
  <c r="D756" i="1"/>
  <c r="K756" i="1"/>
  <c r="L756" i="1"/>
  <c r="M756" i="1"/>
  <c r="N756" i="1"/>
  <c r="Q756" i="1"/>
  <c r="T756" i="1"/>
  <c r="C756" i="1" s="1"/>
  <c r="D757" i="1"/>
  <c r="K757" i="1"/>
  <c r="L757" i="1"/>
  <c r="M757" i="1"/>
  <c r="N757" i="1"/>
  <c r="Q757" i="1"/>
  <c r="T757" i="1"/>
  <c r="C757" i="1" s="1"/>
  <c r="D758" i="1"/>
  <c r="K758" i="1"/>
  <c r="L758" i="1"/>
  <c r="Q758" i="1"/>
  <c r="T758" i="1"/>
  <c r="C758" i="1" s="1"/>
  <c r="D759" i="1"/>
  <c r="K759" i="1"/>
  <c r="L759" i="1"/>
  <c r="N759" i="1"/>
  <c r="Q759" i="1"/>
  <c r="T759" i="1"/>
  <c r="C759" i="1" s="1"/>
  <c r="D760" i="1"/>
  <c r="K760" i="1"/>
  <c r="L760" i="1"/>
  <c r="M760" i="1"/>
  <c r="N760" i="1"/>
  <c r="Q760" i="1"/>
  <c r="T760" i="1"/>
  <c r="C760" i="1" s="1"/>
  <c r="D761" i="1"/>
  <c r="K761" i="1"/>
  <c r="L761" i="1"/>
  <c r="N761" i="1"/>
  <c r="Q761" i="1"/>
  <c r="T761" i="1"/>
  <c r="C761" i="1" s="1"/>
  <c r="D762" i="1"/>
  <c r="K762" i="1"/>
  <c r="L762" i="1"/>
  <c r="M762" i="1"/>
  <c r="N762" i="1"/>
  <c r="Q762" i="1"/>
  <c r="T762" i="1"/>
  <c r="C762" i="1" s="1"/>
  <c r="D763" i="1"/>
  <c r="K763" i="1"/>
  <c r="L763" i="1"/>
  <c r="M763" i="1"/>
  <c r="N763" i="1"/>
  <c r="Q763" i="1"/>
  <c r="T763" i="1"/>
  <c r="C763" i="1" s="1"/>
  <c r="D764" i="1"/>
  <c r="K764" i="1"/>
  <c r="L764" i="1"/>
  <c r="M764" i="1"/>
  <c r="N764" i="1"/>
  <c r="Q764" i="1"/>
  <c r="T764" i="1"/>
  <c r="C764" i="1" s="1"/>
  <c r="D765" i="1"/>
  <c r="K765" i="1"/>
  <c r="L765" i="1"/>
  <c r="M765" i="1"/>
  <c r="N765" i="1"/>
  <c r="Q765" i="1"/>
  <c r="T765" i="1"/>
  <c r="C765" i="1" s="1"/>
  <c r="D766" i="1"/>
  <c r="K766" i="1"/>
  <c r="L766" i="1"/>
  <c r="M766" i="1"/>
  <c r="N766" i="1"/>
  <c r="Q766" i="1"/>
  <c r="T766" i="1"/>
  <c r="C766" i="1" s="1"/>
  <c r="D767" i="1"/>
  <c r="K767" i="1"/>
  <c r="L767" i="1"/>
  <c r="M767" i="1"/>
  <c r="N767" i="1"/>
  <c r="Q767" i="1"/>
  <c r="T767" i="1"/>
  <c r="C767" i="1" s="1"/>
  <c r="D768" i="1"/>
  <c r="K768" i="1"/>
  <c r="L768" i="1"/>
  <c r="M768" i="1"/>
  <c r="N768" i="1"/>
  <c r="Q768" i="1"/>
  <c r="T768" i="1"/>
  <c r="C768" i="1" s="1"/>
  <c r="D769" i="1"/>
  <c r="K769" i="1"/>
  <c r="N769" i="1"/>
  <c r="Q769" i="1"/>
  <c r="T769" i="1"/>
  <c r="C769" i="1" s="1"/>
  <c r="D770" i="1"/>
  <c r="K770" i="1"/>
  <c r="L770" i="1"/>
  <c r="M770" i="1"/>
  <c r="N770" i="1"/>
  <c r="Q770" i="1"/>
  <c r="T770" i="1"/>
  <c r="C770" i="1" s="1"/>
  <c r="D771" i="1"/>
  <c r="K771" i="1"/>
  <c r="L771" i="1"/>
  <c r="M771" i="1"/>
  <c r="N771" i="1"/>
  <c r="Q771" i="1"/>
  <c r="T771" i="1"/>
  <c r="C771" i="1" s="1"/>
  <c r="D772" i="1"/>
  <c r="K772" i="1"/>
  <c r="L772" i="1"/>
  <c r="M772" i="1"/>
  <c r="N772" i="1"/>
  <c r="Q772" i="1"/>
  <c r="T772" i="1"/>
  <c r="C772" i="1" s="1"/>
  <c r="D773" i="1"/>
  <c r="K773" i="1"/>
  <c r="L773" i="1"/>
  <c r="M773" i="1"/>
  <c r="N773" i="1"/>
  <c r="Q773" i="1"/>
  <c r="T773" i="1"/>
  <c r="C773" i="1" s="1"/>
  <c r="D774" i="1"/>
  <c r="K774" i="1"/>
  <c r="L774" i="1"/>
  <c r="M774" i="1"/>
  <c r="N774" i="1"/>
  <c r="Q774" i="1"/>
  <c r="T774" i="1"/>
  <c r="C774" i="1" s="1"/>
  <c r="D775" i="1"/>
  <c r="J775" i="1"/>
  <c r="K775" i="1"/>
  <c r="L775" i="1"/>
  <c r="M775" i="1"/>
  <c r="N775" i="1"/>
  <c r="Q775" i="1"/>
  <c r="T775" i="1"/>
  <c r="C775" i="1" s="1"/>
  <c r="D776" i="1"/>
  <c r="J776" i="1"/>
  <c r="K776" i="1"/>
  <c r="L776" i="1"/>
  <c r="M776" i="1"/>
  <c r="N776" i="1"/>
  <c r="O776" i="1"/>
  <c r="Q776" i="1"/>
  <c r="T776" i="1"/>
  <c r="C776" i="1" s="1"/>
  <c r="D777" i="1"/>
  <c r="J777" i="1"/>
  <c r="K777" i="1"/>
  <c r="L777" i="1"/>
  <c r="M777" i="1"/>
  <c r="N777" i="1"/>
  <c r="O777" i="1"/>
  <c r="Q777" i="1"/>
  <c r="T777" i="1"/>
  <c r="C777" i="1" s="1"/>
  <c r="D778" i="1"/>
  <c r="J778" i="1"/>
  <c r="K778" i="1"/>
  <c r="L778" i="1"/>
  <c r="M778" i="1"/>
  <c r="N778" i="1"/>
  <c r="O778" i="1"/>
  <c r="Q778" i="1"/>
  <c r="T778" i="1"/>
  <c r="C778" i="1" s="1"/>
  <c r="T741" i="1"/>
  <c r="C741" i="1" s="1"/>
  <c r="Q741" i="1"/>
  <c r="M741" i="1"/>
  <c r="L741" i="1"/>
  <c r="K741" i="1"/>
  <c r="D741" i="1"/>
  <c r="T330" i="1"/>
  <c r="D329" i="1"/>
  <c r="G329" i="1"/>
  <c r="I329" i="1"/>
  <c r="Q329" i="1"/>
  <c r="T329" i="1"/>
  <c r="C329" i="1" s="1"/>
  <c r="D320" i="1"/>
  <c r="G320" i="1"/>
  <c r="I320" i="1"/>
  <c r="Q320" i="1"/>
  <c r="T320" i="1"/>
  <c r="C320" i="1" s="1"/>
  <c r="D321" i="1"/>
  <c r="G321" i="1"/>
  <c r="I321" i="1"/>
  <c r="Q321" i="1"/>
  <c r="T321" i="1"/>
  <c r="C321" i="1" s="1"/>
  <c r="D322" i="1"/>
  <c r="G322" i="1"/>
  <c r="I322" i="1"/>
  <c r="Q322" i="1"/>
  <c r="T322" i="1"/>
  <c r="C322" i="1" s="1"/>
  <c r="D323" i="1"/>
  <c r="G323" i="1"/>
  <c r="I323" i="1"/>
  <c r="Q323" i="1"/>
  <c r="T323" i="1"/>
  <c r="C323" i="1" s="1"/>
  <c r="D324" i="1"/>
  <c r="G324" i="1"/>
  <c r="I324" i="1"/>
  <c r="Q324" i="1"/>
  <c r="T324" i="1"/>
  <c r="C324" i="1" s="1"/>
  <c r="D325" i="1"/>
  <c r="G325" i="1"/>
  <c r="I325" i="1"/>
  <c r="Q325" i="1"/>
  <c r="T325" i="1"/>
  <c r="C325" i="1" s="1"/>
  <c r="D326" i="1"/>
  <c r="G326" i="1"/>
  <c r="I326" i="1"/>
  <c r="Q326" i="1"/>
  <c r="T326" i="1"/>
  <c r="C326" i="1" s="1"/>
  <c r="D327" i="1"/>
  <c r="G327" i="1"/>
  <c r="I327" i="1"/>
  <c r="Q327" i="1"/>
  <c r="T327" i="1"/>
  <c r="C327" i="1" s="1"/>
  <c r="D328" i="1"/>
  <c r="G328" i="1"/>
  <c r="I328" i="1"/>
  <c r="Q328" i="1"/>
  <c r="T328" i="1"/>
  <c r="C328" i="1" s="1"/>
  <c r="D284" i="1"/>
  <c r="G284" i="1"/>
  <c r="I284" i="1"/>
  <c r="Q284" i="1"/>
  <c r="T284" i="1"/>
  <c r="C284" i="1" s="1"/>
  <c r="D285" i="1"/>
  <c r="G285" i="1"/>
  <c r="I285" i="1"/>
  <c r="Q285" i="1"/>
  <c r="T285" i="1"/>
  <c r="C285" i="1" s="1"/>
  <c r="D286" i="1"/>
  <c r="G286" i="1"/>
  <c r="I286" i="1"/>
  <c r="Q286" i="1"/>
  <c r="T286" i="1"/>
  <c r="C286" i="1" s="1"/>
  <c r="D287" i="1"/>
  <c r="G287" i="1"/>
  <c r="I287" i="1"/>
  <c r="Q287" i="1"/>
  <c r="T287" i="1"/>
  <c r="C287" i="1" s="1"/>
  <c r="D289" i="1"/>
  <c r="G289" i="1"/>
  <c r="I289" i="1"/>
  <c r="Q289" i="1"/>
  <c r="T289" i="1"/>
  <c r="C289" i="1" s="1"/>
  <c r="D290" i="1"/>
  <c r="G290" i="1"/>
  <c r="I290" i="1"/>
  <c r="Q290" i="1"/>
  <c r="T290" i="1"/>
  <c r="C290" i="1" s="1"/>
  <c r="D291" i="1"/>
  <c r="G291" i="1"/>
  <c r="I291" i="1"/>
  <c r="Q291" i="1"/>
  <c r="T291" i="1"/>
  <c r="C291" i="1" s="1"/>
  <c r="D293" i="1"/>
  <c r="G293" i="1"/>
  <c r="I293" i="1"/>
  <c r="Q293" i="1"/>
  <c r="T293" i="1"/>
  <c r="C293" i="1" s="1"/>
  <c r="D295" i="1"/>
  <c r="G295" i="1"/>
  <c r="I295" i="1"/>
  <c r="Q295" i="1"/>
  <c r="T295" i="1"/>
  <c r="C295" i="1" s="1"/>
  <c r="D297" i="1"/>
  <c r="G297" i="1"/>
  <c r="I297" i="1"/>
  <c r="Q297" i="1"/>
  <c r="T297" i="1"/>
  <c r="C297" i="1" s="1"/>
  <c r="D298" i="1"/>
  <c r="G298" i="1"/>
  <c r="I298" i="1"/>
  <c r="Q298" i="1"/>
  <c r="T298" i="1"/>
  <c r="C298" i="1" s="1"/>
  <c r="D299" i="1"/>
  <c r="G299" i="1"/>
  <c r="I299" i="1"/>
  <c r="Q299" i="1"/>
  <c r="T299" i="1"/>
  <c r="C299" i="1" s="1"/>
  <c r="D300" i="1"/>
  <c r="G300" i="1"/>
  <c r="I300" i="1"/>
  <c r="Q300" i="1"/>
  <c r="T300" i="1"/>
  <c r="C300" i="1" s="1"/>
  <c r="D301" i="1"/>
  <c r="G301" i="1"/>
  <c r="I301" i="1"/>
  <c r="Q301" i="1"/>
  <c r="T301" i="1"/>
  <c r="C301" i="1" s="1"/>
  <c r="D302" i="1"/>
  <c r="G302" i="1"/>
  <c r="I302" i="1"/>
  <c r="Q302" i="1"/>
  <c r="T302" i="1"/>
  <c r="C302" i="1" s="1"/>
  <c r="D304" i="1"/>
  <c r="G304" i="1"/>
  <c r="I304" i="1"/>
  <c r="Q304" i="1"/>
  <c r="T304" i="1"/>
  <c r="C304" i="1" s="1"/>
  <c r="D305" i="1"/>
  <c r="G305" i="1"/>
  <c r="I305" i="1"/>
  <c r="Q305" i="1"/>
  <c r="T305" i="1"/>
  <c r="C305" i="1" s="1"/>
  <c r="D306" i="1"/>
  <c r="G306" i="1"/>
  <c r="I306" i="1"/>
  <c r="Q306" i="1"/>
  <c r="T306" i="1"/>
  <c r="C306" i="1" s="1"/>
  <c r="D308" i="1"/>
  <c r="G308" i="1"/>
  <c r="I308" i="1"/>
  <c r="Q308" i="1"/>
  <c r="T308" i="1"/>
  <c r="C308" i="1" s="1"/>
  <c r="D311" i="1"/>
  <c r="G311" i="1"/>
  <c r="I311" i="1"/>
  <c r="Q311" i="1"/>
  <c r="T311" i="1"/>
  <c r="C311" i="1" s="1"/>
  <c r="D312" i="1"/>
  <c r="G312" i="1"/>
  <c r="I312" i="1"/>
  <c r="Q312" i="1"/>
  <c r="T312" i="1"/>
  <c r="C312" i="1" s="1"/>
  <c r="D314" i="1"/>
  <c r="G314" i="1"/>
  <c r="I314" i="1"/>
  <c r="Q314" i="1"/>
  <c r="T314" i="1"/>
  <c r="C314" i="1" s="1"/>
  <c r="D315" i="1"/>
  <c r="G315" i="1"/>
  <c r="I315" i="1"/>
  <c r="Q315" i="1"/>
  <c r="T315" i="1"/>
  <c r="C315" i="1" s="1"/>
  <c r="D316" i="1"/>
  <c r="G316" i="1"/>
  <c r="I316" i="1"/>
  <c r="Q316" i="1"/>
  <c r="T316" i="1"/>
  <c r="C316" i="1" s="1"/>
  <c r="D317" i="1"/>
  <c r="G317" i="1"/>
  <c r="I317" i="1"/>
  <c r="Q317" i="1"/>
  <c r="T317" i="1"/>
  <c r="C317" i="1" s="1"/>
  <c r="Q644" i="1"/>
  <c r="S826" i="1"/>
  <c r="S825" i="1"/>
  <c r="S824" i="1"/>
  <c r="S823" i="1"/>
  <c r="S821" i="1"/>
  <c r="S820" i="1"/>
  <c r="S815" i="1"/>
  <c r="S814" i="1"/>
  <c r="S813" i="1"/>
  <c r="S812" i="1"/>
  <c r="S811" i="1"/>
  <c r="S809" i="1"/>
  <c r="S659" i="1"/>
  <c r="S658" i="1"/>
  <c r="S656" i="1"/>
  <c r="S655" i="1"/>
  <c r="S670" i="1"/>
  <c r="S669" i="1"/>
  <c r="S668" i="1"/>
  <c r="S666" i="1"/>
  <c r="S665" i="1"/>
  <c r="S664" i="1"/>
  <c r="S644" i="1"/>
  <c r="S643" i="1"/>
  <c r="S642" i="1"/>
  <c r="S641" i="1"/>
  <c r="S639" i="1"/>
  <c r="S638" i="1"/>
  <c r="S553" i="1"/>
  <c r="S552" i="1"/>
  <c r="S551" i="1"/>
  <c r="S550" i="1"/>
  <c r="S545" i="1"/>
  <c r="S465" i="1"/>
  <c r="S336" i="1"/>
  <c r="S334" i="1"/>
  <c r="S452" i="1"/>
  <c r="S451" i="1"/>
  <c r="S450" i="1"/>
  <c r="S449" i="1"/>
  <c r="S448" i="1"/>
  <c r="S446" i="1"/>
  <c r="S444" i="1"/>
  <c r="S443" i="1"/>
  <c r="S442" i="1"/>
  <c r="S440" i="1"/>
  <c r="S439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3" i="1"/>
  <c r="S422" i="1"/>
  <c r="S421" i="1"/>
  <c r="S420" i="1"/>
  <c r="S419" i="1"/>
  <c r="S418" i="1"/>
  <c r="S414" i="1"/>
  <c r="S413" i="1"/>
  <c r="S411" i="1"/>
  <c r="S410" i="1"/>
  <c r="S409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5" i="1"/>
  <c r="S384" i="1"/>
  <c r="S383" i="1"/>
  <c r="S382" i="1"/>
  <c r="S381" i="1"/>
  <c r="S380" i="1"/>
  <c r="S379" i="1"/>
  <c r="S378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1" i="1"/>
  <c r="S359" i="1"/>
  <c r="S358" i="1"/>
  <c r="S357" i="1"/>
  <c r="S356" i="1"/>
  <c r="S355" i="1"/>
  <c r="S239" i="1"/>
  <c r="S238" i="1"/>
  <c r="S236" i="1"/>
  <c r="S235" i="1"/>
  <c r="S234" i="1"/>
  <c r="S229" i="1"/>
  <c r="S178" i="1"/>
  <c r="A178" i="1" s="1"/>
  <c r="S226" i="1"/>
  <c r="S223" i="1"/>
  <c r="S218" i="1"/>
  <c r="S217" i="1"/>
  <c r="S216" i="1"/>
  <c r="S214" i="1"/>
  <c r="S213" i="1"/>
  <c r="S212" i="1"/>
  <c r="S211" i="1"/>
  <c r="S210" i="1"/>
  <c r="S209" i="1"/>
  <c r="S208" i="1"/>
  <c r="S194" i="1"/>
  <c r="S193" i="1"/>
  <c r="S192" i="1"/>
  <c r="S191" i="1"/>
  <c r="S190" i="1"/>
  <c r="S24" i="1"/>
  <c r="A24" i="1" s="1"/>
  <c r="S25" i="1"/>
  <c r="A25" i="1" s="1"/>
  <c r="S26" i="1"/>
  <c r="S27" i="1"/>
  <c r="S28" i="1"/>
  <c r="S29" i="1"/>
  <c r="S30" i="1"/>
  <c r="S32" i="1"/>
  <c r="S23" i="1"/>
  <c r="T821" i="1"/>
  <c r="C821" i="1" s="1"/>
  <c r="T822" i="1"/>
  <c r="C822" i="1" s="1"/>
  <c r="T823" i="1"/>
  <c r="C823" i="1" s="1"/>
  <c r="T824" i="1"/>
  <c r="C824" i="1" s="1"/>
  <c r="T825" i="1"/>
  <c r="C825" i="1" s="1"/>
  <c r="T826" i="1"/>
  <c r="C826" i="1" s="1"/>
  <c r="T820" i="1"/>
  <c r="C820" i="1" s="1"/>
  <c r="T810" i="1"/>
  <c r="C810" i="1" s="1"/>
  <c r="T811" i="1"/>
  <c r="C811" i="1" s="1"/>
  <c r="T812" i="1"/>
  <c r="C812" i="1" s="1"/>
  <c r="T813" i="1"/>
  <c r="C813" i="1" s="1"/>
  <c r="T814" i="1"/>
  <c r="C814" i="1" s="1"/>
  <c r="T815" i="1"/>
  <c r="C815" i="1" s="1"/>
  <c r="T809" i="1"/>
  <c r="C809" i="1" s="1"/>
  <c r="T656" i="1"/>
  <c r="C656" i="1" s="1"/>
  <c r="T657" i="1"/>
  <c r="C657" i="1" s="1"/>
  <c r="T658" i="1"/>
  <c r="C658" i="1" s="1"/>
  <c r="T659" i="1"/>
  <c r="C659" i="1" s="1"/>
  <c r="T655" i="1"/>
  <c r="C655" i="1" s="1"/>
  <c r="T670" i="1"/>
  <c r="C670" i="1" s="1"/>
  <c r="T665" i="1"/>
  <c r="C665" i="1" s="1"/>
  <c r="T666" i="1"/>
  <c r="C666" i="1" s="1"/>
  <c r="T667" i="1"/>
  <c r="C667" i="1" s="1"/>
  <c r="T668" i="1"/>
  <c r="C668" i="1" s="1"/>
  <c r="T669" i="1"/>
  <c r="C669" i="1" s="1"/>
  <c r="T664" i="1"/>
  <c r="C664" i="1" s="1"/>
  <c r="T644" i="1"/>
  <c r="C644" i="1" s="1"/>
  <c r="T639" i="1"/>
  <c r="C639" i="1" s="1"/>
  <c r="T640" i="1"/>
  <c r="C640" i="1" s="1"/>
  <c r="T641" i="1"/>
  <c r="C641" i="1" s="1"/>
  <c r="T642" i="1"/>
  <c r="C642" i="1" s="1"/>
  <c r="T643" i="1"/>
  <c r="C643" i="1" s="1"/>
  <c r="T638" i="1"/>
  <c r="C638" i="1" s="1"/>
  <c r="T551" i="1"/>
  <c r="C551" i="1" s="1"/>
  <c r="T552" i="1"/>
  <c r="C552" i="1" s="1"/>
  <c r="T553" i="1"/>
  <c r="C553" i="1" s="1"/>
  <c r="T550" i="1"/>
  <c r="C550" i="1" s="1"/>
  <c r="T533" i="1"/>
  <c r="C533" i="1" s="1"/>
  <c r="T535" i="1"/>
  <c r="C535" i="1" s="1"/>
  <c r="T538" i="1"/>
  <c r="C538" i="1" s="1"/>
  <c r="T539" i="1"/>
  <c r="C539" i="1" s="1"/>
  <c r="T540" i="1"/>
  <c r="C540" i="1" s="1"/>
  <c r="T543" i="1"/>
  <c r="C543" i="1" s="1"/>
  <c r="T545" i="1"/>
  <c r="C545" i="1" s="1"/>
  <c r="T532" i="1"/>
  <c r="C532" i="1" s="1"/>
  <c r="T465" i="1"/>
  <c r="C465" i="1" s="1"/>
  <c r="T336" i="1"/>
  <c r="C336" i="1" s="1"/>
  <c r="T334" i="1"/>
  <c r="C334" i="1" s="1"/>
  <c r="T356" i="1"/>
  <c r="C356" i="1" s="1"/>
  <c r="T357" i="1"/>
  <c r="C357" i="1" s="1"/>
  <c r="T358" i="1"/>
  <c r="C358" i="1" s="1"/>
  <c r="T359" i="1"/>
  <c r="C359" i="1" s="1"/>
  <c r="T361" i="1"/>
  <c r="C361" i="1" s="1"/>
  <c r="T362" i="1"/>
  <c r="C362" i="1" s="1"/>
  <c r="T363" i="1"/>
  <c r="C363" i="1" s="1"/>
  <c r="T364" i="1"/>
  <c r="C364" i="1" s="1"/>
  <c r="T365" i="1"/>
  <c r="C365" i="1" s="1"/>
  <c r="T366" i="1"/>
  <c r="C366" i="1" s="1"/>
  <c r="T367" i="1"/>
  <c r="C367" i="1" s="1"/>
  <c r="T368" i="1"/>
  <c r="C368" i="1" s="1"/>
  <c r="T369" i="1"/>
  <c r="C369" i="1" s="1"/>
  <c r="T370" i="1"/>
  <c r="C370" i="1" s="1"/>
  <c r="T371" i="1"/>
  <c r="C371" i="1" s="1"/>
  <c r="T372" i="1"/>
  <c r="C372" i="1" s="1"/>
  <c r="T373" i="1"/>
  <c r="C373" i="1" s="1"/>
  <c r="T374" i="1"/>
  <c r="C374" i="1" s="1"/>
  <c r="T375" i="1"/>
  <c r="C375" i="1" s="1"/>
  <c r="T376" i="1"/>
  <c r="C376" i="1" s="1"/>
  <c r="T378" i="1"/>
  <c r="C378" i="1" s="1"/>
  <c r="T379" i="1"/>
  <c r="C379" i="1" s="1"/>
  <c r="T380" i="1"/>
  <c r="C380" i="1" s="1"/>
  <c r="T381" i="1"/>
  <c r="C381" i="1" s="1"/>
  <c r="T382" i="1"/>
  <c r="C382" i="1" s="1"/>
  <c r="T383" i="1"/>
  <c r="C383" i="1" s="1"/>
  <c r="T384" i="1"/>
  <c r="C384" i="1" s="1"/>
  <c r="T385" i="1"/>
  <c r="C385" i="1" s="1"/>
  <c r="T387" i="1"/>
  <c r="C387" i="1" s="1"/>
  <c r="T388" i="1"/>
  <c r="C388" i="1" s="1"/>
  <c r="T389" i="1"/>
  <c r="C389" i="1" s="1"/>
  <c r="T390" i="1"/>
  <c r="C390" i="1" s="1"/>
  <c r="T391" i="1"/>
  <c r="C391" i="1" s="1"/>
  <c r="T392" i="1"/>
  <c r="C392" i="1" s="1"/>
  <c r="T393" i="1"/>
  <c r="C393" i="1" s="1"/>
  <c r="T394" i="1"/>
  <c r="C394" i="1" s="1"/>
  <c r="T395" i="1"/>
  <c r="C395" i="1" s="1"/>
  <c r="T396" i="1"/>
  <c r="C396" i="1" s="1"/>
  <c r="T397" i="1"/>
  <c r="C397" i="1" s="1"/>
  <c r="T398" i="1"/>
  <c r="C398" i="1" s="1"/>
  <c r="T399" i="1"/>
  <c r="C399" i="1" s="1"/>
  <c r="T400" i="1"/>
  <c r="C400" i="1" s="1"/>
  <c r="T401" i="1"/>
  <c r="C401" i="1" s="1"/>
  <c r="T402" i="1"/>
  <c r="C402" i="1" s="1"/>
  <c r="T403" i="1"/>
  <c r="C403" i="1" s="1"/>
  <c r="T404" i="1"/>
  <c r="C404" i="1" s="1"/>
  <c r="T405" i="1"/>
  <c r="C405" i="1" s="1"/>
  <c r="T406" i="1"/>
  <c r="C406" i="1" s="1"/>
  <c r="T407" i="1"/>
  <c r="C407" i="1" s="1"/>
  <c r="T409" i="1"/>
  <c r="C409" i="1" s="1"/>
  <c r="T410" i="1"/>
  <c r="C410" i="1" s="1"/>
  <c r="T411" i="1"/>
  <c r="C411" i="1" s="1"/>
  <c r="T413" i="1"/>
  <c r="C413" i="1" s="1"/>
  <c r="T414" i="1"/>
  <c r="C414" i="1" s="1"/>
  <c r="T418" i="1"/>
  <c r="C418" i="1" s="1"/>
  <c r="T419" i="1"/>
  <c r="C419" i="1" s="1"/>
  <c r="T420" i="1"/>
  <c r="C420" i="1" s="1"/>
  <c r="T421" i="1"/>
  <c r="C421" i="1" s="1"/>
  <c r="T422" i="1"/>
  <c r="C422" i="1" s="1"/>
  <c r="T423" i="1"/>
  <c r="C423" i="1" s="1"/>
  <c r="T425" i="1"/>
  <c r="C425" i="1" s="1"/>
  <c r="T426" i="1"/>
  <c r="C426" i="1" s="1"/>
  <c r="T427" i="1"/>
  <c r="C427" i="1" s="1"/>
  <c r="T428" i="1"/>
  <c r="C428" i="1" s="1"/>
  <c r="T429" i="1"/>
  <c r="C429" i="1" s="1"/>
  <c r="T430" i="1"/>
  <c r="C430" i="1" s="1"/>
  <c r="T431" i="1"/>
  <c r="C431" i="1" s="1"/>
  <c r="T432" i="1"/>
  <c r="C432" i="1" s="1"/>
  <c r="T433" i="1"/>
  <c r="C433" i="1" s="1"/>
  <c r="T434" i="1"/>
  <c r="C434" i="1" s="1"/>
  <c r="T435" i="1"/>
  <c r="C435" i="1" s="1"/>
  <c r="T436" i="1"/>
  <c r="C436" i="1" s="1"/>
  <c r="T437" i="1"/>
  <c r="C437" i="1" s="1"/>
  <c r="T439" i="1"/>
  <c r="C439" i="1" s="1"/>
  <c r="T440" i="1"/>
  <c r="C440" i="1" s="1"/>
  <c r="T442" i="1"/>
  <c r="C442" i="1" s="1"/>
  <c r="T443" i="1"/>
  <c r="C443" i="1" s="1"/>
  <c r="T444" i="1"/>
  <c r="C444" i="1" s="1"/>
  <c r="T446" i="1"/>
  <c r="C446" i="1" s="1"/>
  <c r="T448" i="1"/>
  <c r="C448" i="1" s="1"/>
  <c r="T449" i="1"/>
  <c r="C449" i="1" s="1"/>
  <c r="T450" i="1"/>
  <c r="C450" i="1" s="1"/>
  <c r="T451" i="1"/>
  <c r="C451" i="1" s="1"/>
  <c r="T452" i="1"/>
  <c r="C452" i="1" s="1"/>
  <c r="T455" i="1"/>
  <c r="T355" i="1"/>
  <c r="C355" i="1" s="1"/>
  <c r="T235" i="1"/>
  <c r="C235" i="1" s="1"/>
  <c r="T236" i="1"/>
  <c r="C236" i="1" s="1"/>
  <c r="T237" i="1"/>
  <c r="C237" i="1" s="1"/>
  <c r="T238" i="1"/>
  <c r="C238" i="1" s="1"/>
  <c r="T239" i="1"/>
  <c r="C239" i="1" s="1"/>
  <c r="T234" i="1"/>
  <c r="C234" i="1" s="1"/>
  <c r="T225" i="1"/>
  <c r="C225" i="1" s="1"/>
  <c r="T226" i="1"/>
  <c r="C226" i="1" s="1"/>
  <c r="T178" i="1"/>
  <c r="C178" i="1" s="1"/>
  <c r="T229" i="1"/>
  <c r="C229" i="1" s="1"/>
  <c r="T208" i="1"/>
  <c r="C208" i="1" s="1"/>
  <c r="T209" i="1"/>
  <c r="C209" i="1" s="1"/>
  <c r="T210" i="1"/>
  <c r="C210" i="1" s="1"/>
  <c r="T211" i="1"/>
  <c r="C211" i="1" s="1"/>
  <c r="T212" i="1"/>
  <c r="C212" i="1" s="1"/>
  <c r="T213" i="1"/>
  <c r="C213" i="1" s="1"/>
  <c r="T214" i="1"/>
  <c r="C214" i="1" s="1"/>
  <c r="T216" i="1"/>
  <c r="C216" i="1" s="1"/>
  <c r="T217" i="1"/>
  <c r="C217" i="1" s="1"/>
  <c r="T218" i="1"/>
  <c r="C218" i="1" s="1"/>
  <c r="T207" i="1"/>
  <c r="C207" i="1" s="1"/>
  <c r="T190" i="1"/>
  <c r="C190" i="1" s="1"/>
  <c r="T191" i="1"/>
  <c r="C191" i="1" s="1"/>
  <c r="T192" i="1"/>
  <c r="C192" i="1" s="1"/>
  <c r="T193" i="1"/>
  <c r="C193" i="1" s="1"/>
  <c r="T194" i="1"/>
  <c r="C194" i="1" s="1"/>
  <c r="T188" i="1"/>
  <c r="C188" i="1" s="1"/>
  <c r="T24" i="1"/>
  <c r="C24" i="1" s="1"/>
  <c r="T25" i="1"/>
  <c r="C25" i="1" s="1"/>
  <c r="T26" i="1"/>
  <c r="C26" i="1" s="1"/>
  <c r="T27" i="1"/>
  <c r="C27" i="1" s="1"/>
  <c r="T28" i="1"/>
  <c r="C28" i="1" s="1"/>
  <c r="T29" i="1"/>
  <c r="C29" i="1" s="1"/>
  <c r="T30" i="1"/>
  <c r="C30" i="1" s="1"/>
  <c r="T32" i="1"/>
  <c r="C32" i="1" s="1"/>
  <c r="T23" i="1"/>
  <c r="C23" i="1" s="1"/>
  <c r="M822" i="1"/>
  <c r="M821" i="1"/>
  <c r="M811" i="1"/>
  <c r="M812" i="1"/>
  <c r="M813" i="1"/>
  <c r="M814" i="1"/>
  <c r="M815" i="1"/>
  <c r="M810" i="1"/>
  <c r="M657" i="1"/>
  <c r="M658" i="1"/>
  <c r="M659" i="1"/>
  <c r="M666" i="1"/>
  <c r="M667" i="1"/>
  <c r="M668" i="1"/>
  <c r="M669" i="1"/>
  <c r="M670" i="1"/>
  <c r="M665" i="1"/>
  <c r="M640" i="1"/>
  <c r="M641" i="1"/>
  <c r="M642" i="1"/>
  <c r="M643" i="1"/>
  <c r="M644" i="1"/>
  <c r="M639" i="1"/>
  <c r="M533" i="1"/>
  <c r="M460" i="1"/>
  <c r="M336" i="1"/>
  <c r="M357" i="1"/>
  <c r="M356" i="1"/>
  <c r="M236" i="1"/>
  <c r="M237" i="1"/>
  <c r="M238" i="1"/>
  <c r="M239" i="1"/>
  <c r="J460" i="1"/>
  <c r="K460" i="1"/>
  <c r="L460" i="1"/>
  <c r="N460" i="1"/>
  <c r="O460" i="1"/>
  <c r="Q460" i="1"/>
  <c r="D460" i="1"/>
  <c r="N811" i="1"/>
  <c r="N810" i="1"/>
  <c r="N667" i="1"/>
  <c r="N669" i="1"/>
  <c r="N670" i="1"/>
  <c r="N665" i="1"/>
  <c r="N552" i="1"/>
  <c r="N533" i="1"/>
  <c r="N336" i="1"/>
  <c r="N357" i="1"/>
  <c r="N356" i="1"/>
  <c r="N208" i="1"/>
  <c r="J822" i="1"/>
  <c r="J823" i="1"/>
  <c r="J824" i="1"/>
  <c r="J825" i="1"/>
  <c r="J826" i="1"/>
  <c r="J821" i="1"/>
  <c r="J811" i="1"/>
  <c r="J812" i="1"/>
  <c r="J813" i="1"/>
  <c r="J814" i="1"/>
  <c r="J815" i="1"/>
  <c r="J810" i="1"/>
  <c r="J657" i="1"/>
  <c r="J658" i="1"/>
  <c r="J659" i="1"/>
  <c r="J656" i="1"/>
  <c r="J666" i="1"/>
  <c r="J667" i="1"/>
  <c r="J668" i="1"/>
  <c r="J669" i="1"/>
  <c r="J670" i="1"/>
  <c r="J665" i="1"/>
  <c r="J640" i="1"/>
  <c r="J641" i="1"/>
  <c r="J642" i="1"/>
  <c r="J643" i="1"/>
  <c r="J644" i="1"/>
  <c r="J639" i="1"/>
  <c r="K639" i="1"/>
  <c r="J533" i="1"/>
  <c r="J336" i="1"/>
  <c r="J236" i="1"/>
  <c r="J237" i="1"/>
  <c r="J238" i="1"/>
  <c r="J239" i="1"/>
  <c r="J235" i="1"/>
  <c r="J208" i="1"/>
  <c r="K822" i="1"/>
  <c r="L822" i="1"/>
  <c r="K823" i="1"/>
  <c r="L821" i="1"/>
  <c r="K821" i="1"/>
  <c r="K811" i="1"/>
  <c r="L811" i="1"/>
  <c r="K812" i="1"/>
  <c r="L812" i="1"/>
  <c r="K813" i="1"/>
  <c r="L813" i="1"/>
  <c r="K814" i="1"/>
  <c r="L814" i="1"/>
  <c r="K815" i="1"/>
  <c r="L815" i="1"/>
  <c r="L810" i="1"/>
  <c r="K810" i="1"/>
  <c r="K657" i="1"/>
  <c r="L657" i="1"/>
  <c r="K658" i="1"/>
  <c r="L658" i="1"/>
  <c r="K659" i="1"/>
  <c r="L659" i="1"/>
  <c r="L656" i="1"/>
  <c r="K656" i="1"/>
  <c r="K666" i="1"/>
  <c r="L666" i="1"/>
  <c r="K667" i="1"/>
  <c r="L667" i="1"/>
  <c r="K668" i="1"/>
  <c r="L668" i="1"/>
  <c r="K669" i="1"/>
  <c r="L669" i="1"/>
  <c r="K670" i="1"/>
  <c r="L670" i="1"/>
  <c r="L665" i="1"/>
  <c r="K665" i="1"/>
  <c r="K640" i="1"/>
  <c r="L640" i="1"/>
  <c r="K641" i="1"/>
  <c r="L641" i="1"/>
  <c r="K642" i="1"/>
  <c r="L642" i="1"/>
  <c r="K643" i="1"/>
  <c r="L643" i="1"/>
  <c r="K644" i="1"/>
  <c r="L644" i="1"/>
  <c r="L639" i="1"/>
  <c r="K552" i="1"/>
  <c r="L552" i="1"/>
  <c r="L533" i="1"/>
  <c r="K533" i="1"/>
  <c r="L336" i="1"/>
  <c r="K336" i="1"/>
  <c r="K236" i="1"/>
  <c r="L236" i="1"/>
  <c r="K237" i="1"/>
  <c r="L237" i="1"/>
  <c r="K238" i="1"/>
  <c r="L238" i="1"/>
  <c r="K239" i="1"/>
  <c r="L239" i="1"/>
  <c r="L235" i="1"/>
  <c r="K235" i="1"/>
  <c r="L208" i="1"/>
  <c r="K208" i="1"/>
  <c r="Q533" i="1"/>
  <c r="Q535" i="1"/>
  <c r="Q538" i="1"/>
  <c r="Q539" i="1"/>
  <c r="Q540" i="1"/>
  <c r="Q543" i="1"/>
  <c r="Q545" i="1"/>
  <c r="Q532" i="1"/>
  <c r="O533" i="1"/>
  <c r="O532" i="1"/>
  <c r="I535" i="1"/>
  <c r="I538" i="1"/>
  <c r="I539" i="1"/>
  <c r="I540" i="1"/>
  <c r="I543" i="1"/>
  <c r="I545" i="1"/>
  <c r="I533" i="1"/>
  <c r="D532" i="1"/>
  <c r="G533" i="1"/>
  <c r="G535" i="1"/>
  <c r="G538" i="1"/>
  <c r="G539" i="1"/>
  <c r="G540" i="1"/>
  <c r="G543" i="1"/>
  <c r="G545" i="1"/>
  <c r="G532" i="1"/>
  <c r="D533" i="1"/>
  <c r="D535" i="1"/>
  <c r="D538" i="1"/>
  <c r="D539" i="1"/>
  <c r="D540" i="1"/>
  <c r="D543" i="1"/>
  <c r="D545" i="1"/>
  <c r="Q236" i="1"/>
  <c r="Q237" i="1"/>
  <c r="Q238" i="1"/>
  <c r="Q239" i="1"/>
  <c r="Q235" i="1"/>
  <c r="O234" i="1"/>
  <c r="O236" i="1"/>
  <c r="O237" i="1"/>
  <c r="O238" i="1"/>
  <c r="O239" i="1"/>
  <c r="O235" i="1"/>
  <c r="I236" i="1"/>
  <c r="I237" i="1"/>
  <c r="I238" i="1"/>
  <c r="I239" i="1"/>
  <c r="I235" i="1"/>
  <c r="G234" i="1"/>
  <c r="G236" i="1"/>
  <c r="G237" i="1"/>
  <c r="G238" i="1"/>
  <c r="G239" i="1"/>
  <c r="G235" i="1"/>
  <c r="D234" i="1"/>
  <c r="D236" i="1"/>
  <c r="D237" i="1"/>
  <c r="D238" i="1"/>
  <c r="D239" i="1"/>
  <c r="D235" i="1"/>
  <c r="O336" i="1"/>
  <c r="G336" i="1"/>
  <c r="G334" i="1"/>
  <c r="D336" i="1"/>
  <c r="D334" i="1"/>
  <c r="Q336" i="1"/>
  <c r="Q334" i="1"/>
  <c r="Q656" i="1"/>
  <c r="Q657" i="1"/>
  <c r="Q658" i="1"/>
  <c r="Q659" i="1"/>
  <c r="Q655" i="1"/>
  <c r="Q665" i="1"/>
  <c r="Q666" i="1"/>
  <c r="Q667" i="1"/>
  <c r="Q668" i="1"/>
  <c r="Q669" i="1"/>
  <c r="Q670" i="1"/>
  <c r="Q664" i="1"/>
  <c r="Q639" i="1"/>
  <c r="Q640" i="1"/>
  <c r="Q641" i="1"/>
  <c r="Q642" i="1"/>
  <c r="Q643" i="1"/>
  <c r="Q638" i="1"/>
  <c r="Q550" i="1"/>
  <c r="Q551" i="1"/>
  <c r="Q552" i="1"/>
  <c r="Q553" i="1"/>
  <c r="I550" i="1"/>
  <c r="D550" i="1"/>
  <c r="I217" i="1"/>
  <c r="I218" i="1"/>
  <c r="I210" i="1"/>
  <c r="I211" i="1"/>
  <c r="I212" i="1"/>
  <c r="I213" i="1"/>
  <c r="I214" i="1"/>
  <c r="I216" i="1"/>
  <c r="I209" i="1"/>
  <c r="I208" i="1"/>
  <c r="Q208" i="1"/>
  <c r="Q26" i="1"/>
  <c r="D551" i="1"/>
  <c r="I551" i="1"/>
  <c r="D552" i="1"/>
  <c r="I552" i="1"/>
  <c r="O552" i="1"/>
  <c r="D553" i="1"/>
  <c r="I553" i="1"/>
  <c r="Q225" i="1"/>
  <c r="Q226" i="1"/>
  <c r="Q178" i="1"/>
  <c r="Q229" i="1"/>
  <c r="I225" i="1"/>
  <c r="I226" i="1"/>
  <c r="I178" i="1"/>
  <c r="I229" i="1"/>
  <c r="G225" i="1"/>
  <c r="G226" i="1"/>
  <c r="G178" i="1"/>
  <c r="G229" i="1"/>
  <c r="D225" i="1"/>
  <c r="D226" i="1"/>
  <c r="D178" i="1"/>
  <c r="D229" i="1"/>
  <c r="D666" i="1"/>
  <c r="D667" i="1"/>
  <c r="O667" i="1"/>
  <c r="D668" i="1"/>
  <c r="D669" i="1"/>
  <c r="O669" i="1"/>
  <c r="D670" i="1"/>
  <c r="O670" i="1"/>
  <c r="O665" i="1"/>
  <c r="D665" i="1"/>
  <c r="D664" i="1"/>
  <c r="D640" i="1"/>
  <c r="O640" i="1"/>
  <c r="D641" i="1"/>
  <c r="O641" i="1"/>
  <c r="D642" i="1"/>
  <c r="D643" i="1"/>
  <c r="O643" i="1"/>
  <c r="D644" i="1"/>
  <c r="O644" i="1"/>
  <c r="O639" i="1"/>
  <c r="D639" i="1"/>
  <c r="D638" i="1"/>
  <c r="Q429" i="1"/>
  <c r="Q430" i="1"/>
  <c r="Q431" i="1"/>
  <c r="Q432" i="1"/>
  <c r="Q433" i="1"/>
  <c r="Q434" i="1"/>
  <c r="Q435" i="1"/>
  <c r="Q436" i="1"/>
  <c r="Q437" i="1"/>
  <c r="Q439" i="1"/>
  <c r="Q440" i="1"/>
  <c r="Q442" i="1"/>
  <c r="Q443" i="1"/>
  <c r="Q444" i="1"/>
  <c r="Q446" i="1"/>
  <c r="Q448" i="1"/>
  <c r="Q449" i="1"/>
  <c r="Q450" i="1"/>
  <c r="Q451" i="1"/>
  <c r="Q452" i="1"/>
  <c r="Q455" i="1"/>
  <c r="D429" i="1"/>
  <c r="G429" i="1"/>
  <c r="I429" i="1"/>
  <c r="D430" i="1"/>
  <c r="G430" i="1"/>
  <c r="I430" i="1"/>
  <c r="D431" i="1"/>
  <c r="G431" i="1"/>
  <c r="I431" i="1"/>
  <c r="D432" i="1"/>
  <c r="G432" i="1"/>
  <c r="I432" i="1"/>
  <c r="D433" i="1"/>
  <c r="G433" i="1"/>
  <c r="I433" i="1"/>
  <c r="D434" i="1"/>
  <c r="G434" i="1"/>
  <c r="I434" i="1"/>
  <c r="D435" i="1"/>
  <c r="G435" i="1"/>
  <c r="I435" i="1"/>
  <c r="D436" i="1"/>
  <c r="G436" i="1"/>
  <c r="I436" i="1"/>
  <c r="D437" i="1"/>
  <c r="G437" i="1"/>
  <c r="I437" i="1"/>
  <c r="D439" i="1"/>
  <c r="G439" i="1"/>
  <c r="I439" i="1"/>
  <c r="D440" i="1"/>
  <c r="G440" i="1"/>
  <c r="I440" i="1"/>
  <c r="D442" i="1"/>
  <c r="G442" i="1"/>
  <c r="I442" i="1"/>
  <c r="D443" i="1"/>
  <c r="G443" i="1"/>
  <c r="I443" i="1"/>
  <c r="D444" i="1"/>
  <c r="G444" i="1"/>
  <c r="I444" i="1"/>
  <c r="D446" i="1"/>
  <c r="G446" i="1"/>
  <c r="I446" i="1"/>
  <c r="D448" i="1"/>
  <c r="G448" i="1"/>
  <c r="I448" i="1"/>
  <c r="D449" i="1"/>
  <c r="G449" i="1"/>
  <c r="I449" i="1"/>
  <c r="D450" i="1"/>
  <c r="G450" i="1"/>
  <c r="I450" i="1"/>
  <c r="D451" i="1"/>
  <c r="G451" i="1"/>
  <c r="I451" i="1"/>
  <c r="D452" i="1"/>
  <c r="G452" i="1"/>
  <c r="I452" i="1"/>
  <c r="D455" i="1"/>
  <c r="G455" i="1"/>
  <c r="I455" i="1"/>
  <c r="Q23" i="1"/>
  <c r="Q809" i="1"/>
  <c r="O656" i="1"/>
  <c r="O657" i="1"/>
  <c r="O658" i="1"/>
  <c r="D656" i="1"/>
  <c r="D657" i="1"/>
  <c r="D658" i="1"/>
  <c r="D659" i="1"/>
  <c r="D655" i="1"/>
  <c r="Q465" i="1"/>
  <c r="O465" i="1"/>
  <c r="G465" i="1"/>
  <c r="D465" i="1"/>
  <c r="Q821" i="1"/>
  <c r="Q822" i="1"/>
  <c r="Q823" i="1"/>
  <c r="Q824" i="1"/>
  <c r="Q825" i="1"/>
  <c r="Q826" i="1"/>
  <c r="Q820" i="1"/>
  <c r="O820" i="1"/>
  <c r="I822" i="1"/>
  <c r="I823" i="1"/>
  <c r="I824" i="1"/>
  <c r="I825" i="1"/>
  <c r="I826" i="1"/>
  <c r="I821" i="1"/>
  <c r="G821" i="1"/>
  <c r="G822" i="1"/>
  <c r="G823" i="1"/>
  <c r="G824" i="1"/>
  <c r="G825" i="1"/>
  <c r="G826" i="1"/>
  <c r="G820" i="1"/>
  <c r="D821" i="1"/>
  <c r="D822" i="1"/>
  <c r="D823" i="1"/>
  <c r="D824" i="1"/>
  <c r="D825" i="1"/>
  <c r="D826" i="1"/>
  <c r="D820" i="1"/>
  <c r="Q810" i="1"/>
  <c r="Q811" i="1"/>
  <c r="Q812" i="1"/>
  <c r="Q813" i="1"/>
  <c r="Q814" i="1"/>
  <c r="Q815" i="1"/>
  <c r="G809" i="1"/>
  <c r="Q356" i="1"/>
  <c r="Q357" i="1"/>
  <c r="Q358" i="1"/>
  <c r="Q359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8" i="1"/>
  <c r="Q379" i="1"/>
  <c r="Q380" i="1"/>
  <c r="Q381" i="1"/>
  <c r="Q382" i="1"/>
  <c r="Q383" i="1"/>
  <c r="Q384" i="1"/>
  <c r="Q385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9" i="1"/>
  <c r="Q410" i="1"/>
  <c r="Q411" i="1"/>
  <c r="Q413" i="1"/>
  <c r="Q414" i="1"/>
  <c r="Q418" i="1"/>
  <c r="Q419" i="1"/>
  <c r="Q420" i="1"/>
  <c r="Q421" i="1"/>
  <c r="Q422" i="1"/>
  <c r="Q423" i="1"/>
  <c r="Q425" i="1"/>
  <c r="Q426" i="1"/>
  <c r="Q427" i="1"/>
  <c r="Q428" i="1"/>
  <c r="Q355" i="1"/>
  <c r="G355" i="1"/>
  <c r="Q209" i="1"/>
  <c r="Q210" i="1"/>
  <c r="Q211" i="1"/>
  <c r="Q212" i="1"/>
  <c r="Q213" i="1"/>
  <c r="Q214" i="1"/>
  <c r="Q216" i="1"/>
  <c r="Q217" i="1"/>
  <c r="Q218" i="1"/>
  <c r="Q207" i="1"/>
  <c r="Q190" i="1"/>
  <c r="Q191" i="1"/>
  <c r="Q192" i="1"/>
  <c r="Q193" i="1"/>
  <c r="Q194" i="1"/>
  <c r="Q188" i="1"/>
  <c r="O809" i="1"/>
  <c r="O813" i="1"/>
  <c r="O814" i="1"/>
  <c r="O815" i="1"/>
  <c r="G811" i="1"/>
  <c r="G812" i="1"/>
  <c r="G813" i="1"/>
  <c r="G814" i="1"/>
  <c r="G815" i="1"/>
  <c r="G810" i="1"/>
  <c r="D810" i="1"/>
  <c r="D811" i="1"/>
  <c r="D812" i="1"/>
  <c r="D813" i="1"/>
  <c r="D814" i="1"/>
  <c r="D815" i="1"/>
  <c r="D809" i="1"/>
  <c r="G357" i="1"/>
  <c r="I357" i="1"/>
  <c r="O357" i="1"/>
  <c r="G358" i="1"/>
  <c r="I358" i="1"/>
  <c r="G359" i="1"/>
  <c r="I359" i="1"/>
  <c r="G361" i="1"/>
  <c r="I361" i="1"/>
  <c r="G362" i="1"/>
  <c r="I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369" i="1"/>
  <c r="I369" i="1"/>
  <c r="G370" i="1"/>
  <c r="I370" i="1"/>
  <c r="G371" i="1"/>
  <c r="I371" i="1"/>
  <c r="G372" i="1"/>
  <c r="I372" i="1"/>
  <c r="G373" i="1"/>
  <c r="I373" i="1"/>
  <c r="G374" i="1"/>
  <c r="I374" i="1"/>
  <c r="G375" i="1"/>
  <c r="I375" i="1"/>
  <c r="G376" i="1"/>
  <c r="I376" i="1"/>
  <c r="G378" i="1"/>
  <c r="I378" i="1"/>
  <c r="G379" i="1"/>
  <c r="I379" i="1"/>
  <c r="G380" i="1"/>
  <c r="I380" i="1"/>
  <c r="G381" i="1"/>
  <c r="I381" i="1"/>
  <c r="G382" i="1"/>
  <c r="I382" i="1"/>
  <c r="G383" i="1"/>
  <c r="I383" i="1"/>
  <c r="G384" i="1"/>
  <c r="I384" i="1"/>
  <c r="G385" i="1"/>
  <c r="I385" i="1"/>
  <c r="G387" i="1"/>
  <c r="I387" i="1"/>
  <c r="G388" i="1"/>
  <c r="I388" i="1"/>
  <c r="G389" i="1"/>
  <c r="I389" i="1"/>
  <c r="G390" i="1"/>
  <c r="I390" i="1"/>
  <c r="G391" i="1"/>
  <c r="I391" i="1"/>
  <c r="G392" i="1"/>
  <c r="I392" i="1"/>
  <c r="G393" i="1"/>
  <c r="I393" i="1"/>
  <c r="G394" i="1"/>
  <c r="I394" i="1"/>
  <c r="G395" i="1"/>
  <c r="I395" i="1"/>
  <c r="G396" i="1"/>
  <c r="I396" i="1"/>
  <c r="G397" i="1"/>
  <c r="I397" i="1"/>
  <c r="G398" i="1"/>
  <c r="I398" i="1"/>
  <c r="G399" i="1"/>
  <c r="I399" i="1"/>
  <c r="G400" i="1"/>
  <c r="I400" i="1"/>
  <c r="G401" i="1"/>
  <c r="I401" i="1"/>
  <c r="G402" i="1"/>
  <c r="I402" i="1"/>
  <c r="G403" i="1"/>
  <c r="I403" i="1"/>
  <c r="G404" i="1"/>
  <c r="I404" i="1"/>
  <c r="G405" i="1"/>
  <c r="I405" i="1"/>
  <c r="G406" i="1"/>
  <c r="I406" i="1"/>
  <c r="G407" i="1"/>
  <c r="I407" i="1"/>
  <c r="G409" i="1"/>
  <c r="I409" i="1"/>
  <c r="G410" i="1"/>
  <c r="I410" i="1"/>
  <c r="G411" i="1"/>
  <c r="I411" i="1"/>
  <c r="G413" i="1"/>
  <c r="I413" i="1"/>
  <c r="G414" i="1"/>
  <c r="I414" i="1"/>
  <c r="G418" i="1"/>
  <c r="I418" i="1"/>
  <c r="G419" i="1"/>
  <c r="I419" i="1"/>
  <c r="G420" i="1"/>
  <c r="I420" i="1"/>
  <c r="G421" i="1"/>
  <c r="I421" i="1"/>
  <c r="G422" i="1"/>
  <c r="I422" i="1"/>
  <c r="G423" i="1"/>
  <c r="I423" i="1"/>
  <c r="G425" i="1"/>
  <c r="I425" i="1"/>
  <c r="G426" i="1"/>
  <c r="I426" i="1"/>
  <c r="G427" i="1"/>
  <c r="I427" i="1"/>
  <c r="G428" i="1"/>
  <c r="I428" i="1"/>
  <c r="O355" i="1"/>
  <c r="O356" i="1"/>
  <c r="I356" i="1"/>
  <c r="G356" i="1"/>
  <c r="D401" i="1"/>
  <c r="D402" i="1"/>
  <c r="D403" i="1"/>
  <c r="D404" i="1"/>
  <c r="D405" i="1"/>
  <c r="D406" i="1"/>
  <c r="D407" i="1"/>
  <c r="D409" i="1"/>
  <c r="D410" i="1"/>
  <c r="D411" i="1"/>
  <c r="D413" i="1"/>
  <c r="D414" i="1"/>
  <c r="D418" i="1"/>
  <c r="D419" i="1"/>
  <c r="D420" i="1"/>
  <c r="D421" i="1"/>
  <c r="D422" i="1"/>
  <c r="D423" i="1"/>
  <c r="D425" i="1"/>
  <c r="D426" i="1"/>
  <c r="D427" i="1"/>
  <c r="D428" i="1"/>
  <c r="D374" i="1"/>
  <c r="D375" i="1"/>
  <c r="D376" i="1"/>
  <c r="D378" i="1"/>
  <c r="D379" i="1"/>
  <c r="D380" i="1"/>
  <c r="D381" i="1"/>
  <c r="D382" i="1"/>
  <c r="D383" i="1"/>
  <c r="D384" i="1"/>
  <c r="D385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356" i="1"/>
  <c r="D357" i="1"/>
  <c r="D358" i="1"/>
  <c r="D359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55" i="1"/>
  <c r="G208" i="1"/>
  <c r="G209" i="1"/>
  <c r="G210" i="1"/>
  <c r="G211" i="1"/>
  <c r="G212" i="1"/>
  <c r="G213" i="1"/>
  <c r="G214" i="1"/>
  <c r="G216" i="1"/>
  <c r="G217" i="1"/>
  <c r="G218" i="1"/>
  <c r="O208" i="1"/>
  <c r="O207" i="1"/>
  <c r="G207" i="1"/>
  <c r="D216" i="1"/>
  <c r="D217" i="1"/>
  <c r="D218" i="1"/>
  <c r="D208" i="1"/>
  <c r="D209" i="1"/>
  <c r="D210" i="1"/>
  <c r="D211" i="1"/>
  <c r="D212" i="1"/>
  <c r="D213" i="1"/>
  <c r="D214" i="1"/>
  <c r="I191" i="1"/>
  <c r="I192" i="1"/>
  <c r="I193" i="1"/>
  <c r="I194" i="1"/>
  <c r="I190" i="1"/>
  <c r="G190" i="1"/>
  <c r="G191" i="1"/>
  <c r="G192" i="1"/>
  <c r="G193" i="1"/>
  <c r="G194" i="1"/>
  <c r="D190" i="1"/>
  <c r="D191" i="1"/>
  <c r="D192" i="1"/>
  <c r="D193" i="1"/>
  <c r="D194" i="1"/>
  <c r="O188" i="1"/>
  <c r="G188" i="1"/>
  <c r="D188" i="1"/>
  <c r="O23" i="1"/>
  <c r="O24" i="1"/>
  <c r="Q24" i="1"/>
  <c r="Q25" i="1"/>
  <c r="Q27" i="1"/>
  <c r="Q28" i="1"/>
  <c r="Q29" i="1"/>
  <c r="Q30" i="1"/>
  <c r="Q32" i="1"/>
  <c r="I25" i="1"/>
  <c r="I26" i="1"/>
  <c r="I27" i="1"/>
  <c r="I28" i="1"/>
  <c r="I29" i="1"/>
  <c r="I30" i="1"/>
  <c r="I32" i="1"/>
  <c r="G24" i="1"/>
  <c r="G25" i="1"/>
  <c r="G26" i="1"/>
  <c r="G27" i="1"/>
  <c r="G28" i="1"/>
  <c r="G29" i="1"/>
  <c r="G30" i="1"/>
  <c r="G32" i="1"/>
  <c r="G23" i="1"/>
  <c r="D24" i="1"/>
  <c r="D25" i="1"/>
  <c r="D26" i="1"/>
  <c r="D27" i="1"/>
  <c r="D28" i="1"/>
  <c r="D29" i="1"/>
  <c r="D30" i="1"/>
  <c r="D32" i="1"/>
  <c r="D23" i="1"/>
  <c r="V565" i="1"/>
  <c r="W565" i="1" s="1"/>
  <c r="V569" i="1"/>
  <c r="W569" i="1" s="1"/>
  <c r="V567" i="1"/>
  <c r="W567" i="1" s="1"/>
  <c r="V592" i="1"/>
  <c r="W592" i="1" s="1"/>
  <c r="S651" i="1"/>
  <c r="V600" i="1"/>
  <c r="V599" i="1"/>
  <c r="S805" i="1"/>
  <c r="R845" i="1"/>
  <c r="R844" i="1"/>
  <c r="R846" i="1"/>
  <c r="R852" i="1"/>
  <c r="R843" i="1"/>
  <c r="R660" i="1"/>
  <c r="R848" i="1"/>
  <c r="R847" i="1"/>
  <c r="J15" i="1"/>
  <c r="J17" i="1"/>
  <c r="J14" i="1"/>
  <c r="J16" i="1"/>
  <c r="J18" i="1"/>
  <c r="A171" i="1" l="1"/>
  <c r="A184" i="1"/>
  <c r="R657" i="1"/>
  <c r="R655" i="1"/>
  <c r="W584" i="1"/>
  <c r="R659" i="1"/>
  <c r="R656" i="1"/>
  <c r="R651" i="1"/>
  <c r="D660" i="1"/>
  <c r="R649" i="1"/>
  <c r="R658" i="1"/>
  <c r="Z6" i="1"/>
  <c r="Z7" i="1"/>
  <c r="Z9" i="1"/>
  <c r="Z3" i="1"/>
  <c r="R850" i="1"/>
  <c r="D852" i="1"/>
  <c r="R841" i="1"/>
  <c r="R851" i="1"/>
  <c r="R842" i="1"/>
  <c r="Z5" i="1"/>
  <c r="Z11" i="1"/>
  <c r="Z4" i="1"/>
  <c r="Z10" i="1"/>
  <c r="Z15" i="1" l="1"/>
  <c r="AA11" i="1"/>
  <c r="AB11" i="1" s="1"/>
  <c r="AB10" i="1" s="1"/>
  <c r="AA10" i="1" l="1"/>
  <c r="AB9" i="1" s="1"/>
  <c r="AC11" i="1"/>
  <c r="AD11" i="1" s="1"/>
  <c r="AE11" i="1"/>
  <c r="AF11" i="1" s="1"/>
  <c r="AA9" i="1" l="1"/>
  <c r="AB7" i="1" s="1"/>
  <c r="AC10" i="1"/>
  <c r="AD10" i="1" s="1"/>
  <c r="AA7" i="1" l="1"/>
  <c r="AC9" i="1"/>
  <c r="AD9" i="1" s="1"/>
  <c r="AC7" i="1" l="1"/>
  <c r="AD7" i="1" s="1"/>
  <c r="AB6" i="1"/>
  <c r="AA6" i="1" l="1"/>
  <c r="AC6" i="1" l="1"/>
  <c r="AD6" i="1" s="1"/>
  <c r="AB5" i="1"/>
  <c r="AA5" i="1" l="1"/>
  <c r="AC5" i="1" l="1"/>
  <c r="AD5" i="1" s="1"/>
  <c r="AB4" i="1"/>
  <c r="AA4" i="1" l="1"/>
  <c r="AC4" i="1" l="1"/>
  <c r="AD4" i="1" s="1"/>
  <c r="AB3" i="1"/>
  <c r="AA3" i="1" l="1"/>
  <c r="AA15" i="1" l="1"/>
  <c r="R4" i="1" s="1"/>
  <c r="AC3" i="1"/>
  <c r="AD3" i="1" s="1"/>
  <c r="AD15" i="1" s="1"/>
  <c r="AB2" i="1"/>
  <c r="AB15" i="1"/>
  <c r="AC15" i="1" l="1"/>
  <c r="AC16" i="1" s="1"/>
  <c r="AE10" i="1"/>
  <c r="T6" i="1"/>
  <c r="AF10" i="1" l="1"/>
  <c r="AE9" i="1"/>
  <c r="AF9" i="1" l="1"/>
  <c r="AE7" i="1"/>
  <c r="AF7" i="1" l="1"/>
  <c r="AE6" i="1"/>
  <c r="AF6" i="1" l="1"/>
  <c r="AE5" i="1"/>
  <c r="AF5" i="1" l="1"/>
  <c r="AE4" i="1"/>
  <c r="AE16" i="1" s="1"/>
  <c r="AF4" i="1" l="1"/>
  <c r="AE3" i="1"/>
  <c r="AF3" i="1" l="1"/>
  <c r="AG3" i="1" s="1"/>
  <c r="AG15" i="1"/>
  <c r="AG4" i="1" l="1"/>
  <c r="AH4" i="1" s="1"/>
  <c r="AH3" i="1"/>
  <c r="AG5" i="1" l="1"/>
  <c r="AH5" i="1" s="1"/>
  <c r="AJ6" i="1" s="1"/>
  <c r="AJ4" i="1"/>
  <c r="AJ5" i="1"/>
  <c r="AI3" i="1"/>
  <c r="AI5" i="1"/>
  <c r="AK5" i="1" s="1"/>
  <c r="AI4" i="1"/>
  <c r="AK4" i="1" s="1"/>
  <c r="AG6" i="1" l="1"/>
  <c r="AH6" i="1" l="1"/>
  <c r="AG7" i="1"/>
  <c r="AH7" i="1" l="1"/>
  <c r="AG9" i="1"/>
  <c r="AI6" i="1"/>
  <c r="AK6" i="1" s="1"/>
  <c r="AJ7" i="1"/>
  <c r="AH9" i="1" l="1"/>
  <c r="AG10" i="1"/>
  <c r="AI7" i="1"/>
  <c r="AK7" i="1" s="1"/>
  <c r="AJ9" i="1"/>
  <c r="AJ10" i="1"/>
  <c r="AH10" i="1" l="1"/>
  <c r="AJ11" i="1" s="1"/>
  <c r="AG11" i="1"/>
  <c r="AH11" i="1" s="1"/>
  <c r="AI11" i="1" s="1"/>
  <c r="AK11" i="1" s="1"/>
  <c r="AI9" i="1"/>
  <c r="AK9" i="1" l="1"/>
  <c r="AI10" i="1"/>
  <c r="AK10" i="1" s="1"/>
  <c r="AH15" i="1"/>
  <c r="AK17" i="1" l="1"/>
  <c r="AH17" i="1"/>
  <c r="AH16" i="1"/>
  <c r="AI15" i="1"/>
  <c r="AI16" i="1" l="1"/>
  <c r="AL7" i="1" s="1"/>
  <c r="AK16" i="1"/>
  <c r="AL3" i="1" l="1"/>
  <c r="AM11" i="1"/>
  <c r="AM10" i="1" s="1"/>
  <c r="AM9" i="1" s="1"/>
  <c r="AM7" i="1" s="1"/>
  <c r="AM6" i="1" s="1"/>
  <c r="AM5" i="1" s="1"/>
  <c r="AM4" i="1" s="1"/>
  <c r="AM3" i="1" s="1"/>
  <c r="AL10" i="1"/>
  <c r="AL5" i="1"/>
  <c r="AL4" i="1"/>
  <c r="AL6" i="1"/>
  <c r="AL9" i="1"/>
  <c r="AL11" i="1"/>
  <c r="AN11" i="1" l="1"/>
  <c r="AP11" i="1" s="1"/>
  <c r="AN3" i="1"/>
  <c r="AO3" i="1" s="1"/>
  <c r="AN7" i="1"/>
  <c r="AO7" i="1" s="1"/>
  <c r="AN6" i="1"/>
  <c r="AO6" i="1" s="1"/>
  <c r="AN5" i="1"/>
  <c r="AP5" i="1" s="1"/>
  <c r="AN9" i="1"/>
  <c r="AO9" i="1" s="1"/>
  <c r="AN4" i="1"/>
  <c r="AP4" i="1" s="1"/>
  <c r="AN10" i="1"/>
  <c r="AO10" i="1" s="1"/>
  <c r="AP6" i="1" l="1"/>
  <c r="AO11" i="1"/>
  <c r="AP10" i="1"/>
  <c r="AP3" i="1"/>
  <c r="AP9" i="1"/>
  <c r="AO4" i="1"/>
  <c r="AO5" i="1"/>
  <c r="AN15" i="1"/>
  <c r="AN17" i="1" s="1"/>
  <c r="AP7" i="1"/>
  <c r="AP15" i="1" l="1"/>
  <c r="AQ6" i="1" s="1"/>
  <c r="AR6" i="1" s="1"/>
  <c r="AN16" i="1"/>
  <c r="AO15" i="1"/>
  <c r="R3" i="1" s="1"/>
  <c r="J13" i="1" s="1"/>
  <c r="Q7" i="1" l="1"/>
  <c r="AQ10" i="1"/>
  <c r="AR10" i="1" s="1"/>
  <c r="AQ4" i="1"/>
  <c r="AR4" i="1" s="1"/>
  <c r="AQ7" i="1"/>
  <c r="AR7" i="1" s="1"/>
  <c r="Q9" i="1"/>
  <c r="AQ9" i="1"/>
  <c r="AR9" i="1" s="1"/>
  <c r="AQ11" i="1"/>
  <c r="AR11" i="1" s="1"/>
  <c r="AQ5" i="1"/>
  <c r="AR5" i="1" s="1"/>
  <c r="AQ3" i="1"/>
  <c r="AR3" i="1" s="1"/>
  <c r="AS3" i="1" s="1"/>
  <c r="AS4" i="1" s="1"/>
  <c r="AT3" i="1" l="1"/>
  <c r="AU3" i="1" s="1"/>
  <c r="AQ16" i="1"/>
  <c r="AS15" i="1" s="1"/>
  <c r="AT4" i="1"/>
  <c r="AU4" i="1" s="1"/>
  <c r="AW4" i="1" s="1"/>
  <c r="AS5" i="1"/>
  <c r="AV5" i="1"/>
  <c r="AV4" i="1" l="1"/>
  <c r="AT5" i="1"/>
  <c r="AS6" i="1"/>
  <c r="AS7" i="1" l="1"/>
  <c r="AT6" i="1"/>
  <c r="AU6" i="1" s="1"/>
  <c r="AW6" i="1" s="1"/>
  <c r="AU5" i="1"/>
  <c r="AW5" i="1" s="1"/>
  <c r="AV6" i="1"/>
  <c r="AV7" i="1" l="1"/>
  <c r="AT7" i="1"/>
  <c r="AS9" i="1"/>
  <c r="AS10" i="1" l="1"/>
  <c r="AT9" i="1"/>
  <c r="AV10" i="1" s="1"/>
  <c r="AV9" i="1"/>
  <c r="AU7" i="1"/>
  <c r="AW7" i="1" s="1"/>
  <c r="AU9" i="1" l="1"/>
  <c r="AW9" i="1" s="1"/>
  <c r="AT10" i="1"/>
  <c r="AU10" i="1" s="1"/>
  <c r="AW10" i="1" s="1"/>
  <c r="AS11" i="1"/>
  <c r="AT11" i="1" s="1"/>
  <c r="AU11" i="1" s="1"/>
  <c r="AW11" i="1" s="1"/>
  <c r="AW17" i="1" l="1"/>
  <c r="AT15" i="1"/>
  <c r="AV11" i="1"/>
  <c r="AU15" i="1"/>
  <c r="AU16" i="1" l="1"/>
  <c r="AX5" i="1" s="1"/>
  <c r="AT16" i="1"/>
  <c r="AT17" i="1"/>
  <c r="AX7" i="1" l="1"/>
  <c r="AX10" i="1"/>
  <c r="AX6" i="1"/>
  <c r="AX11" i="1"/>
  <c r="AX9" i="1"/>
  <c r="AX4" i="1"/>
  <c r="AY11" i="1"/>
  <c r="AY10" i="1" s="1"/>
  <c r="AY9" i="1" s="1"/>
  <c r="AY7" i="1" s="1"/>
  <c r="AY6" i="1" s="1"/>
  <c r="AX3" i="1"/>
  <c r="AW16" i="1"/>
  <c r="AY5" i="1" l="1"/>
  <c r="AZ6" i="1"/>
  <c r="BA6" i="1" s="1"/>
  <c r="BB6" i="1" s="1"/>
  <c r="AZ7" i="1"/>
  <c r="BA7" i="1" s="1"/>
  <c r="BB7" i="1" s="1"/>
  <c r="AZ9" i="1"/>
  <c r="BA9" i="1" s="1"/>
  <c r="BB9" i="1" s="1"/>
  <c r="AZ10" i="1"/>
  <c r="BA10" i="1" s="1"/>
  <c r="BB10" i="1" s="1"/>
  <c r="AZ11" i="1"/>
  <c r="BA11" i="1" s="1"/>
  <c r="BB11" i="1" s="1"/>
  <c r="AY4" i="1" l="1"/>
  <c r="AZ5" i="1"/>
  <c r="BA5" i="1" s="1"/>
  <c r="BB5" i="1" s="1"/>
  <c r="AY3" i="1" l="1"/>
  <c r="AZ3" i="1" s="1"/>
  <c r="AZ4" i="1"/>
  <c r="BA4" i="1" s="1"/>
  <c r="BB4" i="1" s="1"/>
  <c r="BA3" i="1" l="1"/>
  <c r="AZ15" i="1"/>
  <c r="AZ17" i="1" l="1"/>
  <c r="AZ16" i="1"/>
  <c r="BB3" i="1"/>
  <c r="BB15" i="1" s="1"/>
  <c r="BA15" i="1"/>
  <c r="BC11" i="1" l="1"/>
  <c r="BC7" i="1"/>
  <c r="BD7" i="1" s="1"/>
  <c r="BC10" i="1"/>
  <c r="BD10" i="1" s="1"/>
  <c r="BC4" i="1"/>
  <c r="BD4" i="1" s="1"/>
  <c r="BC6" i="1"/>
  <c r="BD6" i="1" s="1"/>
  <c r="BC9" i="1"/>
  <c r="BD9" i="1" s="1"/>
  <c r="BC5" i="1"/>
  <c r="BD5" i="1" s="1"/>
  <c r="BC3" i="1"/>
  <c r="BD3" i="1" s="1"/>
  <c r="BE3" i="1" s="1"/>
  <c r="BE4" i="1" l="1"/>
  <c r="BF3" i="1"/>
  <c r="BG3" i="1" s="1"/>
  <c r="BH3" i="1" s="1"/>
  <c r="BD11" i="1"/>
  <c r="BC16" i="1"/>
  <c r="BE15" i="1" s="1"/>
  <c r="BF4" i="1" l="1"/>
  <c r="BG4" i="1" s="1"/>
  <c r="BH4" i="1" s="1"/>
  <c r="BE5" i="1"/>
  <c r="BE6" i="1" l="1"/>
  <c r="BF5" i="1"/>
  <c r="BG5" i="1" s="1"/>
  <c r="BH5" i="1" s="1"/>
  <c r="BF6" i="1" l="1"/>
  <c r="BG6" i="1" s="1"/>
  <c r="BH6" i="1" s="1"/>
  <c r="BE7" i="1"/>
  <c r="BF7" i="1" l="1"/>
  <c r="BG7" i="1" s="1"/>
  <c r="BH7" i="1" s="1"/>
  <c r="BE9" i="1"/>
  <c r="BF9" i="1" l="1"/>
  <c r="BE10" i="1"/>
  <c r="BF10" i="1" l="1"/>
  <c r="BG10" i="1" s="1"/>
  <c r="BH10" i="1" s="1"/>
  <c r="BE11" i="1"/>
  <c r="BF11" i="1" s="1"/>
  <c r="BG9" i="1"/>
  <c r="V6" i="1" l="1"/>
  <c r="BF15" i="1"/>
  <c r="BG11" i="1"/>
  <c r="BH11" i="1" s="1"/>
  <c r="BH9" i="1"/>
  <c r="BG15" i="1" l="1"/>
  <c r="BH15" i="1"/>
  <c r="BF17" i="1"/>
  <c r="BF16" i="1"/>
  <c r="T5" i="1" l="1"/>
  <c r="V5" i="1"/>
  <c r="V7" i="1" s="1"/>
  <c r="V3" i="1"/>
  <c r="V10" i="1" l="1"/>
  <c r="V9" i="1"/>
  <c r="V11" i="1"/>
  <c r="AB17" i="1"/>
  <c r="V4" i="1"/>
  <c r="AB18" i="1"/>
  <c r="Q8" i="1" l="1"/>
  <c r="Q6" i="1"/>
  <c r="B1" i="1" s="1"/>
  <c r="I5" i="5"/>
  <c r="C5" i="5" s="1"/>
  <c r="K46" i="5"/>
  <c r="I98" i="5"/>
  <c r="K136" i="5"/>
  <c r="I92" i="5"/>
  <c r="K121" i="5"/>
  <c r="I109" i="5"/>
  <c r="K162" i="5"/>
  <c r="I78" i="5"/>
  <c r="K82" i="5"/>
  <c r="K97" i="5"/>
  <c r="K45" i="5"/>
  <c r="K134" i="5"/>
  <c r="I65" i="5"/>
  <c r="I101" i="5"/>
  <c r="K138" i="5"/>
  <c r="K142" i="5"/>
  <c r="I73" i="5"/>
  <c r="I63" i="5"/>
  <c r="K109" i="5"/>
  <c r="K144" i="5"/>
  <c r="I58" i="5"/>
  <c r="I55" i="5"/>
  <c r="K146" i="5"/>
  <c r="K88" i="5"/>
  <c r="I114" i="5"/>
  <c r="I90" i="5"/>
  <c r="K95" i="5"/>
  <c r="I6" i="5"/>
  <c r="I154" i="5"/>
  <c r="K141" i="5"/>
  <c r="I13" i="5"/>
  <c r="K87" i="5"/>
  <c r="K77" i="5"/>
  <c r="I36" i="5"/>
  <c r="I144" i="5"/>
  <c r="I41" i="5"/>
  <c r="K104" i="5"/>
  <c r="H146" i="5"/>
  <c r="H5" i="5" l="1"/>
  <c r="B5" i="5" s="1"/>
  <c r="K5" i="5"/>
  <c r="D5" i="5" s="1"/>
  <c r="J5" i="5"/>
  <c r="A5" i="5" s="1"/>
  <c r="J105" i="5"/>
  <c r="J148" i="5"/>
  <c r="J45" i="5"/>
  <c r="J15" i="5"/>
  <c r="J19" i="5"/>
  <c r="J160" i="5"/>
  <c r="J69" i="5"/>
  <c r="J38" i="5"/>
  <c r="J102" i="5"/>
  <c r="J6" i="5"/>
  <c r="A6" i="5" s="1"/>
  <c r="J18" i="5"/>
  <c r="J100" i="5"/>
  <c r="J13" i="5"/>
  <c r="J124" i="5"/>
  <c r="J107" i="5"/>
  <c r="J66" i="5"/>
  <c r="J109" i="5"/>
  <c r="J145" i="5"/>
  <c r="J119" i="5"/>
  <c r="J126" i="5"/>
  <c r="J20" i="5"/>
  <c r="A20" i="5" s="1"/>
  <c r="J156" i="5"/>
  <c r="J37" i="5"/>
  <c r="J42" i="5"/>
  <c r="J135" i="5"/>
  <c r="J155" i="5"/>
  <c r="J32" i="5"/>
  <c r="J115" i="5"/>
  <c r="J77" i="5"/>
  <c r="J49" i="5"/>
  <c r="J89" i="5"/>
  <c r="J88" i="5"/>
  <c r="J9" i="5"/>
  <c r="J91" i="5"/>
  <c r="J150" i="5"/>
  <c r="J164" i="5"/>
  <c r="J106" i="5"/>
  <c r="A106" i="5" s="1"/>
  <c r="J157" i="5"/>
  <c r="A157" i="5" s="1"/>
  <c r="J162" i="5"/>
  <c r="J99" i="5"/>
  <c r="J154" i="5"/>
  <c r="J59" i="5"/>
  <c r="J144" i="5"/>
  <c r="J23" i="5"/>
  <c r="J117" i="5"/>
  <c r="J141" i="5"/>
  <c r="J86" i="5"/>
  <c r="J8" i="5"/>
  <c r="J127" i="5"/>
  <c r="J14" i="5"/>
  <c r="J133" i="5"/>
  <c r="J54" i="5"/>
  <c r="J73" i="5"/>
  <c r="J96" i="5"/>
  <c r="J29" i="5"/>
  <c r="J51" i="5"/>
  <c r="J62" i="5"/>
  <c r="J142" i="5"/>
  <c r="A142" i="5" s="1"/>
  <c r="J151" i="5"/>
  <c r="A151" i="5" s="1"/>
  <c r="J134" i="5"/>
  <c r="J94" i="5"/>
  <c r="J163" i="5"/>
  <c r="J113" i="5"/>
  <c r="J104" i="5"/>
  <c r="J101" i="5"/>
  <c r="J55" i="5"/>
  <c r="A55" i="5" s="1"/>
  <c r="J136" i="5"/>
  <c r="A136" i="5" s="1"/>
  <c r="J139" i="5"/>
  <c r="J36" i="5"/>
  <c r="J149" i="5"/>
  <c r="A149" i="5" s="1"/>
  <c r="J74" i="5"/>
  <c r="A74" i="5" s="1"/>
  <c r="J75" i="5"/>
  <c r="J84" i="5"/>
  <c r="J72" i="5"/>
  <c r="J90" i="5"/>
  <c r="A90" i="5" s="1"/>
  <c r="J27" i="5"/>
  <c r="J98" i="5"/>
  <c r="J114" i="5"/>
  <c r="J22" i="5"/>
  <c r="J67" i="5"/>
  <c r="A67" i="5" s="1"/>
  <c r="J125" i="5"/>
  <c r="J85" i="5"/>
  <c r="J35" i="5"/>
  <c r="J152" i="5"/>
  <c r="J87" i="5"/>
  <c r="A87" i="5" s="1"/>
  <c r="J121" i="5"/>
  <c r="J26" i="5"/>
  <c r="J30" i="5"/>
  <c r="J17" i="5"/>
  <c r="J65" i="5"/>
  <c r="J159" i="5"/>
  <c r="J34" i="5"/>
  <c r="J116" i="5"/>
  <c r="J92" i="5"/>
  <c r="A92" i="5" s="1"/>
  <c r="J122" i="5"/>
  <c r="J12" i="5"/>
  <c r="J31" i="5"/>
  <c r="J131" i="5"/>
  <c r="J43" i="5"/>
  <c r="J10" i="5"/>
  <c r="J97" i="5"/>
  <c r="J143" i="5"/>
  <c r="A143" i="5" s="1"/>
  <c r="J33" i="5"/>
  <c r="A33" i="5" s="1"/>
  <c r="J39" i="5"/>
  <c r="A39" i="5" s="1"/>
  <c r="J25" i="5"/>
  <c r="J138" i="5"/>
  <c r="J95" i="5"/>
  <c r="A95" i="5" s="1"/>
  <c r="J137" i="5"/>
  <c r="J128" i="5"/>
  <c r="A128" i="5" s="1"/>
  <c r="J24" i="5"/>
  <c r="A24" i="5" s="1"/>
  <c r="J56" i="5"/>
  <c r="J68" i="5"/>
  <c r="A68" i="5" s="1"/>
  <c r="J161" i="5"/>
  <c r="J64" i="5"/>
  <c r="J83" i="5"/>
  <c r="J53" i="5"/>
  <c r="J120" i="5"/>
  <c r="A120" i="5" s="1"/>
  <c r="J82" i="5"/>
  <c r="J146" i="5"/>
  <c r="J76" i="5"/>
  <c r="A76" i="5" s="1"/>
  <c r="J158" i="5"/>
  <c r="J52" i="5"/>
  <c r="A52" i="5" s="1"/>
  <c r="J58" i="5"/>
  <c r="J153" i="5"/>
  <c r="A153" i="5" s="1"/>
  <c r="J70" i="5"/>
  <c r="A70" i="5" s="1"/>
  <c r="J79" i="5"/>
  <c r="J16" i="5"/>
  <c r="J110" i="5"/>
  <c r="J28" i="5"/>
  <c r="J50" i="5"/>
  <c r="A50" i="5" s="1"/>
  <c r="J93" i="5"/>
  <c r="J48" i="5"/>
  <c r="J7" i="5"/>
  <c r="J47" i="5"/>
  <c r="J11" i="5"/>
  <c r="J78" i="5"/>
  <c r="J132" i="5"/>
  <c r="J147" i="5"/>
  <c r="J41" i="5"/>
  <c r="H20" i="5"/>
  <c r="H21" i="5"/>
  <c r="H132" i="5"/>
  <c r="H159" i="5"/>
  <c r="H37" i="5"/>
  <c r="H62" i="5"/>
  <c r="H162" i="5"/>
  <c r="H56" i="5"/>
  <c r="H164" i="5"/>
  <c r="H144" i="5"/>
  <c r="H34" i="5"/>
  <c r="H46" i="5"/>
  <c r="H107" i="5"/>
  <c r="H59" i="5"/>
  <c r="H150" i="5"/>
  <c r="H69" i="5"/>
  <c r="H72" i="5"/>
  <c r="H61" i="5"/>
  <c r="H97" i="5"/>
  <c r="H68" i="5"/>
  <c r="H112" i="5"/>
  <c r="H38" i="5"/>
  <c r="H96" i="5"/>
  <c r="H134" i="5"/>
  <c r="H116" i="5"/>
  <c r="H81" i="5"/>
  <c r="I37" i="5"/>
  <c r="I8" i="5"/>
  <c r="K72" i="5"/>
  <c r="I59" i="5"/>
  <c r="I35" i="5"/>
  <c r="I107" i="5"/>
  <c r="I64" i="5"/>
  <c r="I77" i="5"/>
  <c r="K76" i="5"/>
  <c r="I133" i="5"/>
  <c r="I66" i="5"/>
  <c r="I50" i="5"/>
  <c r="K103" i="5"/>
  <c r="K59" i="5"/>
  <c r="K56" i="5"/>
  <c r="K96" i="5"/>
  <c r="K42" i="5"/>
  <c r="I74" i="5"/>
  <c r="I95" i="5"/>
  <c r="K158" i="5"/>
  <c r="K155" i="5"/>
  <c r="I163" i="5"/>
  <c r="K38" i="5"/>
  <c r="I122" i="5"/>
  <c r="K164" i="5"/>
  <c r="I30" i="5"/>
  <c r="I75" i="5"/>
  <c r="I86" i="5"/>
  <c r="K32" i="5"/>
  <c r="I146" i="5"/>
  <c r="K113" i="5"/>
  <c r="K101" i="5"/>
  <c r="K83" i="5"/>
  <c r="K115" i="5"/>
  <c r="K22" i="5"/>
  <c r="K137" i="5"/>
  <c r="I108" i="5"/>
  <c r="K157" i="5"/>
  <c r="K23" i="5"/>
  <c r="K25" i="5"/>
  <c r="K114" i="5"/>
  <c r="I136" i="5"/>
  <c r="I123" i="5"/>
  <c r="I138" i="5"/>
  <c r="I22" i="5"/>
  <c r="K60" i="5"/>
  <c r="K149" i="5"/>
  <c r="K127" i="5"/>
  <c r="I157" i="5"/>
  <c r="I125" i="5"/>
  <c r="K92" i="5"/>
  <c r="I94" i="5"/>
  <c r="K44" i="5"/>
  <c r="I124" i="5"/>
  <c r="I69" i="5"/>
  <c r="I16" i="5"/>
  <c r="K64" i="5"/>
  <c r="K16" i="5"/>
  <c r="I19" i="5"/>
  <c r="K110" i="5"/>
  <c r="I113" i="5"/>
  <c r="K112" i="5"/>
  <c r="I85" i="5"/>
  <c r="K102" i="5"/>
  <c r="I72" i="5"/>
  <c r="K123" i="5"/>
  <c r="I143" i="5"/>
  <c r="K84" i="5"/>
  <c r="K130" i="5"/>
  <c r="K10" i="5"/>
  <c r="K14" i="5"/>
  <c r="I142" i="5"/>
  <c r="K156" i="5"/>
  <c r="K20" i="5"/>
  <c r="I18" i="5"/>
  <c r="K33" i="5"/>
  <c r="I130" i="5"/>
  <c r="I60" i="5"/>
  <c r="K17" i="5"/>
  <c r="I97" i="5"/>
  <c r="K67" i="5"/>
  <c r="I115" i="5"/>
  <c r="K154" i="5"/>
  <c r="K63" i="5"/>
  <c r="I105" i="5"/>
  <c r="K128" i="5"/>
  <c r="K37" i="5"/>
  <c r="I9" i="5"/>
  <c r="K79" i="5"/>
  <c r="I81" i="5"/>
  <c r="I99" i="5"/>
  <c r="I156" i="5"/>
  <c r="I28" i="5"/>
  <c r="I20" i="5"/>
  <c r="I121" i="5"/>
  <c r="K71" i="5"/>
  <c r="K50" i="5"/>
  <c r="I46" i="5"/>
  <c r="K75" i="5"/>
  <c r="I51" i="5"/>
  <c r="I129" i="5"/>
  <c r="I161" i="5"/>
  <c r="I117" i="5"/>
  <c r="I52" i="5"/>
  <c r="I80" i="5"/>
  <c r="I102" i="5"/>
  <c r="K53" i="5"/>
  <c r="K93" i="5"/>
  <c r="K34" i="5"/>
  <c r="K27" i="5"/>
  <c r="K111" i="5"/>
  <c r="I150" i="5"/>
  <c r="I103" i="5"/>
  <c r="I134" i="5"/>
  <c r="K51" i="5"/>
  <c r="I106" i="5"/>
  <c r="I127" i="5"/>
  <c r="K129" i="5"/>
  <c r="K48" i="5"/>
  <c r="K58" i="5"/>
  <c r="K99" i="5"/>
  <c r="H143" i="5"/>
  <c r="H70" i="5"/>
  <c r="H41" i="5"/>
  <c r="H118" i="5"/>
  <c r="H48" i="5"/>
  <c r="H128" i="5"/>
  <c r="H141" i="5"/>
  <c r="H136" i="5"/>
  <c r="H79" i="5"/>
  <c r="H145" i="5"/>
  <c r="H84" i="5"/>
  <c r="H108" i="5"/>
  <c r="H73" i="5"/>
  <c r="H76" i="5"/>
  <c r="H11" i="5"/>
  <c r="H151" i="5"/>
  <c r="H60" i="5"/>
  <c r="H133" i="5"/>
  <c r="H32" i="5"/>
  <c r="H23" i="5"/>
  <c r="H19" i="5"/>
  <c r="H120" i="5"/>
  <c r="H18" i="5"/>
  <c r="H82" i="5"/>
  <c r="H57" i="5"/>
  <c r="H99" i="5"/>
  <c r="H160" i="5"/>
  <c r="H63" i="5"/>
  <c r="H16" i="5"/>
  <c r="H137" i="5"/>
  <c r="H94" i="5"/>
  <c r="H65" i="5"/>
  <c r="H49" i="5"/>
  <c r="H86" i="5"/>
  <c r="H115" i="5"/>
  <c r="H104" i="5"/>
  <c r="H88" i="5"/>
  <c r="H85" i="5"/>
  <c r="H109" i="5"/>
  <c r="H138" i="5"/>
  <c r="H92" i="5"/>
  <c r="H135" i="5"/>
  <c r="H127" i="5"/>
  <c r="H121" i="5"/>
  <c r="H51" i="5"/>
  <c r="H98" i="5"/>
  <c r="H55" i="5"/>
  <c r="H35" i="5"/>
  <c r="H75" i="5"/>
  <c r="H43" i="5"/>
  <c r="H36" i="5"/>
  <c r="H157" i="5"/>
  <c r="H163" i="5"/>
  <c r="H80" i="5"/>
  <c r="H50" i="5"/>
  <c r="H28" i="5"/>
  <c r="H113" i="5"/>
  <c r="H154" i="5"/>
  <c r="H15" i="5"/>
  <c r="H54" i="5"/>
  <c r="H39" i="5"/>
  <c r="H53" i="5"/>
  <c r="H87" i="5"/>
  <c r="H24" i="5"/>
  <c r="H153" i="5"/>
  <c r="H10" i="5"/>
  <c r="H95" i="5"/>
  <c r="H25" i="5"/>
  <c r="H105" i="5"/>
  <c r="H101" i="5"/>
  <c r="H126" i="5"/>
  <c r="H83" i="5"/>
  <c r="H67" i="5"/>
  <c r="H100" i="5"/>
  <c r="H44" i="5"/>
  <c r="H139" i="5"/>
  <c r="H142" i="5"/>
  <c r="H125" i="5"/>
  <c r="H22" i="5"/>
  <c r="H29" i="5"/>
  <c r="H124" i="5"/>
  <c r="H156" i="5"/>
  <c r="H52" i="5"/>
  <c r="H90" i="5"/>
  <c r="H147" i="5"/>
  <c r="H33" i="5"/>
  <c r="H12" i="5"/>
  <c r="H78" i="5"/>
  <c r="H103" i="5"/>
  <c r="H6" i="5"/>
  <c r="H40" i="5"/>
  <c r="H148" i="5"/>
  <c r="H30" i="5"/>
  <c r="H71" i="5"/>
  <c r="H93" i="5"/>
  <c r="H17" i="5"/>
  <c r="H14" i="5"/>
  <c r="H77" i="5"/>
  <c r="H149" i="5"/>
  <c r="H31" i="5"/>
  <c r="H13" i="5"/>
  <c r="H45" i="5"/>
  <c r="H158" i="5"/>
  <c r="H110" i="5"/>
  <c r="H152" i="5"/>
  <c r="H155" i="5"/>
  <c r="H106" i="5"/>
  <c r="H66" i="5"/>
  <c r="H131" i="5"/>
  <c r="H119" i="5"/>
  <c r="H47" i="5"/>
  <c r="H161" i="5"/>
  <c r="H64" i="5"/>
  <c r="H114" i="5"/>
  <c r="H8" i="5"/>
  <c r="H122" i="5"/>
  <c r="H26" i="5"/>
  <c r="H117" i="5"/>
  <c r="H91" i="5"/>
  <c r="H89" i="5"/>
  <c r="H42" i="5"/>
  <c r="H130" i="5"/>
  <c r="H111" i="5"/>
  <c r="H58" i="5"/>
  <c r="H129" i="5"/>
  <c r="H123" i="5"/>
  <c r="H102" i="5"/>
  <c r="H7" i="5"/>
  <c r="J44" i="5"/>
  <c r="A44" i="5" s="1"/>
  <c r="J123" i="5"/>
  <c r="J103" i="5"/>
  <c r="A103" i="5" s="1"/>
  <c r="J112" i="5"/>
  <c r="J57" i="5"/>
  <c r="A57" i="5" s="1"/>
  <c r="J118" i="5"/>
  <c r="J40" i="5"/>
  <c r="A40" i="5" s="1"/>
  <c r="J63" i="5"/>
  <c r="J129" i="5"/>
  <c r="A129" i="5" s="1"/>
  <c r="J80" i="5"/>
  <c r="A80" i="5" s="1"/>
  <c r="I17" i="5"/>
  <c r="K124" i="5"/>
  <c r="I111" i="5"/>
  <c r="I83" i="5"/>
  <c r="K29" i="5"/>
  <c r="K140" i="5"/>
  <c r="I70" i="5"/>
  <c r="I27" i="5"/>
  <c r="K100" i="5"/>
  <c r="K148" i="5"/>
  <c r="I15" i="5"/>
  <c r="K108" i="5"/>
  <c r="K117" i="5"/>
  <c r="I91" i="5"/>
  <c r="I32" i="5"/>
  <c r="K31" i="5"/>
  <c r="K49" i="5"/>
  <c r="I112" i="5"/>
  <c r="K81" i="5"/>
  <c r="I76" i="5"/>
  <c r="I42" i="5"/>
  <c r="I89" i="5"/>
  <c r="K152" i="5"/>
  <c r="K131" i="5"/>
  <c r="K13" i="5"/>
  <c r="K151" i="5"/>
  <c r="I158" i="5"/>
  <c r="K150" i="5"/>
  <c r="K98" i="5"/>
  <c r="I137" i="5"/>
  <c r="K57" i="5"/>
  <c r="I140" i="5"/>
  <c r="K80" i="5"/>
  <c r="I131" i="5"/>
  <c r="I148" i="5"/>
  <c r="K69" i="5"/>
  <c r="I160" i="5"/>
  <c r="I96" i="5"/>
  <c r="K36" i="5"/>
  <c r="K125" i="5"/>
  <c r="I29" i="5"/>
  <c r="I53" i="5"/>
  <c r="I149" i="5"/>
  <c r="K26" i="5"/>
  <c r="K122" i="5"/>
  <c r="K28" i="5"/>
  <c r="I57" i="5"/>
  <c r="I48" i="5"/>
  <c r="K119" i="5"/>
  <c r="K19" i="5"/>
  <c r="K12" i="5"/>
  <c r="K86" i="5"/>
  <c r="I54" i="5"/>
  <c r="K6" i="5"/>
  <c r="K145" i="5"/>
  <c r="K35" i="5"/>
  <c r="K8" i="5"/>
  <c r="K40" i="5"/>
  <c r="I68" i="5"/>
  <c r="I84" i="5"/>
  <c r="K43" i="5"/>
  <c r="I23" i="5"/>
  <c r="K133" i="5"/>
  <c r="I10" i="5"/>
  <c r="K54" i="5"/>
  <c r="K126" i="5"/>
  <c r="K94" i="5"/>
  <c r="I164" i="5"/>
  <c r="K105" i="5"/>
  <c r="K89" i="5"/>
  <c r="K39" i="5"/>
  <c r="K163" i="5"/>
  <c r="K147" i="5"/>
  <c r="K153" i="5"/>
  <c r="I147" i="5"/>
  <c r="I159" i="5"/>
  <c r="K30" i="5"/>
  <c r="I14" i="5"/>
  <c r="I126" i="5"/>
  <c r="I40" i="5"/>
  <c r="I82" i="5"/>
  <c r="I47" i="5"/>
  <c r="K85" i="5"/>
  <c r="K21" i="5"/>
  <c r="K139" i="5"/>
  <c r="I67" i="5"/>
  <c r="I31" i="5"/>
  <c r="I62" i="5"/>
  <c r="K159" i="5"/>
  <c r="I116" i="5"/>
  <c r="K68" i="5"/>
  <c r="K74" i="5"/>
  <c r="K55" i="5"/>
  <c r="K11" i="5"/>
  <c r="I44" i="5"/>
  <c r="I45" i="5"/>
  <c r="I151" i="5"/>
  <c r="I118" i="5"/>
  <c r="I153" i="5"/>
  <c r="K15" i="5"/>
  <c r="I24" i="5"/>
  <c r="K18" i="5"/>
  <c r="I33" i="5"/>
  <c r="I128" i="5"/>
  <c r="I155" i="5"/>
  <c r="I49" i="5"/>
  <c r="K116" i="5"/>
  <c r="K132" i="5"/>
  <c r="K62" i="5"/>
  <c r="I43" i="5"/>
  <c r="I110" i="5"/>
  <c r="I61" i="5"/>
  <c r="K143" i="5"/>
  <c r="K70" i="5"/>
  <c r="K135" i="5"/>
  <c r="I145" i="5"/>
  <c r="K107" i="5"/>
  <c r="K161" i="5"/>
  <c r="I7" i="5"/>
  <c r="I162" i="5"/>
  <c r="I135" i="5"/>
  <c r="K120" i="5"/>
  <c r="I139" i="5"/>
  <c r="K24" i="5"/>
  <c r="I132" i="5"/>
  <c r="K73" i="5"/>
  <c r="K160" i="5"/>
  <c r="I93" i="5"/>
  <c r="K47" i="5"/>
  <c r="I79" i="5"/>
  <c r="I100" i="5"/>
  <c r="K7" i="5"/>
  <c r="I88" i="5"/>
  <c r="K90" i="5"/>
  <c r="I71" i="5"/>
  <c r="K65" i="5"/>
  <c r="I11" i="5"/>
  <c r="K52" i="5"/>
  <c r="I12" i="5"/>
  <c r="I25" i="5"/>
  <c r="I34" i="5"/>
  <c r="K118" i="5"/>
  <c r="I87" i="5"/>
  <c r="K9" i="5"/>
  <c r="K106" i="5"/>
  <c r="I38" i="5"/>
  <c r="K41" i="5"/>
  <c r="I104" i="5"/>
  <c r="I21" i="5"/>
  <c r="K66" i="5"/>
  <c r="K91" i="5"/>
  <c r="I141" i="5"/>
  <c r="I39" i="5"/>
  <c r="I26" i="5"/>
  <c r="I120" i="5"/>
  <c r="I119" i="5"/>
  <c r="K61" i="5"/>
  <c r="K78" i="5"/>
  <c r="I152" i="5"/>
  <c r="I56" i="5"/>
  <c r="H27" i="5"/>
  <c r="H9" i="5"/>
  <c r="H74" i="5"/>
  <c r="H140" i="5"/>
  <c r="J108" i="5"/>
  <c r="A108" i="5" s="1"/>
  <c r="J46" i="5"/>
  <c r="J81" i="5"/>
  <c r="J71" i="5"/>
  <c r="J61" i="5"/>
  <c r="J21" i="5"/>
  <c r="J60" i="5"/>
  <c r="A60" i="5" s="1"/>
  <c r="J111" i="5"/>
  <c r="A111" i="5" s="1"/>
  <c r="J140" i="5"/>
  <c r="A140" i="5" s="1"/>
  <c r="J130" i="5"/>
  <c r="A130" i="5" l="1"/>
  <c r="A21" i="5"/>
  <c r="A71" i="5"/>
  <c r="A46" i="5"/>
  <c r="A63" i="5"/>
  <c r="A118" i="5"/>
  <c r="A123" i="5"/>
  <c r="A147" i="5"/>
  <c r="A78" i="5"/>
  <c r="A110" i="5"/>
  <c r="A137" i="5"/>
  <c r="A10" i="5"/>
  <c r="A12" i="5"/>
  <c r="A34" i="5"/>
  <c r="A30" i="5"/>
  <c r="A121" i="5"/>
  <c r="A152" i="5"/>
  <c r="A85" i="5"/>
  <c r="A114" i="5"/>
  <c r="A27" i="5"/>
  <c r="A75" i="5"/>
  <c r="A163" i="5"/>
  <c r="A134" i="5"/>
  <c r="A14" i="5"/>
  <c r="A23" i="5"/>
  <c r="A99" i="5"/>
  <c r="A91" i="5"/>
  <c r="A155" i="5"/>
  <c r="A81" i="5"/>
  <c r="A96" i="5"/>
  <c r="A8" i="5"/>
  <c r="A59" i="5"/>
  <c r="A88" i="5"/>
  <c r="A42" i="5"/>
  <c r="A126" i="5"/>
  <c r="A145" i="5"/>
  <c r="A38" i="5"/>
  <c r="A160" i="5"/>
  <c r="A61" i="5"/>
  <c r="D74" i="5"/>
  <c r="B74" i="5"/>
  <c r="C74" i="5"/>
  <c r="C27" i="5"/>
  <c r="B27" i="5"/>
  <c r="D27" i="5"/>
  <c r="A112" i="5"/>
  <c r="B7" i="5"/>
  <c r="D7" i="5"/>
  <c r="C7" i="5"/>
  <c r="D123" i="5"/>
  <c r="C123" i="5"/>
  <c r="B123" i="5"/>
  <c r="D58" i="5"/>
  <c r="B58" i="5"/>
  <c r="C58" i="5"/>
  <c r="D130" i="5"/>
  <c r="B130" i="5"/>
  <c r="C130" i="5"/>
  <c r="C89" i="5"/>
  <c r="D89" i="5"/>
  <c r="B89" i="5"/>
  <c r="B117" i="5"/>
  <c r="D117" i="5"/>
  <c r="C117" i="5"/>
  <c r="D122" i="5"/>
  <c r="C122" i="5"/>
  <c r="B122" i="5"/>
  <c r="D114" i="5"/>
  <c r="B114" i="5"/>
  <c r="C114" i="5"/>
  <c r="C161" i="5"/>
  <c r="B161" i="5"/>
  <c r="D161" i="5"/>
  <c r="B119" i="5"/>
  <c r="C119" i="5"/>
  <c r="D119" i="5"/>
  <c r="C66" i="5"/>
  <c r="D66" i="5"/>
  <c r="B66" i="5"/>
  <c r="B155" i="5"/>
  <c r="C155" i="5"/>
  <c r="D155" i="5"/>
  <c r="B110" i="5"/>
  <c r="D110" i="5"/>
  <c r="C110" i="5"/>
  <c r="D45" i="5"/>
  <c r="C45" i="5"/>
  <c r="B45" i="5"/>
  <c r="B31" i="5"/>
  <c r="C31" i="5"/>
  <c r="D31" i="5"/>
  <c r="C77" i="5"/>
  <c r="B77" i="5"/>
  <c r="D77" i="5"/>
  <c r="D17" i="5"/>
  <c r="C17" i="5"/>
  <c r="B17" i="5"/>
  <c r="B71" i="5"/>
  <c r="D71" i="5"/>
  <c r="C71" i="5"/>
  <c r="B148" i="5"/>
  <c r="C148" i="5"/>
  <c r="D148" i="5"/>
  <c r="B6" i="5"/>
  <c r="C6" i="5"/>
  <c r="D6" i="5"/>
  <c r="B78" i="5"/>
  <c r="C78" i="5"/>
  <c r="D78" i="5"/>
  <c r="B33" i="5"/>
  <c r="C33" i="5"/>
  <c r="D33" i="5"/>
  <c r="C90" i="5"/>
  <c r="B90" i="5"/>
  <c r="D90" i="5"/>
  <c r="D156" i="5"/>
  <c r="B156" i="5"/>
  <c r="C156" i="5"/>
  <c r="C29" i="5"/>
  <c r="D29" i="5"/>
  <c r="B29" i="5"/>
  <c r="B125" i="5"/>
  <c r="C125" i="5"/>
  <c r="D125" i="5"/>
  <c r="D139" i="5"/>
  <c r="B139" i="5"/>
  <c r="C139" i="5"/>
  <c r="C100" i="5"/>
  <c r="B100" i="5"/>
  <c r="D100" i="5"/>
  <c r="C83" i="5"/>
  <c r="B83" i="5"/>
  <c r="D83" i="5"/>
  <c r="B101" i="5"/>
  <c r="D101" i="5"/>
  <c r="C101" i="5"/>
  <c r="D25" i="5"/>
  <c r="B25" i="5"/>
  <c r="C25" i="5"/>
  <c r="D10" i="5"/>
  <c r="C10" i="5"/>
  <c r="B10" i="5"/>
  <c r="D24" i="5"/>
  <c r="B24" i="5"/>
  <c r="C24" i="5"/>
  <c r="D53" i="5"/>
  <c r="C53" i="5"/>
  <c r="B53" i="5"/>
  <c r="B54" i="5"/>
  <c r="D54" i="5"/>
  <c r="C54" i="5"/>
  <c r="D154" i="5"/>
  <c r="C154" i="5"/>
  <c r="B154" i="5"/>
  <c r="C28" i="5"/>
  <c r="B28" i="5"/>
  <c r="D28" i="5"/>
  <c r="B80" i="5"/>
  <c r="C80" i="5"/>
  <c r="D80" i="5"/>
  <c r="D157" i="5"/>
  <c r="B157" i="5"/>
  <c r="C157" i="5"/>
  <c r="B43" i="5"/>
  <c r="C43" i="5"/>
  <c r="D43" i="5"/>
  <c r="D35" i="5"/>
  <c r="B35" i="5"/>
  <c r="C35" i="5"/>
  <c r="C98" i="5"/>
  <c r="D98" i="5"/>
  <c r="B98" i="5"/>
  <c r="B121" i="5"/>
  <c r="C121" i="5"/>
  <c r="D121" i="5"/>
  <c r="B135" i="5"/>
  <c r="D135" i="5"/>
  <c r="C135" i="5"/>
  <c r="D138" i="5"/>
  <c r="C138" i="5"/>
  <c r="B138" i="5"/>
  <c r="C85" i="5"/>
  <c r="B85" i="5"/>
  <c r="D85" i="5"/>
  <c r="B104" i="5"/>
  <c r="D104" i="5"/>
  <c r="C104" i="5"/>
  <c r="D86" i="5"/>
  <c r="C86" i="5"/>
  <c r="B86" i="5"/>
  <c r="D65" i="5"/>
  <c r="C65" i="5"/>
  <c r="B65" i="5"/>
  <c r="B137" i="5"/>
  <c r="D137" i="5"/>
  <c r="C137" i="5"/>
  <c r="C63" i="5"/>
  <c r="B63" i="5"/>
  <c r="D63" i="5"/>
  <c r="D99" i="5"/>
  <c r="B99" i="5"/>
  <c r="C99" i="5"/>
  <c r="C82" i="5"/>
  <c r="B82" i="5"/>
  <c r="D82" i="5"/>
  <c r="D120" i="5"/>
  <c r="C120" i="5"/>
  <c r="B120" i="5"/>
  <c r="D23" i="5"/>
  <c r="C23" i="5"/>
  <c r="B23" i="5"/>
  <c r="C133" i="5"/>
  <c r="D133" i="5"/>
  <c r="B133" i="5"/>
  <c r="B151" i="5"/>
  <c r="C151" i="5"/>
  <c r="D151" i="5"/>
  <c r="C76" i="5"/>
  <c r="B76" i="5"/>
  <c r="D76" i="5"/>
  <c r="C108" i="5"/>
  <c r="D108" i="5"/>
  <c r="B108" i="5"/>
  <c r="B145" i="5"/>
  <c r="C145" i="5"/>
  <c r="D145" i="5"/>
  <c r="C136" i="5"/>
  <c r="B136" i="5"/>
  <c r="D136" i="5"/>
  <c r="B128" i="5"/>
  <c r="C128" i="5"/>
  <c r="D128" i="5"/>
  <c r="D118" i="5"/>
  <c r="B118" i="5"/>
  <c r="C118" i="5"/>
  <c r="D70" i="5"/>
  <c r="B70" i="5"/>
  <c r="C70" i="5"/>
  <c r="C116" i="5"/>
  <c r="B116" i="5"/>
  <c r="D116" i="5"/>
  <c r="D96" i="5"/>
  <c r="B96" i="5"/>
  <c r="C96" i="5"/>
  <c r="B112" i="5"/>
  <c r="C112" i="5"/>
  <c r="D112" i="5"/>
  <c r="D97" i="5"/>
  <c r="C97" i="5"/>
  <c r="B97" i="5"/>
  <c r="C72" i="5"/>
  <c r="D72" i="5"/>
  <c r="B72" i="5"/>
  <c r="C150" i="5"/>
  <c r="B150" i="5"/>
  <c r="D150" i="5"/>
  <c r="C107" i="5"/>
  <c r="B107" i="5"/>
  <c r="D107" i="5"/>
  <c r="B34" i="5"/>
  <c r="D34" i="5"/>
  <c r="C34" i="5"/>
  <c r="C164" i="5"/>
  <c r="D164" i="5"/>
  <c r="B164" i="5"/>
  <c r="C162" i="5"/>
  <c r="B162" i="5"/>
  <c r="D162" i="5"/>
  <c r="D37" i="5"/>
  <c r="B37" i="5"/>
  <c r="C37" i="5"/>
  <c r="B132" i="5"/>
  <c r="D132" i="5"/>
  <c r="C132" i="5"/>
  <c r="C20" i="5"/>
  <c r="B20" i="5"/>
  <c r="D20" i="5"/>
  <c r="A47" i="5"/>
  <c r="A48" i="5"/>
  <c r="A79" i="5"/>
  <c r="A82" i="5"/>
  <c r="A53" i="5"/>
  <c r="A64" i="5"/>
  <c r="A138" i="5"/>
  <c r="A131" i="5"/>
  <c r="A65" i="5"/>
  <c r="A72" i="5"/>
  <c r="A139" i="5"/>
  <c r="A104" i="5"/>
  <c r="A51" i="5"/>
  <c r="A54" i="5"/>
  <c r="A141" i="5"/>
  <c r="A164" i="5"/>
  <c r="A49" i="5"/>
  <c r="A115" i="5"/>
  <c r="A156" i="5"/>
  <c r="A66" i="5"/>
  <c r="A124" i="5"/>
  <c r="A100" i="5"/>
  <c r="A15" i="5"/>
  <c r="A148" i="5"/>
  <c r="B146" i="5"/>
  <c r="D140" i="5"/>
  <c r="C140" i="5"/>
  <c r="B140" i="5"/>
  <c r="D9" i="5"/>
  <c r="C9" i="5"/>
  <c r="B9" i="5"/>
  <c r="C146" i="5"/>
  <c r="C102" i="5"/>
  <c r="B102" i="5"/>
  <c r="D102" i="5"/>
  <c r="B129" i="5"/>
  <c r="D129" i="5"/>
  <c r="C129" i="5"/>
  <c r="D111" i="5"/>
  <c r="C111" i="5"/>
  <c r="B111" i="5"/>
  <c r="C42" i="5"/>
  <c r="D42" i="5"/>
  <c r="B42" i="5"/>
  <c r="D91" i="5"/>
  <c r="C91" i="5"/>
  <c r="B91" i="5"/>
  <c r="B26" i="5"/>
  <c r="D26" i="5"/>
  <c r="C26" i="5"/>
  <c r="C8" i="5"/>
  <c r="D8" i="5"/>
  <c r="B8" i="5"/>
  <c r="B64" i="5"/>
  <c r="D64" i="5"/>
  <c r="C64" i="5"/>
  <c r="B47" i="5"/>
  <c r="D47" i="5"/>
  <c r="C47" i="5"/>
  <c r="C131" i="5"/>
  <c r="B131" i="5"/>
  <c r="D131" i="5"/>
  <c r="C106" i="5"/>
  <c r="B106" i="5"/>
  <c r="D106" i="5"/>
  <c r="C152" i="5"/>
  <c r="B152" i="5"/>
  <c r="D152" i="5"/>
  <c r="B158" i="5"/>
  <c r="C158" i="5"/>
  <c r="D158" i="5"/>
  <c r="C13" i="5"/>
  <c r="D13" i="5"/>
  <c r="B13" i="5"/>
  <c r="B149" i="5"/>
  <c r="C149" i="5"/>
  <c r="D149" i="5"/>
  <c r="C14" i="5"/>
  <c r="B14" i="5"/>
  <c r="D14" i="5"/>
  <c r="B93" i="5"/>
  <c r="D93" i="5"/>
  <c r="C93" i="5"/>
  <c r="B30" i="5"/>
  <c r="C30" i="5"/>
  <c r="D30" i="5"/>
  <c r="C40" i="5"/>
  <c r="B40" i="5"/>
  <c r="D40" i="5"/>
  <c r="D103" i="5"/>
  <c r="C103" i="5"/>
  <c r="B103" i="5"/>
  <c r="B12" i="5"/>
  <c r="D12" i="5"/>
  <c r="C12" i="5"/>
  <c r="D147" i="5"/>
  <c r="C147" i="5"/>
  <c r="B147" i="5"/>
  <c r="D52" i="5"/>
  <c r="B52" i="5"/>
  <c r="C52" i="5"/>
  <c r="C124" i="5"/>
  <c r="B124" i="5"/>
  <c r="D124" i="5"/>
  <c r="B22" i="5"/>
  <c r="D22" i="5"/>
  <c r="C22" i="5"/>
  <c r="B142" i="5"/>
  <c r="C142" i="5"/>
  <c r="D142" i="5"/>
  <c r="C44" i="5"/>
  <c r="D44" i="5"/>
  <c r="B44" i="5"/>
  <c r="C67" i="5"/>
  <c r="D67" i="5"/>
  <c r="B67" i="5"/>
  <c r="B126" i="5"/>
  <c r="D126" i="5"/>
  <c r="C126" i="5"/>
  <c r="D105" i="5"/>
  <c r="C105" i="5"/>
  <c r="B105" i="5"/>
  <c r="C95" i="5"/>
  <c r="D95" i="5"/>
  <c r="B95" i="5"/>
  <c r="C153" i="5"/>
  <c r="D153" i="5"/>
  <c r="B153" i="5"/>
  <c r="B87" i="5"/>
  <c r="D87" i="5"/>
  <c r="C87" i="5"/>
  <c r="C39" i="5"/>
  <c r="D39" i="5"/>
  <c r="B39" i="5"/>
  <c r="B15" i="5"/>
  <c r="C15" i="5"/>
  <c r="D15" i="5"/>
  <c r="C113" i="5"/>
  <c r="D113" i="5"/>
  <c r="B113" i="5"/>
  <c r="D50" i="5"/>
  <c r="C50" i="5"/>
  <c r="B50" i="5"/>
  <c r="B163" i="5"/>
  <c r="D163" i="5"/>
  <c r="C163" i="5"/>
  <c r="C36" i="5"/>
  <c r="B36" i="5"/>
  <c r="D36" i="5"/>
  <c r="D75" i="5"/>
  <c r="B75" i="5"/>
  <c r="C75" i="5"/>
  <c r="C55" i="5"/>
  <c r="B55" i="5"/>
  <c r="D55" i="5"/>
  <c r="B51" i="5"/>
  <c r="C51" i="5"/>
  <c r="D51" i="5"/>
  <c r="B127" i="5"/>
  <c r="D127" i="5"/>
  <c r="C127" i="5"/>
  <c r="D92" i="5"/>
  <c r="C92" i="5"/>
  <c r="B92" i="5"/>
  <c r="D109" i="5"/>
  <c r="C109" i="5"/>
  <c r="B109" i="5"/>
  <c r="B88" i="5"/>
  <c r="D88" i="5"/>
  <c r="C88" i="5"/>
  <c r="B115" i="5"/>
  <c r="D115" i="5"/>
  <c r="C115" i="5"/>
  <c r="C49" i="5"/>
  <c r="B49" i="5"/>
  <c r="D49" i="5"/>
  <c r="B94" i="5"/>
  <c r="C94" i="5"/>
  <c r="D94" i="5"/>
  <c r="C16" i="5"/>
  <c r="B16" i="5"/>
  <c r="D16" i="5"/>
  <c r="D160" i="5"/>
  <c r="B160" i="5"/>
  <c r="C160" i="5"/>
  <c r="C57" i="5"/>
  <c r="B57" i="5"/>
  <c r="D57" i="5"/>
  <c r="C18" i="5"/>
  <c r="B18" i="5"/>
  <c r="D18" i="5"/>
  <c r="D19" i="5"/>
  <c r="C19" i="5"/>
  <c r="B19" i="5"/>
  <c r="B32" i="5"/>
  <c r="D32" i="5"/>
  <c r="C32" i="5"/>
  <c r="C60" i="5"/>
  <c r="D60" i="5"/>
  <c r="B60" i="5"/>
  <c r="C11" i="5"/>
  <c r="D11" i="5"/>
  <c r="B11" i="5"/>
  <c r="B73" i="5"/>
  <c r="D73" i="5"/>
  <c r="C73" i="5"/>
  <c r="C84" i="5"/>
  <c r="D84" i="5"/>
  <c r="B84" i="5"/>
  <c r="B79" i="5"/>
  <c r="D79" i="5"/>
  <c r="C79" i="5"/>
  <c r="C141" i="5"/>
  <c r="D141" i="5"/>
  <c r="B141" i="5"/>
  <c r="C48" i="5"/>
  <c r="D48" i="5"/>
  <c r="B48" i="5"/>
  <c r="C41" i="5"/>
  <c r="B41" i="5"/>
  <c r="D41" i="5"/>
  <c r="C143" i="5"/>
  <c r="B143" i="5"/>
  <c r="D143" i="5"/>
  <c r="D81" i="5"/>
  <c r="C81" i="5"/>
  <c r="B81" i="5"/>
  <c r="B134" i="5"/>
  <c r="D134" i="5"/>
  <c r="C134" i="5"/>
  <c r="B38" i="5"/>
  <c r="D38" i="5"/>
  <c r="C38" i="5"/>
  <c r="C68" i="5"/>
  <c r="B68" i="5"/>
  <c r="D68" i="5"/>
  <c r="D61" i="5"/>
  <c r="C61" i="5"/>
  <c r="B61" i="5"/>
  <c r="C69" i="5"/>
  <c r="D69" i="5"/>
  <c r="B69" i="5"/>
  <c r="C59" i="5"/>
  <c r="D59" i="5"/>
  <c r="B59" i="5"/>
  <c r="B46" i="5"/>
  <c r="D46" i="5"/>
  <c r="C46" i="5"/>
  <c r="C144" i="5"/>
  <c r="D144" i="5"/>
  <c r="B144" i="5"/>
  <c r="B56" i="5"/>
  <c r="C56" i="5"/>
  <c r="D56" i="5"/>
  <c r="D62" i="5"/>
  <c r="B62" i="5"/>
  <c r="C62" i="5"/>
  <c r="D159" i="5"/>
  <c r="C159" i="5"/>
  <c r="B159" i="5"/>
  <c r="B21" i="5"/>
  <c r="D21" i="5"/>
  <c r="C21" i="5"/>
  <c r="A41" i="5"/>
  <c r="A132" i="5"/>
  <c r="A11" i="5"/>
  <c r="A7" i="5"/>
  <c r="A93" i="5"/>
  <c r="A28" i="5"/>
  <c r="A16" i="5"/>
  <c r="A58" i="5"/>
  <c r="A158" i="5"/>
  <c r="A146" i="5"/>
  <c r="A83" i="5"/>
  <c r="A161" i="5"/>
  <c r="A56" i="5"/>
  <c r="A25" i="5"/>
  <c r="A97" i="5"/>
  <c r="A43" i="5"/>
  <c r="A31" i="5"/>
  <c r="A122" i="5"/>
  <c r="A116" i="5"/>
  <c r="A159" i="5"/>
  <c r="A17" i="5"/>
  <c r="A26" i="5"/>
  <c r="A35" i="5"/>
  <c r="A125" i="5"/>
  <c r="A22" i="5"/>
  <c r="A98" i="5"/>
  <c r="A84" i="5"/>
  <c r="A36" i="5"/>
  <c r="A101" i="5"/>
  <c r="A113" i="5"/>
  <c r="A94" i="5"/>
  <c r="A62" i="5"/>
  <c r="A29" i="5"/>
  <c r="A73" i="5"/>
  <c r="A133" i="5"/>
  <c r="A127" i="5"/>
  <c r="A86" i="5"/>
  <c r="A117" i="5"/>
  <c r="A144" i="5"/>
  <c r="A154" i="5"/>
  <c r="A162" i="5"/>
  <c r="A150" i="5"/>
  <c r="A9" i="5"/>
  <c r="A89" i="5"/>
  <c r="A77" i="5"/>
  <c r="A32" i="5"/>
  <c r="A135" i="5"/>
  <c r="A37" i="5"/>
  <c r="A119" i="5"/>
  <c r="A109" i="5"/>
  <c r="A107" i="5"/>
  <c r="A13" i="5"/>
  <c r="A18" i="5"/>
  <c r="A102" i="5"/>
  <c r="A69" i="5"/>
  <c r="A19" i="5"/>
  <c r="A45" i="5"/>
  <c r="A105" i="5"/>
  <c r="D146" i="5"/>
</calcChain>
</file>

<file path=xl/sharedStrings.xml><?xml version="1.0" encoding="utf-8"?>
<sst xmlns="http://schemas.openxmlformats.org/spreadsheetml/2006/main" count="7173" uniqueCount="1467">
  <si>
    <t>Product Name</t>
  </si>
  <si>
    <t>Avail</t>
  </si>
  <si>
    <t>1St</t>
  </si>
  <si>
    <t>2St</t>
  </si>
  <si>
    <t>Flow</t>
  </si>
  <si>
    <t>Category</t>
  </si>
  <si>
    <t>Code</t>
  </si>
  <si>
    <t>Rating</t>
  </si>
  <si>
    <t>Assorted Marginals</t>
  </si>
  <si>
    <t>1L Marginal</t>
  </si>
  <si>
    <t>Assorted Pondside</t>
  </si>
  <si>
    <t>Acorus calamus</t>
  </si>
  <si>
    <t>Alisma lanceolata</t>
  </si>
  <si>
    <t>Alisma plantago</t>
  </si>
  <si>
    <t>Butomus umbellatus</t>
  </si>
  <si>
    <t>Caltha palustris</t>
  </si>
  <si>
    <t>Carex Panicea</t>
  </si>
  <si>
    <t>Equisetum japonicum</t>
  </si>
  <si>
    <t>Equisetum scirpoides</t>
  </si>
  <si>
    <t>Glyceria Variegata</t>
  </si>
  <si>
    <t>Iris ensata</t>
  </si>
  <si>
    <t>Iris louisiana</t>
  </si>
  <si>
    <t>Iris louisiana 'Black Gamecock'</t>
  </si>
  <si>
    <t>Iris pseudacorus</t>
  </si>
  <si>
    <t>Iris versicolor</t>
  </si>
  <si>
    <t xml:space="preserve">Juncus effusus </t>
  </si>
  <si>
    <t>Juncus Inflexus</t>
  </si>
  <si>
    <t>Lobelia Queen Victoria</t>
  </si>
  <si>
    <t>Lychnis flos cuculi 'Alba'</t>
  </si>
  <si>
    <t>Lythrum salicaria</t>
  </si>
  <si>
    <t>Mentha aquatica</t>
  </si>
  <si>
    <t>Mentha pulegium</t>
  </si>
  <si>
    <t>Menyanthes trifoliata</t>
  </si>
  <si>
    <t xml:space="preserve">Phalaris arundinacea 'Picta'   </t>
  </si>
  <si>
    <t>Pontederia cordata</t>
  </si>
  <si>
    <t>Sagittaria latifolia</t>
  </si>
  <si>
    <t>Typha angustifolia</t>
  </si>
  <si>
    <t>Typha latifolia</t>
  </si>
  <si>
    <t>Typha minima</t>
  </si>
  <si>
    <t>Zantedeschia 'Crowborough'</t>
  </si>
  <si>
    <t>Common</t>
  </si>
  <si>
    <t>Zone</t>
  </si>
  <si>
    <t>Native</t>
  </si>
  <si>
    <t>Description2</t>
  </si>
  <si>
    <t>our best selection</t>
  </si>
  <si>
    <t>1,2,3</t>
  </si>
  <si>
    <t>our choice, best plants available on the nursery</t>
  </si>
  <si>
    <t>take the worry out of ordering, best plants available</t>
  </si>
  <si>
    <t>sweet scented rush</t>
  </si>
  <si>
    <t>2,3</t>
  </si>
  <si>
    <t>Yes</t>
  </si>
  <si>
    <t>fragrant, green iris-like foliage</t>
  </si>
  <si>
    <t>slender plantain</t>
  </si>
  <si>
    <t>long green leaves topped by graceful white flowers.</t>
  </si>
  <si>
    <t>water plantain</t>
  </si>
  <si>
    <t>1,2</t>
  </si>
  <si>
    <t>small dainty white flowers over ovate foliage</t>
  </si>
  <si>
    <t>flowering rush</t>
  </si>
  <si>
    <t>dainty pink flowers over rush-like foliage</t>
  </si>
  <si>
    <t>marsh marigold</t>
  </si>
  <si>
    <t>native marigold a must have for any pond</t>
  </si>
  <si>
    <t>carnation grass</t>
  </si>
  <si>
    <t>native sedge, bluish slender leaves, compact</t>
  </si>
  <si>
    <t>barred horsetail</t>
  </si>
  <si>
    <t>striking must-have for all ponds, evergreen</t>
  </si>
  <si>
    <t>dwarf scouring rush</t>
  </si>
  <si>
    <t>minature, thin green stems, barred with black rings</t>
  </si>
  <si>
    <t>green &amp; white sweet grass</t>
  </si>
  <si>
    <t>attractive creamy variegated foliage</t>
  </si>
  <si>
    <t xml:space="preserve"> Japanese flag</t>
  </si>
  <si>
    <t>one of the largest flowers of all aquatic irises, stunning</t>
  </si>
  <si>
    <t>american water iris</t>
  </si>
  <si>
    <t>wonderful, evergreen water iris originating from USA</t>
  </si>
  <si>
    <t>louisiana water iris</t>
  </si>
  <si>
    <t>striking dark-purple velvety flowers</t>
  </si>
  <si>
    <t>yellow iris</t>
  </si>
  <si>
    <t>the only native aquatic iris, hardy and tough</t>
  </si>
  <si>
    <t xml:space="preserve">wonderful blue flowers over sword-like foliage, </t>
  </si>
  <si>
    <t>soft rush</t>
  </si>
  <si>
    <t xml:space="preserve">erect, dark green stems with brown seed heads </t>
  </si>
  <si>
    <t>hard rush</t>
  </si>
  <si>
    <t>glaucous blue, needle like foliage, to 50cm</t>
  </si>
  <si>
    <t>red cardinal</t>
  </si>
  <si>
    <t>scarlet red flowers over stunning crimson foliage</t>
  </si>
  <si>
    <t>ragged robin</t>
  </si>
  <si>
    <t>white flowers over scruffy green leaves</t>
  </si>
  <si>
    <t>purple loosestrife</t>
  </si>
  <si>
    <t>beautiful tall pink flowers throughout the season</t>
  </si>
  <si>
    <t>water mint</t>
  </si>
  <si>
    <t>a must have herb for every pondkeeper</t>
  </si>
  <si>
    <t>penny royal</t>
  </si>
  <si>
    <t>a creeping mint, compact and aromatic</t>
  </si>
  <si>
    <t>bog bean</t>
  </si>
  <si>
    <t>starry white flowers and unusual tri-lobed leaves</t>
  </si>
  <si>
    <t>gardener's garters</t>
  </si>
  <si>
    <t>offering bold stripes of white, pale and dark green</t>
  </si>
  <si>
    <t>pickeral weed</t>
  </si>
  <si>
    <t>american native with handsome blue flowers</t>
  </si>
  <si>
    <t>orchid primula</t>
  </si>
  <si>
    <t>high impact purple flowers with red tips, unusual</t>
  </si>
  <si>
    <t>arrowhead</t>
  </si>
  <si>
    <t>emergant plant with broadleaf arrowhead leaves</t>
  </si>
  <si>
    <t>lesser reedmace</t>
  </si>
  <si>
    <t>often wrongly named lesser bulrush</t>
  </si>
  <si>
    <t xml:space="preserve"> reedmace</t>
  </si>
  <si>
    <t>incorrectly named bullrush, large specimen</t>
  </si>
  <si>
    <t>dwarf reedmace</t>
  </si>
  <si>
    <t>the most delicate of the reedmace, ideal for features</t>
  </si>
  <si>
    <t>arum lily</t>
  </si>
  <si>
    <t>discovered growing in a garden in England</t>
  </si>
  <si>
    <t>1L Marginals</t>
  </si>
  <si>
    <t>5L Marginals</t>
  </si>
  <si>
    <t>1L Waterlilies</t>
  </si>
  <si>
    <t>In Stock</t>
  </si>
  <si>
    <t>Priority</t>
  </si>
  <si>
    <t>Order</t>
  </si>
  <si>
    <t>Assorted Oxygenators</t>
  </si>
  <si>
    <t>1L Oxy</t>
  </si>
  <si>
    <t>Eleocharis Acicularis</t>
  </si>
  <si>
    <t>hairgrass</t>
  </si>
  <si>
    <t>tiny grass, ideal oxy. For the margins</t>
  </si>
  <si>
    <t>Hippuris vulgaris</t>
  </si>
  <si>
    <t>marestail</t>
  </si>
  <si>
    <t>a real tough plant, now a 1st choice oxy</t>
  </si>
  <si>
    <t>Hottonia palustris</t>
  </si>
  <si>
    <t>water violet</t>
  </si>
  <si>
    <t>soft lilac-pink flowers throughout summer</t>
  </si>
  <si>
    <t>Hydrocotyle var.</t>
  </si>
  <si>
    <t>variegated pennywort</t>
  </si>
  <si>
    <t>dainty green foliage with cream edges</t>
  </si>
  <si>
    <t xml:space="preserve">Myriophyllum brasiliensis     </t>
  </si>
  <si>
    <t>red stemmed p. feather</t>
  </si>
  <si>
    <t>attractive red stems, green foliage</t>
  </si>
  <si>
    <t>Myriophyllum crispatum</t>
  </si>
  <si>
    <t>spiked milfoil</t>
  </si>
  <si>
    <t>olive green, feather-like foliage</t>
  </si>
  <si>
    <t>Scirpus Cernuus</t>
  </si>
  <si>
    <t>cotton bud grass</t>
  </si>
  <si>
    <t>grass, with tiny flowers, almost fibre optic</t>
  </si>
  <si>
    <t>Scirpus Isolepis</t>
  </si>
  <si>
    <t>bristle club rush</t>
  </si>
  <si>
    <t>compact grass suitable for the margins</t>
  </si>
  <si>
    <t>2L Oxy</t>
  </si>
  <si>
    <t>2L Marginal</t>
  </si>
  <si>
    <t xml:space="preserve">Acorus calamus  </t>
  </si>
  <si>
    <t>sweet rush</t>
  </si>
  <si>
    <t>Acorus gramineus Ogon</t>
  </si>
  <si>
    <t>golden gramineus</t>
  </si>
  <si>
    <t>wonderful golden/green variegated foliage</t>
  </si>
  <si>
    <t>Acorus gramineus 'Variegatus'</t>
  </si>
  <si>
    <t>dwarf rush</t>
  </si>
  <si>
    <t>evergreen green/cream variegated foliage</t>
  </si>
  <si>
    <t>Caltha palustris Alba</t>
  </si>
  <si>
    <t>himalayan marigold</t>
  </si>
  <si>
    <t>white flowering form of our native marsh marigold</t>
  </si>
  <si>
    <t>Carex Bowles Golden</t>
  </si>
  <si>
    <t>bowles sedge</t>
  </si>
  <si>
    <t>wonderful, vivid golden foliage, with dark flower heads</t>
  </si>
  <si>
    <t>Cyperus alternifolius</t>
  </si>
  <si>
    <t>umbrella sedge</t>
  </si>
  <si>
    <t>wonderful, architectural umbrella-like bracts</t>
  </si>
  <si>
    <t>Gunnera manicata</t>
  </si>
  <si>
    <t>giant rhubarb</t>
  </si>
  <si>
    <t>biggest and most spectacular of all herbaceous plants</t>
  </si>
  <si>
    <t>Houttuynia cordata Flame</t>
  </si>
  <si>
    <t>orange peel</t>
  </si>
  <si>
    <t>much lighter in colour than variegata</t>
  </si>
  <si>
    <t>Houttuynia cordata variegata</t>
  </si>
  <si>
    <t>scented, multi coloured foliage, smelling of orange peel</t>
  </si>
  <si>
    <t>Iris louisiana Mixed</t>
  </si>
  <si>
    <t>red &amp; yellow louisiana water iris</t>
  </si>
  <si>
    <t>best selection of these wonderful irises</t>
  </si>
  <si>
    <t>Iris pseudacorus 'Variegatus'</t>
  </si>
  <si>
    <t>variegated flag</t>
  </si>
  <si>
    <t>attractive yellow  and green variegated foliage</t>
  </si>
  <si>
    <t>Iris sibirica 'Silver Edge'</t>
  </si>
  <si>
    <t>Siberian iris</t>
  </si>
  <si>
    <t>stunning, rich blue flowers edged in silver</t>
  </si>
  <si>
    <t>Iris vericolor 'Dark Aura'</t>
  </si>
  <si>
    <t>slender green foliage, tinged red in the spring</t>
  </si>
  <si>
    <t>Iris versicolor 'Pacifica'</t>
  </si>
  <si>
    <t>deep purple flowers with yellow streaks</t>
  </si>
  <si>
    <t>Lysichiton camtschatcensis</t>
  </si>
  <si>
    <t>white skunk cabbage</t>
  </si>
  <si>
    <t>large white spathe over fragrant green foliage</t>
  </si>
  <si>
    <t>Pontederia cordata 'Alba'</t>
  </si>
  <si>
    <t>handsome white flowering form of pickeral weed</t>
  </si>
  <si>
    <t>Sagittaria sagittifolia</t>
  </si>
  <si>
    <t>white flowers contrasting with green arrowhead foliage</t>
  </si>
  <si>
    <t>Schizostylis Alba</t>
  </si>
  <si>
    <t>white flag</t>
  </si>
  <si>
    <t>pretty white flowers in the late summer</t>
  </si>
  <si>
    <t>Scirpus albescens</t>
  </si>
  <si>
    <t>striped rush</t>
  </si>
  <si>
    <t>contrasting longitudinal stripes of green and cream</t>
  </si>
  <si>
    <t>Scirpus lacustris</t>
  </si>
  <si>
    <t>bulrush</t>
  </si>
  <si>
    <t>a great native, suitable for larger ponds</t>
  </si>
  <si>
    <t>Scirpus Zebrinus</t>
  </si>
  <si>
    <t>zebra rush</t>
  </si>
  <si>
    <t>striking green and creamy-white horizontally banded stems</t>
  </si>
  <si>
    <t xml:space="preserve">Thalia dealbata </t>
  </si>
  <si>
    <t>alligator flag</t>
  </si>
  <si>
    <t xml:space="preserve">native to swamps and ponds in southern USA </t>
  </si>
  <si>
    <t>White Waterlily</t>
  </si>
  <si>
    <t>Pink Waterlily</t>
  </si>
  <si>
    <t>Red Waterlily</t>
  </si>
  <si>
    <t>Yellow Waterlily</t>
  </si>
  <si>
    <t>1L Oxygenators</t>
  </si>
  <si>
    <t>2L Oxygenators</t>
  </si>
  <si>
    <t>Pots</t>
  </si>
  <si>
    <t>2L Gardeners Choice</t>
  </si>
  <si>
    <t>Beaver Plants Order</t>
  </si>
  <si>
    <t>Quantity</t>
  </si>
  <si>
    <t>Date:</t>
  </si>
  <si>
    <t>x10</t>
  </si>
  <si>
    <t>Acorus calamus 'Variegatus'</t>
  </si>
  <si>
    <t>fragrant, creamy-white variegated foliage</t>
  </si>
  <si>
    <t>Acorus gramineus 'Ogon'</t>
  </si>
  <si>
    <t>Anemopsis Californicum</t>
  </si>
  <si>
    <t>apache beads</t>
  </si>
  <si>
    <t>name derived from seeds used in necklaces</t>
  </si>
  <si>
    <t>Apium nodiflorum</t>
  </si>
  <si>
    <t>fools watercress</t>
  </si>
  <si>
    <t>mat forming native with green foliage</t>
  </si>
  <si>
    <t>Arundo donax variegata</t>
  </si>
  <si>
    <t>giant variegated reed</t>
  </si>
  <si>
    <t>large, arching, green/white striped foliage</t>
  </si>
  <si>
    <t>Arum italicum</t>
  </si>
  <si>
    <t>moisture loving, berries appear after flower</t>
  </si>
  <si>
    <t>Calla palustris</t>
  </si>
  <si>
    <t>bog arum</t>
  </si>
  <si>
    <t>white arum-like flowers followed by bright red berries</t>
  </si>
  <si>
    <t>Caltha palustris 'Flore Pleno'</t>
  </si>
  <si>
    <t>double marsh marigold</t>
  </si>
  <si>
    <t>beautiful double yellow flowered marigold</t>
  </si>
  <si>
    <t>Caltha polypetala</t>
  </si>
  <si>
    <t>giant kingcup</t>
  </si>
  <si>
    <t>the largest of the marigolds, a real specimen</t>
  </si>
  <si>
    <t>Cardamine pratensis</t>
  </si>
  <si>
    <t>lady's smock</t>
  </si>
  <si>
    <t>bloom colour varies, from pale lavender, white and mauve</t>
  </si>
  <si>
    <t xml:space="preserve">Carex pendula </t>
  </si>
  <si>
    <t>pendulous sedge</t>
  </si>
  <si>
    <t>native sedge, drooping catkin-like flowers</t>
  </si>
  <si>
    <t>Cotula coronopifolia</t>
  </si>
  <si>
    <t>golden buttons</t>
  </si>
  <si>
    <t xml:space="preserve">an introduced aromatic, with golden yellow flowers </t>
  </si>
  <si>
    <t>Cyperus glaber</t>
  </si>
  <si>
    <t>flat sedge</t>
  </si>
  <si>
    <t>hardy member of the sedge family, similar to alternifolius</t>
  </si>
  <si>
    <t>Cyperus longus</t>
  </si>
  <si>
    <t>attracive, tall, arching, green foliage, brown spikelets</t>
  </si>
  <si>
    <t>Cyperus papyrus</t>
  </si>
  <si>
    <t>paper reed</t>
  </si>
  <si>
    <t>unusual mopheads atop slender green foliage</t>
  </si>
  <si>
    <t>Equisetum Robustum</t>
  </si>
  <si>
    <t>scouring rush</t>
  </si>
  <si>
    <t>prehistoric, larger member of the horsetails</t>
  </si>
  <si>
    <t>Eriophorum angustifolium</t>
  </si>
  <si>
    <t>fluffy heads of white cotton-like flowers</t>
  </si>
  <si>
    <t>Filipendula ulmaria</t>
  </si>
  <si>
    <t>meadowsweet</t>
  </si>
  <si>
    <t>creamy white flowers over green arching stems</t>
  </si>
  <si>
    <t>Fritilaria meleagris</t>
  </si>
  <si>
    <t>captivating bell shaped, pendulous flowers</t>
  </si>
  <si>
    <t>Geum rivale</t>
  </si>
  <si>
    <t>water avens</t>
  </si>
  <si>
    <t>native perennial, dusky pink, drooping flowers</t>
  </si>
  <si>
    <t>Gratiola officinalis</t>
  </si>
  <si>
    <t>summer snowflake</t>
  </si>
  <si>
    <t>dainty white flowers over bright green foliage</t>
  </si>
  <si>
    <t>Houttuynia cordata</t>
  </si>
  <si>
    <t>wonderful aromatic foliage, used in chinese medecine</t>
  </si>
  <si>
    <t>Houttuynia cordata Bobo</t>
  </si>
  <si>
    <t>multi-coloured variegated foliage of green,red and cream</t>
  </si>
  <si>
    <t>Hypericum elodes</t>
  </si>
  <si>
    <t>mat-forming native with yellow flowers</t>
  </si>
  <si>
    <t>Iris setosa</t>
  </si>
  <si>
    <t>bluish-purple blooms over compact green leaves</t>
  </si>
  <si>
    <t>Iris sibirica</t>
  </si>
  <si>
    <t>Siberian iris, showy flowers on slender stems</t>
  </si>
  <si>
    <t>Iris sibirica 'Ceaser's Brother'</t>
  </si>
  <si>
    <t>intense violet flowers with speckled markings on the throat</t>
  </si>
  <si>
    <t>Iris sibirica 'Dawn Waltz'</t>
  </si>
  <si>
    <t xml:space="preserve">flowing, ruffled soft lavender blossoms, pale yellow throats </t>
  </si>
  <si>
    <t>Iris sibirica 'Snow Queen'</t>
  </si>
  <si>
    <t>beautiful white flowers with yellow throats</t>
  </si>
  <si>
    <t>Iris versicolor 'Kermisina'</t>
  </si>
  <si>
    <t>beautiful claret flowers over green strap-like foliage</t>
  </si>
  <si>
    <t>Juncus effusus Spiralis</t>
  </si>
  <si>
    <t>corkscrew rush</t>
  </si>
  <si>
    <t>unusual corkscrew like foliage, evergreen</t>
  </si>
  <si>
    <t xml:space="preserve">Juncus ensifolius  </t>
  </si>
  <si>
    <t>flying hedgehogs</t>
  </si>
  <si>
    <t>attractive and unusual dark brown seed heads</t>
  </si>
  <si>
    <t>Lobelia deep pink</t>
  </si>
  <si>
    <t>pink cardinal</t>
  </si>
  <si>
    <t>contrasting pink flower spikes over green foliage</t>
  </si>
  <si>
    <t>Lobelia syphilitica</t>
  </si>
  <si>
    <t>blue cardinal</t>
  </si>
  <si>
    <t>Lobelia vedrariensis</t>
  </si>
  <si>
    <t>offering long spires of royal purple flowers</t>
  </si>
  <si>
    <t>Lychnis flos cuculi</t>
  </si>
  <si>
    <t>star-shaped deep rose-pink flowers</t>
  </si>
  <si>
    <t>Lysimachia nummularia</t>
  </si>
  <si>
    <t>creeping jenny</t>
  </si>
  <si>
    <t>perfect for the pondside or margin</t>
  </si>
  <si>
    <t>Lysimachia nummularia 'aurea'</t>
  </si>
  <si>
    <t>golden jenny</t>
  </si>
  <si>
    <t>low rafting mat of golden foliage with yellow flowers</t>
  </si>
  <si>
    <t>Mazus reptans</t>
  </si>
  <si>
    <t>chinese marsh flower</t>
  </si>
  <si>
    <t>native to Asia, abundance of blue flowers</t>
  </si>
  <si>
    <t>Mimulus luteus</t>
  </si>
  <si>
    <t>blotched monkey flower</t>
  </si>
  <si>
    <t>abundance of yellow and red blotched flowers</t>
  </si>
  <si>
    <t>Mimulus Queen's Prize</t>
  </si>
  <si>
    <t>blood-red blotches on yellow petals</t>
  </si>
  <si>
    <t>Mimulus ringens</t>
  </si>
  <si>
    <t>monkey flower</t>
  </si>
  <si>
    <t>name stems from flowers likeness to a monkey's face</t>
  </si>
  <si>
    <t>Myosotis palustris</t>
  </si>
  <si>
    <t>water forget-me-not</t>
  </si>
  <si>
    <t>must have for every pond, small blue flowers</t>
  </si>
  <si>
    <t>Myosotis palustris 'Alba'</t>
  </si>
  <si>
    <t>white water forget-me-not</t>
  </si>
  <si>
    <t>white flowers over green foliage</t>
  </si>
  <si>
    <t>Myosotis palustris Pink</t>
  </si>
  <si>
    <t>pink water forget-me-not</t>
  </si>
  <si>
    <t>Nasturtium Aquaticum</t>
  </si>
  <si>
    <t>watercress</t>
  </si>
  <si>
    <t>the natural way to keep green algae at bay</t>
  </si>
  <si>
    <t>white flowers over carrot top looking leaves</t>
  </si>
  <si>
    <t>Oenanthe 'Flamingo'</t>
  </si>
  <si>
    <t>variegated water dropwort</t>
  </si>
  <si>
    <t>wonderful tricolour, pink, green and white foliage</t>
  </si>
  <si>
    <t>Preslia cervina</t>
  </si>
  <si>
    <t>water spearmint</t>
  </si>
  <si>
    <t>attractive lilac flowers and strongly scented foliage</t>
  </si>
  <si>
    <t>Preslia cervina alba</t>
  </si>
  <si>
    <t>Primula Beesiana</t>
  </si>
  <si>
    <t>candelabra primula</t>
  </si>
  <si>
    <t>smaller growing Chinese variety</t>
  </si>
  <si>
    <t>Primula bulleyana</t>
  </si>
  <si>
    <t>candelabra</t>
  </si>
  <si>
    <t>candelabra primula with orange-yellow flowers</t>
  </si>
  <si>
    <t>Primula denticulata</t>
  </si>
  <si>
    <t>himalayan primula</t>
  </si>
  <si>
    <t>impressive rounded heads of flowers</t>
  </si>
  <si>
    <t>Primula denticulata 'Alba'</t>
  </si>
  <si>
    <t>distinctive large spherical white flower heads</t>
  </si>
  <si>
    <t>Primula denticulata 'Rubin'</t>
  </si>
  <si>
    <t>Asian native, stunning cylindrical flowers</t>
  </si>
  <si>
    <t>Primula florindae</t>
  </si>
  <si>
    <t>himalayan cowslip</t>
  </si>
  <si>
    <t>heavily scented Tibetan native primula</t>
  </si>
  <si>
    <t>Primula 'Miller's Crimson'</t>
  </si>
  <si>
    <t>drumstick primula</t>
  </si>
  <si>
    <t>classic, elegant red, candleabra primula</t>
  </si>
  <si>
    <t>Primula rosea</t>
  </si>
  <si>
    <t>meadow primrose</t>
  </si>
  <si>
    <t>pretty primrose with rose red blooms</t>
  </si>
  <si>
    <t>Primula veris</t>
  </si>
  <si>
    <t>cowslip</t>
  </si>
  <si>
    <t>dainty lemon-yellow flowers over crinkly, green leaves</t>
  </si>
  <si>
    <t>Primula vulgaris</t>
  </si>
  <si>
    <t>primrose</t>
  </si>
  <si>
    <t>native primrose, hails the start of spring</t>
  </si>
  <si>
    <t>Ranunculus flammula</t>
  </si>
  <si>
    <t>lesser spearwort</t>
  </si>
  <si>
    <t>wonderful little yellow buttercup flowers</t>
  </si>
  <si>
    <t>Ranunculus lingua grandiflora</t>
  </si>
  <si>
    <t>greater spearwort</t>
  </si>
  <si>
    <t>largest of the buttercup family</t>
  </si>
  <si>
    <t>Saururus cernuus</t>
  </si>
  <si>
    <t>lizard's tail</t>
  </si>
  <si>
    <t>unusual flower resembling a lizard's tail</t>
  </si>
  <si>
    <t xml:space="preserve">Schizostylis Pink      </t>
  </si>
  <si>
    <t>pink flag</t>
  </si>
  <si>
    <t>subtle pink flowers over iris-like foliage</t>
  </si>
  <si>
    <t>Schizostylis Red</t>
  </si>
  <si>
    <t>red flag</t>
  </si>
  <si>
    <t>deep red flowers throughout autumn</t>
  </si>
  <si>
    <t>Scrophularia Aquatica</t>
  </si>
  <si>
    <t>water figwort</t>
  </si>
  <si>
    <t>summer maroon blooms over nettle-like foliage</t>
  </si>
  <si>
    <t>Sisyrinchium Californicum</t>
  </si>
  <si>
    <t>tiny iris-like foliage with an abundance of yellow flowers</t>
  </si>
  <si>
    <t>Sparganum erectum</t>
  </si>
  <si>
    <t>scented white flowers turn to spiky seed heads</t>
  </si>
  <si>
    <t>Tulbaghia Violacea</t>
  </si>
  <si>
    <t>society garlic</t>
  </si>
  <si>
    <t>offering large umbels of fragrant lilac flowers</t>
  </si>
  <si>
    <t>Typha laxmanii</t>
  </si>
  <si>
    <t>slender reedmace</t>
  </si>
  <si>
    <t>probably the most elegant of the reedmace family</t>
  </si>
  <si>
    <t>Veronica beccabunga</t>
  </si>
  <si>
    <t>brooklime</t>
  </si>
  <si>
    <t>a real functional native, great for all ponds</t>
  </si>
  <si>
    <t>Zantedeschia aethiopica</t>
  </si>
  <si>
    <t>wonderull funnel-shaped white spathe-like flowers</t>
  </si>
  <si>
    <t>Assorted Gardeners Choice</t>
  </si>
  <si>
    <t>Carex acutiformis</t>
  </si>
  <si>
    <t>lesser pond sedge</t>
  </si>
  <si>
    <t>tall, indigenous sedge, unusual brown flower spikes</t>
  </si>
  <si>
    <t>Carex muskingumensis</t>
  </si>
  <si>
    <t>musk sedge</t>
  </si>
  <si>
    <t>feathery bright green foliage</t>
  </si>
  <si>
    <t>Equisetum scipoides</t>
  </si>
  <si>
    <t>Eriphorum angustifolium</t>
  </si>
  <si>
    <t>cotton grass</t>
  </si>
  <si>
    <t>Japanese flag</t>
  </si>
  <si>
    <t>Iris ensata 'Ruby King'</t>
  </si>
  <si>
    <t>large claret blooms over green strap-like foliage</t>
  </si>
  <si>
    <t>Iris laevigata blue</t>
  </si>
  <si>
    <t>Japanese water iris</t>
  </si>
  <si>
    <t>offering arching sword-like foliage and blue flowers</t>
  </si>
  <si>
    <t>Iris laevigata 'Snowdrift'</t>
  </si>
  <si>
    <t>white blooms with lilac markings, stunning</t>
  </si>
  <si>
    <t>Iris louisiana blue</t>
  </si>
  <si>
    <t>native of southeastern united states</t>
  </si>
  <si>
    <t>Iris louisiana yellow</t>
  </si>
  <si>
    <t>louisiana iris</t>
  </si>
  <si>
    <t>yellow flowers over green foliage, north american native</t>
  </si>
  <si>
    <t>Iris pseudacorus 'Bastardii'</t>
  </si>
  <si>
    <t>yellow flag</t>
  </si>
  <si>
    <t>broad sword-like foliage and creamy yellow flowers</t>
  </si>
  <si>
    <t>Iris pseudacorus 'Berlin Tiger'</t>
  </si>
  <si>
    <t>flag</t>
  </si>
  <si>
    <t>striking pale yellow flowers with veined brown markings</t>
  </si>
  <si>
    <t>Iris pseudacorus 'Crème de la Crème'</t>
  </si>
  <si>
    <t>a beautiful variety of the yellow flag, creamy white flowers</t>
  </si>
  <si>
    <t>Iris 'Rose Queen'</t>
  </si>
  <si>
    <t>japanese water iris</t>
  </si>
  <si>
    <t>gorgeous rose-pink flowers with darker veining</t>
  </si>
  <si>
    <t>wonderful blue flowers over sword-like foliage</t>
  </si>
  <si>
    <t>Juncus effusus 'Spiralis'</t>
  </si>
  <si>
    <t>Lobelia speciosa scarlet</t>
  </si>
  <si>
    <t>scarlet cardinal</t>
  </si>
  <si>
    <t>vivid scarlet flowers over bronze leaves</t>
  </si>
  <si>
    <t>spikes of brilliant true blue flowers</t>
  </si>
  <si>
    <t>Lobelia syphilitica 'Alba'</t>
  </si>
  <si>
    <t>white cardinal</t>
  </si>
  <si>
    <t>pure white flowers over green foliage</t>
  </si>
  <si>
    <t>Myosotis palustris Alba</t>
  </si>
  <si>
    <t>Phragmites variegata</t>
  </si>
  <si>
    <t>variegated reed</t>
  </si>
  <si>
    <t>golden yellow and green foliage, excellent filter feeder</t>
  </si>
  <si>
    <t>Pontederia lanceolata</t>
  </si>
  <si>
    <t>blue  poker-like flowers overlance shaped leaves</t>
  </si>
  <si>
    <t>reedmace</t>
  </si>
  <si>
    <t>Allium Ursinum</t>
  </si>
  <si>
    <t>2L Pondside</t>
  </si>
  <si>
    <t>wild garlic</t>
  </si>
  <si>
    <t>rounded head of white star-like flowers</t>
  </si>
  <si>
    <t>Asplenium scolopendrium</t>
  </si>
  <si>
    <t>harts tongue fern</t>
  </si>
  <si>
    <t>native fern, perfect for pondside planting</t>
  </si>
  <si>
    <t>Astilbe Silvery Pink</t>
  </si>
  <si>
    <t>astilbe</t>
  </si>
  <si>
    <t>dense plumes of feather-like silvery pink flowers</t>
  </si>
  <si>
    <t>Astilbe younique Lilac</t>
  </si>
  <si>
    <t>very floriferous, compact, perfect for the bog garden</t>
  </si>
  <si>
    <t>Astilbe younique Pink</t>
  </si>
  <si>
    <t>double the number of flowers than other astilbe</t>
  </si>
  <si>
    <t>Astilbe younique White</t>
  </si>
  <si>
    <t>lacy green foliage topped with dense plumes of white</t>
  </si>
  <si>
    <t>Athyrium filix-femina</t>
  </si>
  <si>
    <t>lady fern</t>
  </si>
  <si>
    <t xml:space="preserve">graceful, bright green, filigree-like foliage </t>
  </si>
  <si>
    <t>Athyrium nipponicum</t>
  </si>
  <si>
    <t>Painted fern</t>
  </si>
  <si>
    <t>one of the most colourful ferns</t>
  </si>
  <si>
    <t>Athyrium nipponicum pictum</t>
  </si>
  <si>
    <t>Japanese painted fern</t>
  </si>
  <si>
    <t xml:space="preserve">striking, shades of green, purple on silver </t>
  </si>
  <si>
    <t>Blechnum spicant</t>
  </si>
  <si>
    <t>hard fern</t>
  </si>
  <si>
    <t>distinctive, elegant, comb-like fronds</t>
  </si>
  <si>
    <t>Indian shot plant</t>
  </si>
  <si>
    <t>striking crimson flowers over dark chocolate foliage</t>
  </si>
  <si>
    <t>Canna ambassador</t>
  </si>
  <si>
    <t>these wonderful plants are at home on the margins</t>
  </si>
  <si>
    <t>Canna Australia</t>
  </si>
  <si>
    <t>Canna Eric Neubert</t>
  </si>
  <si>
    <t>exotic and striking flowers and foliage</t>
  </si>
  <si>
    <t>Dryopteris affinis</t>
  </si>
  <si>
    <t>scaly male fern</t>
  </si>
  <si>
    <t>handsome shuttlecock-type fern</t>
  </si>
  <si>
    <t>Dryopteris erythrosora</t>
  </si>
  <si>
    <t>Autumn fern</t>
  </si>
  <si>
    <t>evergreen Asian fern with bipinnate red/green fronds</t>
  </si>
  <si>
    <t>Dryopteris Felix Mas</t>
  </si>
  <si>
    <t>male fern</t>
  </si>
  <si>
    <t>deciduous with shuttlecock-like fronds</t>
  </si>
  <si>
    <t>Hosta Abiqua Drinking Gourd</t>
  </si>
  <si>
    <t>plantain lily</t>
  </si>
  <si>
    <t>very large cupped leaf foliage, blue green.</t>
  </si>
  <si>
    <t>Hosta Anne</t>
  </si>
  <si>
    <t>Dark green thick leaves with wide creamy margin.</t>
  </si>
  <si>
    <t>Hosta Don Stevens</t>
  </si>
  <si>
    <t>yellow-white margin &amp; red dotted scapes.</t>
  </si>
  <si>
    <t>Hosta Fortunei Hyacinthina</t>
  </si>
  <si>
    <t>large glaucous-green leaves</t>
  </si>
  <si>
    <t>Hosta Francee</t>
  </si>
  <si>
    <t>very popular white edged 'Fortunei'</t>
  </si>
  <si>
    <t>Hosta Frances Williams</t>
  </si>
  <si>
    <t>large green and yellow margined heart-shaped leaves</t>
  </si>
  <si>
    <t>Hosta halcyon</t>
  </si>
  <si>
    <t>wonderful blue green textured foliage</t>
  </si>
  <si>
    <t>Hosta Morning Star</t>
  </si>
  <si>
    <t>dark green margin surrounds the yellow leaf centre.</t>
  </si>
  <si>
    <t>Hosta Patriot</t>
  </si>
  <si>
    <t xml:space="preserve">striking broad white margins, </t>
  </si>
  <si>
    <t>Hosta Pizzazz</t>
  </si>
  <si>
    <t>Blue with creamy later and a white edge.</t>
  </si>
  <si>
    <t>Hosta Sugar Daddy</t>
  </si>
  <si>
    <t>Round puckered blue leaves with a yellow margin.</t>
  </si>
  <si>
    <t>Hosta Tokudama Flavocircinalis</t>
  </si>
  <si>
    <t>Blue with yellow a margin and heavily rugose.</t>
  </si>
  <si>
    <t>Iris sibirica 'Having Fun'</t>
  </si>
  <si>
    <t>layers of ruffled, rounded petals in a soft violet shade</t>
  </si>
  <si>
    <t>Iris sibirica 'Kabluey'</t>
  </si>
  <si>
    <t>spectacular dark violet flowers with creamy-white centers</t>
  </si>
  <si>
    <t>Iris sibirica 'Sparkling Rose'</t>
  </si>
  <si>
    <t>lilac-pink petals with a white veined base</t>
  </si>
  <si>
    <t>leopard plant</t>
  </si>
  <si>
    <t>originating from China, tall stems of yellow flowers</t>
  </si>
  <si>
    <t>Lycopus europaeus</t>
  </si>
  <si>
    <t>gypsywort</t>
  </si>
  <si>
    <t>native plant historically used to lower blood pressure</t>
  </si>
  <si>
    <t>Matteuccia struthiopteris</t>
  </si>
  <si>
    <t>ostrich fern</t>
  </si>
  <si>
    <t>large, pale green, lacy fronds</t>
  </si>
  <si>
    <t>Osmunda regalis</t>
  </si>
  <si>
    <t>royal fern</t>
  </si>
  <si>
    <t>a large, stunning fern, suited to the pond margins</t>
  </si>
  <si>
    <t>Polystichium Herrenhausen</t>
  </si>
  <si>
    <t>soft shield fern</t>
  </si>
  <si>
    <t>semi-evergreen fern, suited to the pondside</t>
  </si>
  <si>
    <t>Polystichum setiferum</t>
  </si>
  <si>
    <t>offering evergreen, soft, dark green fronds</t>
  </si>
  <si>
    <t>Primula vialii</t>
  </si>
  <si>
    <t>Rodgersia pinnata</t>
  </si>
  <si>
    <t>rodgersia</t>
  </si>
  <si>
    <t>striking plant for the bog garden</t>
  </si>
  <si>
    <t>5L Gunnera</t>
  </si>
  <si>
    <t>x1</t>
  </si>
  <si>
    <t>Acorus gramineus 'ogon'</t>
  </si>
  <si>
    <t>5L Marginal</t>
  </si>
  <si>
    <t>Assorted</t>
  </si>
  <si>
    <t>our selection</t>
  </si>
  <si>
    <t>Iris pseudacorus 'variegatus'</t>
  </si>
  <si>
    <t>wonderful funnel-shaped white spathe-like flowers</t>
  </si>
  <si>
    <t>5L Pondside</t>
  </si>
  <si>
    <t>bright red flowers over purple-green foliage</t>
  </si>
  <si>
    <t>Canna orange chocolate</t>
  </si>
  <si>
    <t>dark chocolate washed foliage, rich orange blooms</t>
  </si>
  <si>
    <t xml:space="preserve">Canna Pretoria </t>
  </si>
  <si>
    <t>beautiful green and yellow variegated foliage</t>
  </si>
  <si>
    <t>Hosta Albomarginata</t>
  </si>
  <si>
    <t>eye-catching foliage edged in creamy-white</t>
  </si>
  <si>
    <t>8L Native Planted Contour</t>
  </si>
  <si>
    <t>8L Contour</t>
  </si>
  <si>
    <t>8L Oxygenator Planted Contour</t>
  </si>
  <si>
    <t>8L Scented Planted Contour</t>
  </si>
  <si>
    <t>8L Standard Planted Contour</t>
  </si>
  <si>
    <t>7.5L Gunnera</t>
  </si>
  <si>
    <t>10L Gunnera</t>
  </si>
  <si>
    <t>20L Gunnera</t>
  </si>
  <si>
    <t>60L Gunnera</t>
  </si>
  <si>
    <t>Bunched Oxys</t>
  </si>
  <si>
    <t>Hornwort</t>
  </si>
  <si>
    <t>3,4</t>
  </si>
  <si>
    <t>x100</t>
  </si>
  <si>
    <t>canadian pondweed</t>
  </si>
  <si>
    <t>willow moss</t>
  </si>
  <si>
    <t>water milfoil</t>
  </si>
  <si>
    <t>water crowfoot</t>
  </si>
  <si>
    <t>Netted Oxys</t>
  </si>
  <si>
    <t>with label and barcode</t>
  </si>
  <si>
    <t>x50</t>
  </si>
  <si>
    <t>Aponogeton Distachyum</t>
  </si>
  <si>
    <t>1L Deep Water</t>
  </si>
  <si>
    <t>water hawthorne</t>
  </si>
  <si>
    <t>Assorted Deep Water Plants</t>
  </si>
  <si>
    <t>Our best selection</t>
  </si>
  <si>
    <t>Nuphar Advenum</t>
  </si>
  <si>
    <t>Nuphar luteum</t>
  </si>
  <si>
    <t>brandy bottle</t>
  </si>
  <si>
    <t>Nymphoides Peltata</t>
  </si>
  <si>
    <t>Orontium aquaticum</t>
  </si>
  <si>
    <t>golden club</t>
  </si>
  <si>
    <t>Vallisneria gigantea</t>
  </si>
  <si>
    <t>2L Deep Water</t>
  </si>
  <si>
    <t>5L Deep Water</t>
  </si>
  <si>
    <t xml:space="preserve">Assorted Waterlilies </t>
  </si>
  <si>
    <t>1L Waterlilies By Colour</t>
  </si>
  <si>
    <t>x3</t>
  </si>
  <si>
    <t>Copper Waterlily</t>
  </si>
  <si>
    <t>Tropical Waterlily</t>
  </si>
  <si>
    <t>1L Waterlilies By Colour in Display Bags</t>
  </si>
  <si>
    <t>Assorted Named Waterlilies</t>
  </si>
  <si>
    <t>1L Waterlilies Named</t>
  </si>
  <si>
    <t>N. Alba</t>
  </si>
  <si>
    <t>N. Albatross</t>
  </si>
  <si>
    <t>N. Attraction</t>
  </si>
  <si>
    <t>N. Barbara Dobbins</t>
  </si>
  <si>
    <t>N. Carnea</t>
  </si>
  <si>
    <t>N. Charles de Meurville</t>
  </si>
  <si>
    <t>N. Chromatella</t>
  </si>
  <si>
    <t>N. Collosea</t>
  </si>
  <si>
    <t>N. Colonel A J Welch</t>
  </si>
  <si>
    <t>N. Colorado</t>
  </si>
  <si>
    <t>N. Conqueror</t>
  </si>
  <si>
    <t>N. Denver</t>
  </si>
  <si>
    <t>N. Fire Crest</t>
  </si>
  <si>
    <t>N. Frobelii</t>
  </si>
  <si>
    <t>N. Gladstonianna</t>
  </si>
  <si>
    <t>N. Gloriosa</t>
  </si>
  <si>
    <t>N. Gonnere</t>
  </si>
  <si>
    <t>N. Hollandia</t>
  </si>
  <si>
    <t>N. Inner Light</t>
  </si>
  <si>
    <t>N. James Brydon</t>
  </si>
  <si>
    <t>N. Joey Tomocik</t>
  </si>
  <si>
    <t>N. Lemon Mist</t>
  </si>
  <si>
    <t>N. Madame Wilfron Gonnere</t>
  </si>
  <si>
    <t>N. Marliacea Albida</t>
  </si>
  <si>
    <t>N. Marliacea Carnea</t>
  </si>
  <si>
    <t>N. Marliacea Chromatella</t>
  </si>
  <si>
    <t>N. Mayla</t>
  </si>
  <si>
    <t>N. Moorei</t>
  </si>
  <si>
    <t>N. Mrs Richmond</t>
  </si>
  <si>
    <t>N. Odorata Alba</t>
  </si>
  <si>
    <t>N. Odorata Sulphurea</t>
  </si>
  <si>
    <t>N. Rene Gerard</t>
  </si>
  <si>
    <t>N. Rose Arey</t>
  </si>
  <si>
    <t>N. Rose Nymphe</t>
  </si>
  <si>
    <t>N. Sioux</t>
  </si>
  <si>
    <t>N. Viginalis</t>
  </si>
  <si>
    <t>N. Wanvisa</t>
  </si>
  <si>
    <t>Tropical Blue</t>
  </si>
  <si>
    <t xml:space="preserve">Assorted Small Waterlilies </t>
  </si>
  <si>
    <t>1L Waterlilies Small</t>
  </si>
  <si>
    <t>Small White Waterlily</t>
  </si>
  <si>
    <t>Small Red Waterlily</t>
  </si>
  <si>
    <t>Small Pink Waterlily</t>
  </si>
  <si>
    <t>Small Yellow Waterlily</t>
  </si>
  <si>
    <t>2L Waterlilies By Colour</t>
  </si>
  <si>
    <t>2L Waterlilies By Colour in Display Bags</t>
  </si>
  <si>
    <t>2L Waterlilies Named</t>
  </si>
  <si>
    <t>2L Waterlilies Small</t>
  </si>
  <si>
    <t>N. Albida</t>
  </si>
  <si>
    <t>N. Aurora</t>
  </si>
  <si>
    <t>N. Burgundy Princess</t>
  </si>
  <si>
    <t>N. Candidissima</t>
  </si>
  <si>
    <t>N. Laydekeri lilacea</t>
  </si>
  <si>
    <t>N. Perrys Baby Red</t>
  </si>
  <si>
    <t>N. Pygmaea Helvola</t>
  </si>
  <si>
    <t>N. Pygmaea Rubra</t>
  </si>
  <si>
    <t>N. Tetragona Alba</t>
  </si>
  <si>
    <t>N. Walter Pagels</t>
  </si>
  <si>
    <t xml:space="preserve">N. Wanvisa </t>
  </si>
  <si>
    <t>3L Waterlilies By Colour</t>
  </si>
  <si>
    <t>x5</t>
  </si>
  <si>
    <t>3L Waterlilies By Colour in Display Bags</t>
  </si>
  <si>
    <t>3L Waterlilies Named</t>
  </si>
  <si>
    <t>5L Waterlilies Named</t>
  </si>
  <si>
    <t>Floating Plants</t>
  </si>
  <si>
    <t>water lettuce</t>
  </si>
  <si>
    <t>frog-bit</t>
  </si>
  <si>
    <t>x25</t>
  </si>
  <si>
    <t>water butterfly wings</t>
  </si>
  <si>
    <t>water soldiers</t>
  </si>
  <si>
    <t>Ramshorn Snails</t>
  </si>
  <si>
    <t>Molluscs</t>
  </si>
  <si>
    <t>Snails Assorted</t>
  </si>
  <si>
    <t>Stagnalis Snails</t>
  </si>
  <si>
    <t>Swan Mussels</t>
  </si>
  <si>
    <t>Basket Merchandiser</t>
  </si>
  <si>
    <t>Baskets</t>
  </si>
  <si>
    <t>With 1000 x Baskets- See Catalogue For Details</t>
  </si>
  <si>
    <t>Contour 8L</t>
  </si>
  <si>
    <t xml:space="preserve">Jumbo Round 24L </t>
  </si>
  <si>
    <t>23 cm</t>
  </si>
  <si>
    <t>28x28cm</t>
  </si>
  <si>
    <t>17cm</t>
  </si>
  <si>
    <t>23x23cm</t>
  </si>
  <si>
    <t>20x20x20cm</t>
  </si>
  <si>
    <t>11x11cm</t>
  </si>
  <si>
    <t>exclusive</t>
  </si>
  <si>
    <t>13cm</t>
  </si>
  <si>
    <t>19x19cm</t>
  </si>
  <si>
    <t>35x35cm</t>
  </si>
  <si>
    <t>Dry Goods</t>
  </si>
  <si>
    <t xml:space="preserve"> with 250 bags - Hang on</t>
  </si>
  <si>
    <t>with 250 bags - Screw on</t>
  </si>
  <si>
    <t>Black handle</t>
  </si>
  <si>
    <t>for plant label when submerging waterlilies</t>
  </si>
  <si>
    <t>x500</t>
  </si>
  <si>
    <t>Poly Bags</t>
  </si>
  <si>
    <t>10x20" 150g</t>
  </si>
  <si>
    <t>x250</t>
  </si>
  <si>
    <t>18x24" 150g</t>
  </si>
  <si>
    <t>for dispenser x250</t>
  </si>
  <si>
    <t>Adorable Aquatics Picture Board</t>
  </si>
  <si>
    <t>POS</t>
  </si>
  <si>
    <t xml:space="preserve">Adorable Aquatics POS Strip </t>
  </si>
  <si>
    <t xml:space="preserve">Beautiful Waterlilies Picture Board </t>
  </si>
  <si>
    <t>Beautiful Waterlilies POS Strip</t>
  </si>
  <si>
    <t xml:space="preserve">Filter Feeding Poster </t>
  </si>
  <si>
    <t>Gardeners Choice Picture Board</t>
  </si>
  <si>
    <t>Marginal Poster</t>
  </si>
  <si>
    <t>Oxygenator Picture Board</t>
  </si>
  <si>
    <t>Oxygenator POS Strip</t>
  </si>
  <si>
    <t>Oxygenator Poster</t>
  </si>
  <si>
    <t>Set of 5 Picture Boards</t>
  </si>
  <si>
    <t xml:space="preserve">Set of 5 posters </t>
  </si>
  <si>
    <t>Waterlily Collection Picture Board</t>
  </si>
  <si>
    <t>Waterlily Poster</t>
  </si>
  <si>
    <t>Wildlife POS Strip</t>
  </si>
  <si>
    <t xml:space="preserve">Wildlife Poster </t>
  </si>
  <si>
    <t>Outer</t>
  </si>
  <si>
    <t>y</t>
  </si>
  <si>
    <t>1L Deep Water Plants</t>
  </si>
  <si>
    <t>2L Deep Water Plants</t>
  </si>
  <si>
    <t>2L Waterlilies</t>
  </si>
  <si>
    <t>variegated rush</t>
  </si>
  <si>
    <t>lords and ladies</t>
  </si>
  <si>
    <t>sweet galingale</t>
  </si>
  <si>
    <t>fritillery</t>
  </si>
  <si>
    <t>marsh st johns wort</t>
  </si>
  <si>
    <t>blue flag</t>
  </si>
  <si>
    <t>queens prize</t>
  </si>
  <si>
    <t>lavender musk</t>
  </si>
  <si>
    <t>water dropwort</t>
  </si>
  <si>
    <t>himilayan primula</t>
  </si>
  <si>
    <t>bur reed</t>
  </si>
  <si>
    <t>spatterdock</t>
  </si>
  <si>
    <t>floating heart</t>
  </si>
  <si>
    <t>giant ribbon grass</t>
  </si>
  <si>
    <t>Larger Marginals</t>
  </si>
  <si>
    <t>Aquatic Baskets</t>
  </si>
  <si>
    <t>Mini Square 1L 11x11cm</t>
  </si>
  <si>
    <t>Small Square 2L 19x19cm</t>
  </si>
  <si>
    <t>Midi Square 3L 20x20x20cm</t>
  </si>
  <si>
    <t>Medium Square 5L 23x23cm</t>
  </si>
  <si>
    <t>Large Square 10L 28x28cm</t>
  </si>
  <si>
    <t>XL Square 28L 35x35cm</t>
  </si>
  <si>
    <t>Small Round 1L 13cm</t>
  </si>
  <si>
    <t>Medium Round 2L 17cm</t>
  </si>
  <si>
    <t>Large Round 3L 23cm</t>
  </si>
  <si>
    <t>Oval 4L - exclusive</t>
  </si>
  <si>
    <t>Other Dry Goods</t>
  </si>
  <si>
    <t>Bag Dispenser with 250 bags -Hang on</t>
  </si>
  <si>
    <t>Bag Dispenser with 250 bags -Screw on</t>
  </si>
  <si>
    <t>Replacement bags for dispenser x250</t>
  </si>
  <si>
    <t>Poly Bags 10x20" 150g</t>
  </si>
  <si>
    <t>Poly Bags 18x24" 150g</t>
  </si>
  <si>
    <t>Pots(x3)</t>
  </si>
  <si>
    <t>Pots(x5)</t>
  </si>
  <si>
    <t>Packs</t>
  </si>
  <si>
    <t>Outers</t>
  </si>
  <si>
    <t>Hessian Squares (x100)</t>
  </si>
  <si>
    <t>Pack(x50)</t>
  </si>
  <si>
    <t>Trays(x10)</t>
  </si>
  <si>
    <t>Best available</t>
  </si>
  <si>
    <t>Netted Oxys - our selection</t>
  </si>
  <si>
    <t>Ranunculus Aquatilis</t>
  </si>
  <si>
    <t>Acorus gramineus 'Golden Delight'</t>
  </si>
  <si>
    <t>evergreen leaves grow into attractive fans.</t>
  </si>
  <si>
    <t>golden rush</t>
  </si>
  <si>
    <t>N. Marliacea Rosea</t>
  </si>
  <si>
    <t>Assorted Ferns</t>
  </si>
  <si>
    <t>Glyceria Maxima</t>
  </si>
  <si>
    <t>Callitriche</t>
  </si>
  <si>
    <t>Hosta Assorted</t>
  </si>
  <si>
    <t>Acorus 'Golden Delight'</t>
  </si>
  <si>
    <t>Nasturtium aquaticum</t>
  </si>
  <si>
    <t>Mazus reptans Alba</t>
  </si>
  <si>
    <t>white chinese marsh flower</t>
  </si>
  <si>
    <t>2L Floating Island</t>
  </si>
  <si>
    <t>Cotula Coronopifolia</t>
  </si>
  <si>
    <t>Myosotis palustris alba</t>
  </si>
  <si>
    <t>Myriophyllum Brasiliensis</t>
  </si>
  <si>
    <t>2L with Floating Island</t>
  </si>
  <si>
    <t>Our selection</t>
  </si>
  <si>
    <t>Tubbed Our Selection</t>
  </si>
  <si>
    <t>Tubbed Ceratophyllum Demersum</t>
  </si>
  <si>
    <t>Tubbed Elodea Canadensis</t>
  </si>
  <si>
    <t>Tubbed Fontinalis</t>
  </si>
  <si>
    <t>Tubbed Myriophyllum Spicatum</t>
  </si>
  <si>
    <t>Tubbed Oxys</t>
  </si>
  <si>
    <t>Best Mix available</t>
  </si>
  <si>
    <t>Total Tubbed Oxys (Packs of 10)</t>
  </si>
  <si>
    <t>Pack(x10)</t>
  </si>
  <si>
    <t xml:space="preserve"> </t>
  </si>
  <si>
    <t>Reed Sweet Grass</t>
  </si>
  <si>
    <t>Penny royal</t>
  </si>
  <si>
    <t>Golden delight</t>
  </si>
  <si>
    <t>starwort</t>
  </si>
  <si>
    <t>Iris Versicolor Gerald Derby</t>
  </si>
  <si>
    <t xml:space="preserve">Lobelia Queen Victoria </t>
  </si>
  <si>
    <t>Mentha Aquaticia</t>
  </si>
  <si>
    <t>Rumex Sanguineus</t>
  </si>
  <si>
    <t>Veronica Beccabunga</t>
  </si>
  <si>
    <t>Mentha Pulegium</t>
  </si>
  <si>
    <t>Hypericum Elodes</t>
  </si>
  <si>
    <t>10L Marginals</t>
  </si>
  <si>
    <t>10L Marginal</t>
  </si>
  <si>
    <t>Menyanthes</t>
  </si>
  <si>
    <t>Scirpus Albascens</t>
  </si>
  <si>
    <t>Thalia Dealbata</t>
  </si>
  <si>
    <t>3L Marginal with 3 plants</t>
  </si>
  <si>
    <t>Total 3L Marginals with 3 plants</t>
  </si>
  <si>
    <t>Aquatic Plants Looking Good List</t>
  </si>
  <si>
    <t>Centre Name:</t>
  </si>
  <si>
    <t>Contact Name:</t>
  </si>
  <si>
    <t>Contact No:</t>
  </si>
  <si>
    <t>Key:</t>
  </si>
  <si>
    <t>Tel: 01342 833 144                   Email: orders@beaverplants.co.uk                  Fax: 01342 834 169</t>
  </si>
  <si>
    <t>15L Gunnera</t>
  </si>
  <si>
    <t>5L Gunnera manicata</t>
  </si>
  <si>
    <t>7.5L Gunnera manicata</t>
  </si>
  <si>
    <t>10L Gunnera manicata</t>
  </si>
  <si>
    <t>15L Gunnera manicata</t>
  </si>
  <si>
    <t>20L Gunnera manicata</t>
  </si>
  <si>
    <t>60L Gunnera manicata</t>
  </si>
  <si>
    <t>Hessian Squares (x500)</t>
  </si>
  <si>
    <t>water chestnut</t>
  </si>
  <si>
    <t>Loose Hydrocharis morsus ranae</t>
  </si>
  <si>
    <t>Loose Pistia Stratiotes</t>
  </si>
  <si>
    <t>Loose Salvinia Natans</t>
  </si>
  <si>
    <t>Loose Trapa Natans</t>
  </si>
  <si>
    <t>Tubbed Hydrocharis morsus ranae</t>
  </si>
  <si>
    <t>5L Waterlilies</t>
  </si>
  <si>
    <t>28L Waterlilies</t>
  </si>
  <si>
    <t>Total 28L Waterlilies (Pots)</t>
  </si>
  <si>
    <t>3L Deep Water</t>
  </si>
  <si>
    <t>Painters Mussel</t>
  </si>
  <si>
    <t>144x 10L Aquatic Compost - Pallet</t>
  </si>
  <si>
    <t>84 x 20L Aquatic Compost - Pallet</t>
  </si>
  <si>
    <t>Basket Merchaniser with 1000 baskets</t>
  </si>
  <si>
    <t>Hydrocotyle Vulgaris</t>
  </si>
  <si>
    <t>Typha Gracilis</t>
  </si>
  <si>
    <t>Typha Angustifolia</t>
  </si>
  <si>
    <t>Typha Latifolia</t>
  </si>
  <si>
    <t>Typha Minima</t>
  </si>
  <si>
    <t>Scrophularia</t>
  </si>
  <si>
    <t>Larger Deep Water</t>
  </si>
  <si>
    <t>10L Orontium Aquaticum</t>
  </si>
  <si>
    <t>28L Nuphar Luteum</t>
  </si>
  <si>
    <t>Hypericum Elodes Contour</t>
  </si>
  <si>
    <t>Lobelia Queen Victoria Contour</t>
  </si>
  <si>
    <t>Myosotis Palustris Contour</t>
  </si>
  <si>
    <t>Nasturtium Aquaticum Contour</t>
  </si>
  <si>
    <t>Veronica Contour</t>
  </si>
  <si>
    <t>Houttuynia Variegata Contour</t>
  </si>
  <si>
    <t>selection of best stock, picked by us</t>
  </si>
  <si>
    <t>large green ovate leaves with red veins</t>
  </si>
  <si>
    <t>arching sword-like leaves, lovely claret flowers</t>
  </si>
  <si>
    <t>suited to deeper ponds, native and noninvasive</t>
  </si>
  <si>
    <t>dainty circular green foliage</t>
  </si>
  <si>
    <t>one of the few oxygenating to flower</t>
  </si>
  <si>
    <t>marsh pennywort</t>
  </si>
  <si>
    <t>Total 2L Waterlilies (x3)</t>
  </si>
  <si>
    <t>red vein dock</t>
  </si>
  <si>
    <t>Rumex Hydrolapathum</t>
  </si>
  <si>
    <t>large finished product planted with at least 3 x different marginal varieties</t>
  </si>
  <si>
    <t>the clean &amp; tidy way to sell loose oxy's</t>
  </si>
  <si>
    <t>wonderful oxy plant that looks particularly good in a tub</t>
  </si>
  <si>
    <t>the modern way to sell loose oxy's</t>
  </si>
  <si>
    <t>Mini 5cm Oxygenators</t>
  </si>
  <si>
    <t>5 pack</t>
  </si>
  <si>
    <t>the new and modern way to replace bunched oxys</t>
  </si>
  <si>
    <t>Trays of 50 oxygenators</t>
  </si>
  <si>
    <t>Assorted Tray (2 varieties)</t>
  </si>
  <si>
    <t>Pack with 5 x 5cm oxys</t>
  </si>
  <si>
    <t>Pilularia globulifera</t>
  </si>
  <si>
    <t>endangered native species of fern</t>
  </si>
  <si>
    <t>pillwort</t>
  </si>
  <si>
    <t>a wonderful sweetly scented deep marginal</t>
  </si>
  <si>
    <t>this native deep water plant is often referred to as 'poor mans lily'</t>
  </si>
  <si>
    <t>offering striking yellow/white pokers over lush velvety leaves</t>
  </si>
  <si>
    <t>this white flowering collection is very much suited to water features and small ponds</t>
  </si>
  <si>
    <t>a collection of small waterlilies at home in smaller ponds, offering pink blooms</t>
  </si>
  <si>
    <t>wonderful small yellow blooms above small pads, yellow flowering</t>
  </si>
  <si>
    <t>offering many shades of red flowers above small lily pads</t>
  </si>
  <si>
    <t>our only native waterlily, white petals and golden yellow stamens</t>
  </si>
  <si>
    <t>wonderful large, star shaped flowers with long pure white petals/golden anthers</t>
  </si>
  <si>
    <t>gorgeous cup shaped, snow white flowers that are very fragrant</t>
  </si>
  <si>
    <t>vigorous, large growing waterlily, large-cup shaped white flowers</t>
  </si>
  <si>
    <t>modern hybrid, blooms are a salmon pink, that sit 3 to 4 inches above the water</t>
  </si>
  <si>
    <t>large double pale pink flowers, inner petals deeper coloured than outer ones</t>
  </si>
  <si>
    <t>this beautiful variety has large, cup-shaped double flowers in rose pink</t>
  </si>
  <si>
    <t>fairly vigorous variety, with very pale pink flowers, leaves tinged purple</t>
  </si>
  <si>
    <t>beautiful stellate flowers are a rich pink with golden stamens, deep green leaves</t>
  </si>
  <si>
    <t>flowers are a pale waxy-pink with long outer petals, leaves are deep green</t>
  </si>
  <si>
    <t>free flowering, lovely yellow flowers over heavily mottled leaves</t>
  </si>
  <si>
    <t>beautiful canary-yellow blooms, lightly maroon marbled foliage</t>
  </si>
  <si>
    <t>relatively new hybrid, double yellow blossoms and free flowering</t>
  </si>
  <si>
    <t>rich yellow flowers with golden stamens, leaves are green with maroon blotches</t>
  </si>
  <si>
    <t>attractive red flowers have broad petals and orange stamens</t>
  </si>
  <si>
    <t>free flowering, large red blooms with outer petals flecked with white</t>
  </si>
  <si>
    <t>deep red blooms with incurving petals and bright yellow stamens</t>
  </si>
  <si>
    <t>beautiful vivid red- wine cupped- shaped flowers throughout the summer</t>
  </si>
  <si>
    <t>very free-flowering, very adaptable and easy to grow</t>
  </si>
  <si>
    <t>A selection of available snails</t>
  </si>
  <si>
    <t>will eat dead algae, dead foliage and uneaten fish food</t>
  </si>
  <si>
    <t>offering the native medium sized painter's mussel</t>
  </si>
  <si>
    <t>native to Asia, abundance of white flowers</t>
  </si>
  <si>
    <t>compact and less invaisive than other reedmace</t>
  </si>
  <si>
    <t>a selection of various shades of white, pink and red flowers</t>
  </si>
  <si>
    <t>offering a finished product complete with 3 marginals</t>
  </si>
  <si>
    <t>this native also hearalds from Europe and Asia</t>
  </si>
  <si>
    <t>great water dock</t>
  </si>
  <si>
    <t>best selection from our nursery</t>
  </si>
  <si>
    <t>origination from East Asia and the Mediterranean</t>
  </si>
  <si>
    <t>deep pink flowers with prolific foliage</t>
  </si>
  <si>
    <t>the clean and dry way to sell the ideal oxy bunch replacement</t>
  </si>
  <si>
    <t>Acorus gram. Variegata</t>
  </si>
  <si>
    <t>2L Plant complete with floating island</t>
  </si>
  <si>
    <t>Loose Stratiotes Aloides</t>
  </si>
  <si>
    <t>Loose Stratiotes 'Rubrifolia'</t>
  </si>
  <si>
    <t>red water soldiers</t>
  </si>
  <si>
    <t>Colour</t>
  </si>
  <si>
    <t>Tubbed Oxygenators @ £1.50</t>
  </si>
  <si>
    <t>3L Marginal with 3 plants @ £4.50</t>
  </si>
  <si>
    <t>28L Waterlilies @ £31.50</t>
  </si>
  <si>
    <t>76p standard / 79p barcoded</t>
  </si>
  <si>
    <t>yellow satin flower</t>
  </si>
  <si>
    <t>Priority - 1 = Top selling/Must stock, 2 = Good seller, 3 = slower seller</t>
  </si>
  <si>
    <t>Loose @ £0.68 - Pack of 25</t>
  </si>
  <si>
    <t>Loose @ £1.04 - Pack of 25</t>
  </si>
  <si>
    <t>Tubbed @ £1.31 - Tray of 10</t>
  </si>
  <si>
    <t>Product</t>
  </si>
  <si>
    <t>Iris louisiana 'Arabian Bayou'</t>
  </si>
  <si>
    <t>Hippuris Contour</t>
  </si>
  <si>
    <t>pink flowers over green foliage</t>
  </si>
  <si>
    <t>Ranunculus Flammula</t>
  </si>
  <si>
    <t>3L Triple Planted Waterlily</t>
  </si>
  <si>
    <t>3L Double/Triple Waterlily</t>
  </si>
  <si>
    <t>Primula Japonica White</t>
  </si>
  <si>
    <t>Hemerocallis</t>
  </si>
  <si>
    <t>day lily</t>
  </si>
  <si>
    <t>x8</t>
  </si>
  <si>
    <t>candelabra primrose</t>
  </si>
  <si>
    <t>beautiful japanese primula with white flowers</t>
  </si>
  <si>
    <t>emergent, with green grass-like foliage</t>
  </si>
  <si>
    <t>beautiful white/yellow blooms over mid-green leaves</t>
  </si>
  <si>
    <t>assorted flower colours over green foliage</t>
  </si>
  <si>
    <t>3L Double Planted Waterlily (White, Red)</t>
  </si>
  <si>
    <t>3L Double Planted Waterlily (Yellow, Pink)</t>
  </si>
  <si>
    <t>offering the best of 2 worlds, white &amp; red blooms</t>
  </si>
  <si>
    <t>offering the best of 2 worlds, yellow &amp; pink blooms</t>
  </si>
  <si>
    <t>our premium lily giving red, yellow &amp; white blooms</t>
  </si>
  <si>
    <t>Total Mini 5cm Oxygenators (Units)</t>
  </si>
  <si>
    <t>Canna Assorted</t>
  </si>
  <si>
    <t>Jumbo Swan Mussels</t>
  </si>
  <si>
    <t>offering a larger grade of the native swan mussel</t>
  </si>
  <si>
    <t>offering a popular bivalve swam mussel</t>
  </si>
  <si>
    <t>If you would like these as Pygmaea tick here :</t>
  </si>
  <si>
    <t>28L Marginal</t>
  </si>
  <si>
    <t>Iris Pseudacorus / Juncus Ensifolius</t>
  </si>
  <si>
    <t>Canna  Assorted</t>
  </si>
  <si>
    <t>Our best available Cannas</t>
  </si>
  <si>
    <t>N. Charlene Strawn</t>
  </si>
  <si>
    <t>N. Almost Black</t>
  </si>
  <si>
    <t>offering an established lily selected with buds/ flowers</t>
  </si>
  <si>
    <t>established lily selected with buds/ flowerst in pink</t>
  </si>
  <si>
    <t>established lily selected with buds/ flowers in white</t>
  </si>
  <si>
    <t>established lily selected with buds/ flowers in red</t>
  </si>
  <si>
    <t>established lily selected with buds/ flowers in yellow</t>
  </si>
  <si>
    <t>Loose @ £1.50 - Pack of 10</t>
  </si>
  <si>
    <t>Loose Jumbo Stratiotes Aloides</t>
  </si>
  <si>
    <t xml:space="preserve">N. Arc en Ciel </t>
  </si>
  <si>
    <t>variegated sweet rush</t>
  </si>
  <si>
    <t>Iris Ensata Variegata</t>
  </si>
  <si>
    <t>gorgeous purple flowers over white and green striped foliage</t>
  </si>
  <si>
    <t>Variegated Japanese flag</t>
  </si>
  <si>
    <t>Total 2L Named Waterlilies (x3)</t>
  </si>
  <si>
    <t>2L Named Waterlilies</t>
  </si>
  <si>
    <t>Iris louisiana pagaletta</t>
  </si>
  <si>
    <t>offering purple blooms over evergreen foliage</t>
  </si>
  <si>
    <t>Carex panicea</t>
  </si>
  <si>
    <t>2L Small Waterlilies</t>
  </si>
  <si>
    <t>Total 2L Small Waterlilies (x3)</t>
  </si>
  <si>
    <t>2L Small Waterlilies @ £8.90</t>
  </si>
  <si>
    <t>Canna  Assorted- BEST</t>
  </si>
  <si>
    <t>Astilbe Assorted- BEST</t>
  </si>
  <si>
    <t>native deepwater plant is referred to as 'poor mans lily'</t>
  </si>
  <si>
    <t>SPECIAL OFFER</t>
  </si>
  <si>
    <t>our best selection of small and medium sized lilies</t>
  </si>
  <si>
    <t>originating from the USA, wonderful yellow double-petalled blooms</t>
  </si>
  <si>
    <t>strong orange-pink with stable yellowish speckles on the petals.</t>
  </si>
  <si>
    <t>very free flowering, dark blood-red blooms, one of the darkest reds</t>
  </si>
  <si>
    <t xml:space="preserve">wonderful small blooms above small pads, yellow flowering
</t>
  </si>
  <si>
    <t>N. Masaniello</t>
  </si>
  <si>
    <t>tidy cup shaped pink/red blooms</t>
  </si>
  <si>
    <t>beautifully bicoloured, purple  and white petals with a yellow centre</t>
  </si>
  <si>
    <t>Rich yellow blooms fading to lighter yellow outer petals.</t>
  </si>
  <si>
    <t>DELIVERY 3-5 WORKING DAYS</t>
  </si>
  <si>
    <t>BUY 2 GET ANOTHER FREE</t>
  </si>
  <si>
    <t>*Loose FOC Pistia Stratiotes</t>
  </si>
  <si>
    <t>*Tubbed FOC Pistia Stratiotes</t>
  </si>
  <si>
    <t>Blue Waterlily</t>
  </si>
  <si>
    <t>Ligularia dentata 'Desdemona'</t>
  </si>
  <si>
    <t>Iris Sibirica Blue</t>
  </si>
  <si>
    <t>Siberian iris, showy blue flowers on slender stems</t>
  </si>
  <si>
    <t>Iris sibirica 'Rosy Bows'</t>
  </si>
  <si>
    <t>ruffled blousy blooms are stunning over clumps foliage</t>
  </si>
  <si>
    <t>N. Sunrise</t>
  </si>
  <si>
    <t>Extra large stellate shaped yellow blooms</t>
  </si>
  <si>
    <t>Lobelia Fan red</t>
  </si>
  <si>
    <t>red flowers over elongate green leaves</t>
  </si>
  <si>
    <t>pink flowers over elongate green leaves</t>
  </si>
  <si>
    <t>Tubbed Ranunculus Aquatilis</t>
  </si>
  <si>
    <t>Hessian Squares (Pack of 100)</t>
  </si>
  <si>
    <t>Hessian Squares (Pack of 500)</t>
  </si>
  <si>
    <t>Cyperus Glaber</t>
  </si>
  <si>
    <t>Pontederia Lanceolata</t>
  </si>
  <si>
    <t>Lysimachia nummularia Aurea</t>
  </si>
  <si>
    <t>Preslica Cervina</t>
  </si>
  <si>
    <t>We will select with flowers</t>
  </si>
  <si>
    <t>N. Purple Joy - Tropical</t>
  </si>
  <si>
    <t>we will select with flowers</t>
  </si>
  <si>
    <t>variegated foliage</t>
  </si>
  <si>
    <t>Our best selection with flowers</t>
  </si>
  <si>
    <t>greater reedmace</t>
  </si>
  <si>
    <t>Egyptian paper grass</t>
  </si>
  <si>
    <t>Caltha Palustris</t>
  </si>
  <si>
    <t>Iris sibirica White</t>
  </si>
  <si>
    <t>Anagallis Tenella</t>
  </si>
  <si>
    <t>pink pimpernel</t>
  </si>
  <si>
    <t>pale lemon petals form well-shaped blooms</t>
  </si>
  <si>
    <t>Delicious, aniseed-scented, deep rose-pink flowers</t>
  </si>
  <si>
    <t>FREE FLOATING ISLAND</t>
  </si>
  <si>
    <t xml:space="preserve">FOC </t>
  </si>
  <si>
    <t>Myriophyllum Propium</t>
  </si>
  <si>
    <t>Carex Pendula</t>
  </si>
  <si>
    <t>Hosta Firn Line</t>
  </si>
  <si>
    <t>Hosta Fragrant Bouquet</t>
  </si>
  <si>
    <t>Hosta Captains Adventures</t>
  </si>
  <si>
    <t>Hosta Sting</t>
  </si>
  <si>
    <t>Sagittaria japonica</t>
  </si>
  <si>
    <t>double japanese arrowhead</t>
  </si>
  <si>
    <t xml:space="preserve">snowball’ flowers with striking arrow-shaped foliage. </t>
  </si>
  <si>
    <t>Blue Bucket Pistia</t>
  </si>
  <si>
    <t>Blue Bucket Pistia FREE</t>
  </si>
  <si>
    <t>BUY 4 GET ANOTHER 1 FREE</t>
  </si>
  <si>
    <t>a blue pot absolutely full of water lettuce</t>
  </si>
  <si>
    <t>N. Mangkala Ubol</t>
  </si>
  <si>
    <t>N. Yellow Bangpra</t>
  </si>
  <si>
    <t>Stunning yellow stamens with purple mottled leaves</t>
  </si>
  <si>
    <t>peachy yellow with brownish green pads that are flecked</t>
  </si>
  <si>
    <t xml:space="preserve"> with every order that meets mInimum</t>
  </si>
  <si>
    <t>a great native, suitable for larger ponds- BIG</t>
  </si>
  <si>
    <t xml:space="preserve">snow white flowers twith beautifully fragranted flowers </t>
  </si>
  <si>
    <t>Bag Full of loose Pistia Stratiotes</t>
  </si>
  <si>
    <t>xBAG FULL</t>
  </si>
  <si>
    <t>10L Waterlilies</t>
  </si>
  <si>
    <t>10L  Waterlilies @ £10.99</t>
  </si>
  <si>
    <t>wide creamy-white margin and darker green streaking</t>
  </si>
  <si>
    <t>light green leaves  with a creamy white edge</t>
  </si>
  <si>
    <t>thick dark green leaves with a white flamed center</t>
  </si>
  <si>
    <t>grey-green leaves with creamy-white margins.</t>
  </si>
  <si>
    <t>If you would like them barcoded please mark here:</t>
  </si>
  <si>
    <t>1L Marginals @ £2.25</t>
  </si>
  <si>
    <t>1L Oxygenators @ £2.25</t>
  </si>
  <si>
    <t>2L Oxygenators @ £3.26</t>
  </si>
  <si>
    <t>5L Marginals @ £5.46</t>
  </si>
  <si>
    <t>1L Waterlilies @ £6.07</t>
  </si>
  <si>
    <t>1L Small Waterliliy @ £8.27</t>
  </si>
  <si>
    <t>2L Waterlilies @ £6.62</t>
  </si>
  <si>
    <t>1L Deep Water @ £4.36</t>
  </si>
  <si>
    <t>2L Deep Water @ £5.46</t>
  </si>
  <si>
    <t>21p standard / 24p barcoded</t>
  </si>
  <si>
    <t>34p standard / 37p barcoded</t>
  </si>
  <si>
    <t>43p standard / 46p barcoded</t>
  </si>
  <si>
    <t>53p standard / 56p barcoded</t>
  </si>
  <si>
    <t>£1.64 standard / £1.67 barcoded</t>
  </si>
  <si>
    <t>23p standard / 26p barcoded</t>
  </si>
  <si>
    <t>48p standard / 51p barcoded</t>
  </si>
  <si>
    <t>£2.54 standard / £2.57 barcoded</t>
  </si>
  <si>
    <t>80p standard / 83p barcoded</t>
  </si>
  <si>
    <t>Athyrium felix femina</t>
  </si>
  <si>
    <t>Dryopteris felix mas</t>
  </si>
  <si>
    <t>Polystichum setiferum Herrenhausen</t>
  </si>
  <si>
    <t>Polystichum polyblepharum</t>
  </si>
  <si>
    <t>9cm Ferns</t>
  </si>
  <si>
    <t>9cm Ferns Assorted</t>
  </si>
  <si>
    <t>Minimum Order - 1 full trolley</t>
  </si>
  <si>
    <t>Harts Tongue Fern</t>
  </si>
  <si>
    <t>eyecatching , un-fernlike,versatile and native</t>
  </si>
  <si>
    <t>Lady Fern</t>
  </si>
  <si>
    <t>graceful, bright green, filigree-like foliage</t>
  </si>
  <si>
    <t>Painted Fern</t>
  </si>
  <si>
    <t>curious sword fern-like foliage, hardy and native</t>
  </si>
  <si>
    <t>Hard Fern</t>
  </si>
  <si>
    <t>Scaly Male Fern</t>
  </si>
  <si>
    <t>Autumn Fern</t>
  </si>
  <si>
    <t>Male Fern</t>
  </si>
  <si>
    <t>large specimen, pale green, lacy fronds</t>
  </si>
  <si>
    <t>Ostrich fern</t>
  </si>
  <si>
    <t>Soft Shield Fern</t>
  </si>
  <si>
    <t>large evergreen fronds, native to the UK</t>
  </si>
  <si>
    <t xml:space="preserve"> rosette of exquisite lacy fronds</t>
  </si>
  <si>
    <t>Tassel Fern</t>
  </si>
  <si>
    <t>hardy evergreen Asian fern</t>
  </si>
  <si>
    <t>Mixed Ferns</t>
  </si>
  <si>
    <t>Our choice, best selection</t>
  </si>
  <si>
    <t>x12</t>
  </si>
  <si>
    <t>Primula Denticulata Deep Rose</t>
  </si>
  <si>
    <t>Primula Denticulata Lilac</t>
  </si>
  <si>
    <t>beautiful deep rose flowers with a yellow eye</t>
  </si>
  <si>
    <t>tiny lilac-purple flowers in spring until early summer</t>
  </si>
  <si>
    <t>Hardy Ferns Assorted</t>
  </si>
  <si>
    <t>9cm Ferns @ £1.50</t>
  </si>
  <si>
    <t>X5</t>
  </si>
  <si>
    <t>- Mark here if you would like your order delivered on a new green CC tag trolley</t>
  </si>
  <si>
    <t>Total 1L Waterlilies (x5)</t>
  </si>
  <si>
    <t>Total 9cm Ferns (x12)</t>
  </si>
  <si>
    <t>2,4</t>
  </si>
  <si>
    <t>Height</t>
  </si>
  <si>
    <t>Medium violet blue, heavily gold signal</t>
  </si>
  <si>
    <t>Iris sibirica 'Happy Returns'</t>
  </si>
  <si>
    <t>Lobelia pink</t>
  </si>
  <si>
    <t>SPECIAL OFFER PRICE</t>
  </si>
  <si>
    <t>NEW</t>
  </si>
  <si>
    <t>M</t>
  </si>
  <si>
    <t>S</t>
  </si>
  <si>
    <t>L</t>
  </si>
  <si>
    <t>1L Carry Pack</t>
  </si>
  <si>
    <t>1L Carrypack</t>
  </si>
  <si>
    <t>THESE ARE NOT INCLUDED IN THE LOYALTY SCHEME</t>
  </si>
  <si>
    <t>Shelf</t>
  </si>
  <si>
    <t>Number of trolleys</t>
  </si>
  <si>
    <t>Short</t>
  </si>
  <si>
    <t>Medium</t>
  </si>
  <si>
    <t>Tall</t>
  </si>
  <si>
    <t>Number of shelves</t>
  </si>
  <si>
    <t>x4</t>
  </si>
  <si>
    <t>Shelves</t>
  </si>
  <si>
    <t>Space</t>
  </si>
  <si>
    <t>Top shelf</t>
  </si>
  <si>
    <t>Trolley</t>
  </si>
  <si>
    <t>2L Pondside @ £3.26</t>
  </si>
  <si>
    <t>Balance</t>
  </si>
  <si>
    <t>Total 1L to fill</t>
  </si>
  <si>
    <t>Total 2L to fill</t>
  </si>
  <si>
    <t>T1a</t>
  </si>
  <si>
    <t>T1b</t>
  </si>
  <si>
    <t>T1 Total</t>
  </si>
  <si>
    <t>T2a</t>
  </si>
  <si>
    <t>T2b</t>
  </si>
  <si>
    <t>T2 Total</t>
  </si>
  <si>
    <t>T3a</t>
  </si>
  <si>
    <t>T3b</t>
  </si>
  <si>
    <t>T3 Total</t>
  </si>
  <si>
    <t>Space Left on Trolley</t>
  </si>
  <si>
    <t>Number of shelves to fill</t>
  </si>
  <si>
    <t>Filled</t>
  </si>
  <si>
    <t>T1+ Total</t>
  </si>
  <si>
    <t>T2+ Total</t>
  </si>
  <si>
    <t>s</t>
  </si>
  <si>
    <t>Trolley Deals</t>
  </si>
  <si>
    <t>marginals, oxys &amp; waterlilies,</t>
  </si>
  <si>
    <t>marginals, oxys, waterlilies &amp; contours</t>
  </si>
  <si>
    <t>Early Season Trolley Deal</t>
  </si>
  <si>
    <t>Trolley Deal</t>
  </si>
  <si>
    <t>Basic Trolley Deal</t>
  </si>
  <si>
    <t>Complete Trolley Deal</t>
  </si>
  <si>
    <t xml:space="preserve">Double 1 Trolley Deal </t>
  </si>
  <si>
    <t>Double 2 Trolley Deal</t>
  </si>
  <si>
    <r>
      <t>2L Gardeners Choice</t>
    </r>
    <r>
      <rPr>
        <b/>
        <sz val="14"/>
        <color theme="1"/>
        <rFont val="Calibri"/>
        <family val="2"/>
        <scheme val="minor"/>
      </rPr>
      <t xml:space="preserve"> @ £3.26</t>
    </r>
  </si>
  <si>
    <r>
      <t>8L Planted Contour</t>
    </r>
    <r>
      <rPr>
        <b/>
        <sz val="14"/>
        <color theme="1"/>
        <rFont val="Calibri"/>
        <family val="2"/>
        <scheme val="minor"/>
      </rPr>
      <t xml:space="preserve"> @ £7.60</t>
    </r>
  </si>
  <si>
    <r>
      <rPr>
        <b/>
        <sz val="15"/>
        <color theme="1"/>
        <rFont val="Calibri"/>
        <family val="2"/>
        <scheme val="minor"/>
      </rPr>
      <t>2L Named Waterlilies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@£7.72</t>
    </r>
  </si>
  <si>
    <t>Y</t>
  </si>
  <si>
    <t>50 per shelf</t>
  </si>
  <si>
    <t>24 per shelf</t>
  </si>
  <si>
    <t>8 per shelf</t>
  </si>
  <si>
    <t>72 per shelf</t>
  </si>
  <si>
    <t>32 per shelf</t>
  </si>
  <si>
    <t>Soil</t>
  </si>
  <si>
    <r>
      <t>72x 10L &amp; 42x20L Aquatic Compost -</t>
    </r>
    <r>
      <rPr>
        <b/>
        <sz val="11"/>
        <color theme="1"/>
        <rFont val="Calibri"/>
        <family val="2"/>
        <scheme val="minor"/>
      </rPr>
      <t>Premium Pallet</t>
    </r>
  </si>
  <si>
    <t>Total 2L Pondside (x3)</t>
  </si>
  <si>
    <t>Pots(x4)</t>
  </si>
  <si>
    <t>Pots(x12)</t>
  </si>
  <si>
    <t>Trays(x3)</t>
  </si>
  <si>
    <t>Sisyrinchium californicum</t>
  </si>
  <si>
    <t>satin flower</t>
  </si>
  <si>
    <t>great spearwort</t>
  </si>
  <si>
    <t>yellow flowers, top of miniature Iris-type leaves</t>
  </si>
  <si>
    <t>buttercup yellow flowers over ovate green foliage</t>
  </si>
  <si>
    <t>1L Assorted Oxy Carrypack</t>
  </si>
  <si>
    <t>1L Oxy Hippuris vulgaris Carrypack</t>
  </si>
  <si>
    <t>1L Oxy Scirpus Cernuus Carrypack</t>
  </si>
  <si>
    <t>1L Assorted Deep Water Carrypack</t>
  </si>
  <si>
    <t>1L DW Nuphar luteum Carrypack</t>
  </si>
  <si>
    <t>1L DW Orontium aquaticum Carrypack</t>
  </si>
  <si>
    <t>1L Small White Carrypack</t>
  </si>
  <si>
    <t>1L Assorted Small Carrypack</t>
  </si>
  <si>
    <t>1L Small Red Carrypack</t>
  </si>
  <si>
    <t>1L Small Pink Carrypack</t>
  </si>
  <si>
    <t>1L Small Yellow Carrypack</t>
  </si>
  <si>
    <t>1L DW Aponogeton Carrypack</t>
  </si>
  <si>
    <t>10.5cm Primula @ £1.05</t>
  </si>
  <si>
    <t>10.5cm Primula</t>
  </si>
  <si>
    <t>Total 10.5cm Primula</t>
  </si>
  <si>
    <t>60 per shelf</t>
  </si>
  <si>
    <t>Primula denticulata Alba</t>
  </si>
  <si>
    <t>Primula denticulata Lilac</t>
  </si>
  <si>
    <t>Primula denticulata Rubin</t>
  </si>
  <si>
    <t>x15</t>
  </si>
  <si>
    <t>Trays(x15)</t>
  </si>
  <si>
    <t>FOC</t>
  </si>
  <si>
    <t>BUY 3 TRAYS GET ANOTHER 1 FREE!</t>
  </si>
  <si>
    <t>FREE PRIMULA</t>
  </si>
  <si>
    <t>a finished product with at least 4x different scented marginals</t>
  </si>
  <si>
    <t>a finished product with at least 4x different oxygenating marginals</t>
  </si>
  <si>
    <t>a finished product with at least 4x different British marginals</t>
  </si>
  <si>
    <t>pale pink blooms and glossy mid-green foliage</t>
  </si>
  <si>
    <t>pretty, rich red blooms with bright green leaves</t>
  </si>
  <si>
    <t>yellow petals with green leaves heavily mottles with purple</t>
  </si>
  <si>
    <t>very pale pink flowers, leaves tinged purple</t>
  </si>
  <si>
    <t>Discount Price</t>
  </si>
  <si>
    <t>150x1L Marg/Oxy, 24x2L Gardeners Choice</t>
  </si>
  <si>
    <t>100x 1L Marginal, 40x 1L Oxygenator, 18x 2L Marg, 24x 2L Waterlilies, 5x 8L Contour</t>
  </si>
  <si>
    <t>150x 1L Marginal/Oxy, 24x 2L Marg, 16x 1L Waterlilies, 8x 1L Deep water &amp; 4x 8L Contour</t>
  </si>
  <si>
    <t>150x 1L Marginal, 50x 1L Oxygenator &amp; 24x 2L Waterlilies</t>
  </si>
  <si>
    <t>200x 1L Marginal, 50x 1L Oxygenators, 72x 2L Marginal &amp; 24x 2L Waterlilies</t>
  </si>
  <si>
    <t>200x 1L Marginal, 100x 1L Oxygenators, 24x 2L Marginal, 24x 2L Waterlilies &amp; 8x 8L Contour</t>
  </si>
  <si>
    <r>
      <t>Trolley Deals</t>
    </r>
    <r>
      <rPr>
        <sz val="12"/>
        <color theme="1"/>
        <rFont val="Calibri"/>
        <family val="2"/>
        <scheme val="minor"/>
      </rPr>
      <t xml:space="preserve"> -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For Easy Ordering</t>
    </r>
  </si>
  <si>
    <t>VERY STRONG</t>
  </si>
  <si>
    <r>
      <t>Carrypack</t>
    </r>
    <r>
      <rPr>
        <b/>
        <sz val="14"/>
        <color theme="1"/>
        <rFont val="Calibri"/>
        <family val="2"/>
        <scheme val="minor"/>
      </rPr>
      <t>- Waterlilies, Deep Water &amp; Oxygenators</t>
    </r>
  </si>
  <si>
    <t>BARCODE</t>
  </si>
  <si>
    <t>this native plant is often referred to as 'poor mans lily'</t>
  </si>
  <si>
    <t>yellow/white pokers over lush velvety leaves</t>
  </si>
  <si>
    <t>rooted hardy pink in a recyclable plastic container</t>
  </si>
  <si>
    <t>rooted hardy waterlily in a recyclable plastic container</t>
  </si>
  <si>
    <t>Rooted hardy red in a recyclable plastic container</t>
  </si>
  <si>
    <t>rooted hardy white in a recyclable plastic container</t>
  </si>
  <si>
    <t>rooted hardy yellow in a recyclable plastic container</t>
  </si>
  <si>
    <t>PRICE</t>
  </si>
  <si>
    <r>
      <t xml:space="preserve">3L Double @ £8.35/ Triple Waterlilies @ £9.40   </t>
    </r>
    <r>
      <rPr>
        <b/>
        <sz val="14"/>
        <color theme="1"/>
        <rFont val="Calibri"/>
        <family val="2"/>
        <scheme val="minor"/>
      </rPr>
      <t>14 per shelf</t>
    </r>
  </si>
  <si>
    <t xml:space="preserve">Barcode: </t>
  </si>
  <si>
    <t>Barcode: 5021353888805</t>
  </si>
  <si>
    <t>Barcode: 5021353001020</t>
  </si>
  <si>
    <t>Barcode: 5021353777116</t>
  </si>
  <si>
    <t>Barcode: 5021353002317</t>
  </si>
  <si>
    <t>Barcode: 5021353014990</t>
  </si>
  <si>
    <t>Barcode: 5021353014372</t>
  </si>
  <si>
    <t>Barcode: 5021353002300</t>
  </si>
  <si>
    <t>Barcode: 5021353014884</t>
  </si>
  <si>
    <t>Phalaris Arctic Sun</t>
  </si>
  <si>
    <t>Golden Ribbon Grass</t>
  </si>
  <si>
    <t>striking golden foliage on this new hybrid</t>
  </si>
  <si>
    <t>St Johns wort</t>
  </si>
  <si>
    <t>yes</t>
  </si>
  <si>
    <t>Barcode: 872815038209</t>
  </si>
  <si>
    <t>Barcode: 5021353014686</t>
  </si>
  <si>
    <t>Barcode: 5021353007565</t>
  </si>
  <si>
    <t>Barcode: 5021353014709</t>
  </si>
  <si>
    <t>curly-leaf pondweed</t>
  </si>
  <si>
    <t>Blue Pot Salvinia Natans</t>
  </si>
  <si>
    <t>Blue Pot Stratiotes Aloides</t>
  </si>
  <si>
    <t>Blue Pot Trapa bispinosa</t>
  </si>
  <si>
    <t>Blue Pot @ £1.57 - Tray of 8</t>
  </si>
  <si>
    <t>Blue Pot Nymphoides peltata</t>
  </si>
  <si>
    <t>Blue Pot Ceratophyllum demersum</t>
  </si>
  <si>
    <t>Blue Pot Potamogeton natans</t>
  </si>
  <si>
    <t>Blue Pots Callitriche</t>
  </si>
  <si>
    <t>Blue Pots Hottonia palustris</t>
  </si>
  <si>
    <t>Blue Pot Range</t>
  </si>
  <si>
    <t>water starwort</t>
  </si>
  <si>
    <t>water moss</t>
  </si>
  <si>
    <t>broad-leaved pondweed</t>
  </si>
  <si>
    <t>hornwort</t>
  </si>
  <si>
    <t>fringed waterlily</t>
  </si>
  <si>
    <t>Blue Pot Fontinalis</t>
  </si>
  <si>
    <t>Barcode: 5021353015058</t>
  </si>
  <si>
    <t>Oxygenators</t>
  </si>
  <si>
    <t>Total 1L Carrypacks (x4)</t>
  </si>
  <si>
    <t>1L Pink Waterlily Carrypack</t>
  </si>
  <si>
    <t>1L Assorted Waterlily Carrypack</t>
  </si>
  <si>
    <t>1L White Waterlily Carrypack</t>
  </si>
  <si>
    <t>1L Yellow Waterlily Carrypack</t>
  </si>
  <si>
    <t>1L Red Waterlily Carrypack</t>
  </si>
  <si>
    <t>12 per shelf</t>
  </si>
  <si>
    <t>10L Marginals @ £9.50- BIG</t>
  </si>
  <si>
    <t>Molluscs - Snails @ £0.63</t>
  </si>
  <si>
    <t>rooted in a recyclable plastic container</t>
  </si>
  <si>
    <t>rooted waterlily in a recyclable plastic container</t>
  </si>
  <si>
    <t>See Below</t>
  </si>
  <si>
    <t>ON ALL</t>
  </si>
  <si>
    <t>POSTER &amp; POS STRIPS</t>
  </si>
  <si>
    <t xml:space="preserve">BUY 1 GET 1 FREE </t>
  </si>
  <si>
    <t>10% Discount</t>
  </si>
  <si>
    <t>(Prices shown include discount)</t>
  </si>
  <si>
    <t>Netted Oxygenators @ £1.26</t>
  </si>
  <si>
    <t>Barcode: 5021353005011</t>
  </si>
  <si>
    <t>Full</t>
  </si>
  <si>
    <t>Trolley Builder</t>
  </si>
  <si>
    <t>To help you make your order up to a full trolley please see the trolley diagram to the right.</t>
  </si>
  <si>
    <t>The diagram with fill in green as you order plants. Please aim to get your order over 90%</t>
  </si>
  <si>
    <t>The trolley builder is an estimate. If your order goes slightly over 1 trolley don't worry, we will try to fit it on 1 trolley or remove some stock.</t>
  </si>
  <si>
    <t>Iris louisana 'Arabian bayou'</t>
  </si>
  <si>
    <t>striking yellow &amp; white flowers</t>
  </si>
  <si>
    <t>m</t>
  </si>
  <si>
    <t xml:space="preserve">y </t>
  </si>
  <si>
    <t>1L Oxy Hottonia Palustris</t>
  </si>
  <si>
    <t>Loose Floating Plants</t>
  </si>
  <si>
    <t>Loose @ £1.25 - Pack of 25</t>
  </si>
  <si>
    <t>3 plant in 1 2L pot complete with floating island</t>
  </si>
  <si>
    <t>Spiked Water Milfoil</t>
  </si>
  <si>
    <t>attractive spikey appearance with tiny red flowers</t>
  </si>
  <si>
    <t>Mixed varieties with 3 plants</t>
  </si>
  <si>
    <t>Juncus effusus</t>
  </si>
  <si>
    <t>ALL ORDERS MUST BE IN BY MONDAY 4PM FOR GUARANTEED SAME WEEK DELIVERY!</t>
  </si>
  <si>
    <t>Lobelia speciosa deep red</t>
  </si>
  <si>
    <t>2L with Floating Island @ £5.24</t>
  </si>
  <si>
    <t>bunch with lead</t>
  </si>
  <si>
    <t>hardy arum lily</t>
  </si>
  <si>
    <t>Astilbe younique cerise</t>
  </si>
  <si>
    <t>Astilbe younique carmine</t>
  </si>
  <si>
    <t>Astilbe younique salmon</t>
  </si>
  <si>
    <t>Siberian iris, showy white flowers on slender stems</t>
  </si>
  <si>
    <t>purple cardinal</t>
  </si>
  <si>
    <t>compact habit with beautiful large flower carmine plume</t>
  </si>
  <si>
    <t>short, compact and rich cherry red flowers</t>
  </si>
  <si>
    <t>wonderful new hybrid with large flower plume</t>
  </si>
  <si>
    <t>Pure white blooms, Extremely high flower count</t>
  </si>
  <si>
    <t>Iris sibirica 'White</t>
  </si>
  <si>
    <t xml:space="preserve">Blue Pot Assorted Shelf </t>
  </si>
  <si>
    <t>Exc Snails</t>
  </si>
  <si>
    <t>3x Snails &amp; 1x Oxy Plant</t>
  </si>
  <si>
    <t>Blue Pot @ £3.99 - Tray of 8</t>
  </si>
  <si>
    <t>Point of Sale</t>
  </si>
  <si>
    <t>Primula Mix</t>
  </si>
  <si>
    <t>a mix of beautiful flowers hand picked by our nursery</t>
  </si>
  <si>
    <t>Blue Pot Hydrocharis morsus ranae</t>
  </si>
  <si>
    <t>frogbit</t>
  </si>
  <si>
    <r>
      <t>Zantedeschia alpina-</t>
    </r>
    <r>
      <rPr>
        <b/>
        <sz val="10"/>
        <color theme="1"/>
        <rFont val="Calibri"/>
        <family val="2"/>
        <scheme val="minor"/>
      </rPr>
      <t>NEW</t>
    </r>
  </si>
  <si>
    <r>
      <t>Zantedeschia himalaya</t>
    </r>
    <r>
      <rPr>
        <b/>
        <sz val="10"/>
        <color theme="1"/>
        <rFont val="Calibri"/>
        <family val="2"/>
        <scheme val="minor"/>
      </rPr>
      <t>-NEW</t>
    </r>
  </si>
  <si>
    <r>
      <rPr>
        <b/>
        <sz val="11"/>
        <color rgb="FFFF0000"/>
        <rFont val="Calibri"/>
        <family val="2"/>
        <scheme val="minor"/>
      </rPr>
      <t>NEW FOR 2019</t>
    </r>
    <r>
      <rPr>
        <sz val="11"/>
        <rFont val="Calibri"/>
        <family val="2"/>
        <scheme val="minor"/>
      </rPr>
      <t>- with label and barcode</t>
    </r>
  </si>
  <si>
    <r>
      <rPr>
        <b/>
        <sz val="11"/>
        <color rgb="FFFF0000"/>
        <rFont val="Calibri"/>
        <family val="2"/>
        <scheme val="minor"/>
      </rPr>
      <t>NEW FOR 2019</t>
    </r>
    <r>
      <rPr>
        <sz val="11"/>
        <rFont val="Calibri"/>
        <family val="2"/>
        <scheme val="minor"/>
      </rPr>
      <t>- bunch with lead</t>
    </r>
  </si>
  <si>
    <r>
      <rPr>
        <b/>
        <sz val="9"/>
        <color rgb="FFFF0000"/>
        <rFont val="Calibri"/>
        <family val="2"/>
        <scheme val="minor"/>
      </rPr>
      <t>NEW FOR 2019-</t>
    </r>
    <r>
      <rPr>
        <sz val="7"/>
        <color theme="1"/>
        <rFont val="Calibri"/>
        <family val="2"/>
        <scheme val="minor"/>
      </rPr>
      <t xml:space="preserve"> with label and barcode</t>
    </r>
  </si>
  <si>
    <r>
      <rPr>
        <b/>
        <sz val="9"/>
        <color rgb="FFFF0000"/>
        <rFont val="Calibri"/>
        <family val="2"/>
        <scheme val="minor"/>
      </rPr>
      <t>NEW FOR 2019-</t>
    </r>
    <r>
      <rPr>
        <sz val="7"/>
        <color theme="1"/>
        <rFont val="Calibri"/>
        <family val="2"/>
        <scheme val="minor"/>
      </rPr>
      <t xml:space="preserve"> bunch with lead</t>
    </r>
  </si>
  <si>
    <t>£3.99  Tray of 8</t>
  </si>
  <si>
    <t>BUY 4 OUTERS GET ANOTHER OUTER FREE!</t>
  </si>
  <si>
    <t xml:space="preserve">* FOC 3x Snail &amp; 1x Oxy Plant </t>
  </si>
  <si>
    <t>wonderful compact variety with cream speckled foliage</t>
  </si>
  <si>
    <t>Total 2L with Floating Island (x4)</t>
  </si>
  <si>
    <t>Total 2L Gardeners Choice (x3)</t>
  </si>
  <si>
    <t>Total Netted Oxys (x50)</t>
  </si>
  <si>
    <t>Total 2L Oxygenators (x3)</t>
  </si>
  <si>
    <t>Total 1L Oxygenators (x10)</t>
  </si>
  <si>
    <t>Total 1L Marginals (x10)</t>
  </si>
  <si>
    <t>Total 5L Marginals (x1)</t>
  </si>
  <si>
    <t>Total 10L Marginals (x1)</t>
  </si>
  <si>
    <t>Total 8L Planted Contours (x1)</t>
  </si>
  <si>
    <t>Total 10L Waterlilies (x1)</t>
  </si>
  <si>
    <t>Total 3L Double/Triple Waterlilies (x1)</t>
  </si>
  <si>
    <t>Total 5L Waterlilies (x1)</t>
  </si>
  <si>
    <t>Total 1L Deep Water (x1)</t>
  </si>
  <si>
    <t>Total 2L Deep Water (x1)</t>
  </si>
  <si>
    <t>Total Molluscs (x1)</t>
  </si>
  <si>
    <t>Canna Happy Wilma</t>
  </si>
  <si>
    <t>Canna Happy Cleo</t>
  </si>
  <si>
    <t>Canna Happy Isabel</t>
  </si>
  <si>
    <t>Canna Happy Emily</t>
  </si>
  <si>
    <t>Canna Happy Julia</t>
  </si>
  <si>
    <t>vibrant orange petals over green foliage</t>
  </si>
  <si>
    <t> shines like the sun with its beautiful yellow colour</t>
  </si>
  <si>
    <t>eye catching pink flower and green foliage</t>
  </si>
  <si>
    <t>deep green/purple foliage over red petals</t>
  </si>
  <si>
    <t>large, blousy, lilylike blooms in a salmon shade</t>
  </si>
  <si>
    <t>Big</t>
  </si>
  <si>
    <t>BUDS</t>
  </si>
  <si>
    <t>BIG</t>
  </si>
  <si>
    <t>V. BIG</t>
  </si>
  <si>
    <t>DESCRIPTION</t>
  </si>
  <si>
    <t xml:space="preserve">Alisma parviflora  </t>
  </si>
  <si>
    <t>American plantain</t>
  </si>
  <si>
    <t>small dainty white flowers over rounded foliage</t>
  </si>
  <si>
    <t>Lobelia speciosa deep rose</t>
  </si>
  <si>
    <t>contrasting deep rose flower spikes over green foliage</t>
  </si>
  <si>
    <t>cardinal</t>
  </si>
  <si>
    <t>Canna Happy Carmen</t>
  </si>
  <si>
    <t>beautiful flowers dark red and very compact</t>
  </si>
  <si>
    <t>1,3</t>
  </si>
  <si>
    <t>BUY 50 OR MORE FOR A DISCOUNTED PRICE!</t>
  </si>
  <si>
    <t>Very Good</t>
  </si>
  <si>
    <t>Tubbed @ £1.38 - Tray of 8</t>
  </si>
  <si>
    <t>Pygmaea Rubra</t>
  </si>
  <si>
    <t>Pygmaea Alba</t>
  </si>
  <si>
    <t>1L Small Named Waterlilies @ £8.27</t>
  </si>
  <si>
    <t>Total 1L Small Named Waterlilies (x3)</t>
  </si>
  <si>
    <t>Lobelia speciosa deep Red</t>
  </si>
  <si>
    <t>BEST</t>
  </si>
  <si>
    <t>Size</t>
  </si>
  <si>
    <t>stock_1l_x10</t>
  </si>
  <si>
    <t>stock_2l_x3</t>
  </si>
  <si>
    <t>stock_2l_x4</t>
  </si>
  <si>
    <t>stock_3l_x1</t>
  </si>
  <si>
    <t>stock_5l_x1</t>
  </si>
  <si>
    <t>stock_8l_x1</t>
  </si>
  <si>
    <t>stock_10l_x1</t>
  </si>
  <si>
    <t>stock_bunched_x50</t>
  </si>
  <si>
    <t>stock_netted_x50</t>
  </si>
  <si>
    <t>stock_blue_pot_x8</t>
  </si>
  <si>
    <t>stock_tubbed_x10</t>
  </si>
  <si>
    <t>stock_loose_x1</t>
  </si>
  <si>
    <t>stock_1l_x1</t>
  </si>
  <si>
    <t>stock_2l_x1</t>
  </si>
  <si>
    <t>stock_1l_x5</t>
  </si>
  <si>
    <t>stock_1l_x3</t>
  </si>
  <si>
    <t>stock_pack_x25</t>
  </si>
  <si>
    <t>stock_pack_x50</t>
  </si>
  <si>
    <t>stock_pack_x10</t>
  </si>
  <si>
    <t>stock_1l_x4</t>
  </si>
  <si>
    <t>No.</t>
  </si>
  <si>
    <t>Mimulus guttatus</t>
  </si>
  <si>
    <t>Oenathe fistulosa</t>
  </si>
  <si>
    <t>Scirpus albascens</t>
  </si>
  <si>
    <t>N. Virginalis</t>
  </si>
  <si>
    <t>July Trolley Deal</t>
  </si>
  <si>
    <t>marginals, oxys, mixed blue pots, contour &amp; waterlilies</t>
  </si>
  <si>
    <t>48x 2L Marginals/Oxys, 40x Mixed Blue Pots, 8x 8LContour &amp; 24x 2L  Waterlilies</t>
  </si>
  <si>
    <t>Iris sibirica 'Gull's Wing'</t>
  </si>
  <si>
    <t>Siberian Iris</t>
  </si>
  <si>
    <t>flowers are white, of course, leaning toward ivory</t>
  </si>
  <si>
    <t>Special Offer- 70p each</t>
  </si>
  <si>
    <t>Special Offer- 50p each</t>
  </si>
  <si>
    <t>BEST V.BIG</t>
  </si>
  <si>
    <t>Large Blue Pot</t>
  </si>
  <si>
    <t>21 per shelf</t>
  </si>
  <si>
    <t>Large Blue Pot- Pistia stratiotes</t>
  </si>
  <si>
    <t xml:space="preserve">Large Pot @ £2.49 </t>
  </si>
  <si>
    <t>Schizostylis Oregon Sunset</t>
  </si>
  <si>
    <t>A summer sunset sky sums up the colours of this flower</t>
  </si>
  <si>
    <t>Loose @ £1.04 - Pack of 10</t>
  </si>
  <si>
    <t>Small Pygmaea</t>
  </si>
  <si>
    <r>
      <t xml:space="preserve">5L Waterlilies @ £9.45 </t>
    </r>
    <r>
      <rPr>
        <b/>
        <sz val="16"/>
        <color rgb="FFFF0000"/>
        <rFont val="Calibri"/>
        <family val="2"/>
        <scheme val="minor"/>
      </rPr>
      <t>BIG</t>
    </r>
  </si>
  <si>
    <t>Blue Pot Pistia Stratiotes</t>
  </si>
  <si>
    <t>Total Blue Pot  (x1)</t>
  </si>
  <si>
    <t>Blue Pot- £2.49</t>
  </si>
  <si>
    <t>22.07.2019</t>
  </si>
  <si>
    <t>Week 30</t>
  </si>
  <si>
    <t>Total Floating Plants  (x1)</t>
  </si>
  <si>
    <t>Bunched Ceratophyllum Demersum</t>
  </si>
  <si>
    <t>Netted Ceratophyllum Demersum</t>
  </si>
  <si>
    <t>Total Bunches/Nets (x1)</t>
  </si>
  <si>
    <t>Bunched Elodea Canadensis</t>
  </si>
  <si>
    <t>Bunched Fontinalis</t>
  </si>
  <si>
    <t>Bunched Hottonia palustris</t>
  </si>
  <si>
    <t>Bunched Myriophyllum Spicatum</t>
  </si>
  <si>
    <t>Bunched Potamogeton Crispus</t>
  </si>
  <si>
    <t>Bunched Ranunculus Aquatilis</t>
  </si>
  <si>
    <t>Netted Elodea Canadensis</t>
  </si>
  <si>
    <t>Netted Fontinalis</t>
  </si>
  <si>
    <t>Netted Hottonia palustris</t>
  </si>
  <si>
    <t>Netted Myriophyllum Spicatum</t>
  </si>
  <si>
    <t>Netted Ranunculus Aquatilis</t>
  </si>
  <si>
    <r>
      <t xml:space="preserve">Oxygenators- Bunched@ £1.04/ Netted@ £1.26- </t>
    </r>
    <r>
      <rPr>
        <b/>
        <sz val="12"/>
        <color theme="1"/>
        <rFont val="Calibri"/>
        <family val="2"/>
        <scheme val="minor"/>
      </rPr>
      <t>SEE PHOTO</t>
    </r>
  </si>
  <si>
    <t>BEST-£4.95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</si>
</sst>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00"/>
  </numFmts>
  <fonts count="1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color rgb="FF506C9A"/>
      <name val="Microsoft PhagsPa"/>
      <family val="2"/>
    </font>
    <font>
      <sz val="11"/>
      <color theme="1"/>
      <name val="Microsoft PhagsPa"/>
      <family val="2"/>
    </font>
    <font>
      <b/>
      <sz val="10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Microsoft PhagsP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 Light"/>
      <family val="2"/>
      <scheme val="major"/>
    </font>
    <font>
      <i/>
      <sz val="8"/>
      <color theme="4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7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Gulim"/>
      <family val="2"/>
      <charset val="129"/>
    </font>
    <font>
      <b/>
      <sz val="12"/>
      <color theme="1"/>
      <name val="Gulim"/>
      <family val="2"/>
      <charset val="129"/>
    </font>
    <font>
      <sz val="11"/>
      <color theme="1"/>
      <name val="Gulim"/>
      <family val="2"/>
      <charset val="129"/>
    </font>
    <font>
      <sz val="11"/>
      <color rgb="FFFF0000"/>
      <name val="Gulim"/>
      <family val="2"/>
      <charset val="129"/>
    </font>
    <font>
      <sz val="11"/>
      <color theme="0"/>
      <name val="Gulim"/>
      <family val="2"/>
      <charset val="129"/>
    </font>
    <font>
      <sz val="11"/>
      <name val="Gulim"/>
      <family val="2"/>
      <charset val="129"/>
    </font>
    <font>
      <b/>
      <sz val="8"/>
      <color theme="1"/>
      <name val="Gulim"/>
      <family val="2"/>
      <charset val="129"/>
    </font>
    <font>
      <b/>
      <sz val="9"/>
      <name val="Calibri"/>
      <family val="2"/>
      <scheme val="minor"/>
    </font>
    <font>
      <b/>
      <sz val="10"/>
      <color rgb="FFFF0000"/>
      <name val="Microsoft PhagsPa"/>
      <family val="2"/>
    </font>
    <font>
      <sz val="10"/>
      <color rgb="FFFF0000"/>
      <name val="Microsoft PhagsPa"/>
      <family val="2"/>
    </font>
    <font>
      <b/>
      <sz val="22"/>
      <color rgb="FFFF0000"/>
      <name val="Microsoft PhagsPa"/>
      <family val="2"/>
    </font>
    <font>
      <b/>
      <sz val="12"/>
      <color theme="1"/>
      <name val="Gulim"/>
      <family val="2"/>
    </font>
    <font>
      <b/>
      <sz val="14"/>
      <color indexed="10"/>
      <name val="Microsoft PhagsPa"/>
      <family val="2"/>
    </font>
    <font>
      <sz val="14"/>
      <color rgb="FF545454"/>
      <name val="Microsoft PhagsPa"/>
      <family val="2"/>
    </font>
    <font>
      <b/>
      <sz val="10"/>
      <color theme="4" tint="-0.249977111117893"/>
      <name val="Microsoft PhagsPa"/>
      <family val="2"/>
    </font>
    <font>
      <b/>
      <sz val="10"/>
      <color theme="1"/>
      <name val="Microsoft PhagsPa"/>
      <family val="2"/>
    </font>
    <font>
      <sz val="10"/>
      <name val="Microsoft PhagsPa"/>
      <family val="2"/>
    </font>
    <font>
      <sz val="10"/>
      <color theme="1"/>
      <name val="Microsoft PhagsPa"/>
      <family val="2"/>
    </font>
    <font>
      <sz val="12"/>
      <color rgb="FFFF0000"/>
      <name val="Microsoft PhagsPa"/>
      <family val="2"/>
    </font>
    <font>
      <b/>
      <sz val="11"/>
      <name val="Microsoft PhagsPa"/>
      <family val="2"/>
    </font>
    <font>
      <b/>
      <sz val="14"/>
      <color rgb="FFFF0000"/>
      <name val="Microsoft PhagsPa"/>
      <family val="2"/>
    </font>
    <font>
      <b/>
      <sz val="1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7.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color rgb="FF305496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9"/>
      <color rgb="FFA64C0E"/>
      <name val="Calibri"/>
      <family val="2"/>
      <scheme val="minor"/>
    </font>
    <font>
      <b/>
      <sz val="8"/>
      <color rgb="FFC85C12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243E72"/>
      <name val="Calibri"/>
      <family val="2"/>
      <scheme val="minor"/>
    </font>
    <font>
      <b/>
      <sz val="16"/>
      <color rgb="FF243E72"/>
      <name val="Calibri"/>
      <family val="2"/>
      <scheme val="minor"/>
    </font>
    <font>
      <b/>
      <sz val="14"/>
      <color rgb="FF243E72"/>
      <name val="Calibri"/>
      <family val="2"/>
      <scheme val="minor"/>
    </font>
    <font>
      <sz val="11"/>
      <color rgb="FF243E72"/>
      <name val="Calibri"/>
      <family val="2"/>
      <scheme val="minor"/>
    </font>
    <font>
      <b/>
      <sz val="20"/>
      <color rgb="FF243E72"/>
      <name val="Calibri"/>
      <family val="2"/>
      <scheme val="minor"/>
    </font>
    <font>
      <b/>
      <sz val="9"/>
      <color rgb="FF243E72"/>
      <name val="Calibri"/>
      <family val="2"/>
      <scheme val="minor"/>
    </font>
    <font>
      <sz val="7"/>
      <color rgb="FF243E72"/>
      <name val="Calibri"/>
      <family val="2"/>
      <scheme val="minor"/>
    </font>
    <font>
      <sz val="8"/>
      <color rgb="FF243E72"/>
      <name val="Calibri"/>
      <family val="2"/>
      <scheme val="minor"/>
    </font>
    <font>
      <b/>
      <sz val="8"/>
      <color rgb="FF243E72"/>
      <name val="Calibri"/>
      <family val="2"/>
      <scheme val="minor"/>
    </font>
    <font>
      <b/>
      <sz val="10"/>
      <color theme="0"/>
      <name val="Microsoft PhagsPa"/>
      <family val="2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"/>
      <color rgb="FF5BFFA5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E26714"/>
      <name val="Calibri"/>
      <family val="2"/>
      <scheme val="minor"/>
    </font>
    <font>
      <b/>
      <sz val="9"/>
      <color rgb="FFE26714"/>
      <name val="Calibri"/>
      <family val="2"/>
      <scheme val="minor"/>
    </font>
    <font>
      <b/>
      <sz val="16"/>
      <color rgb="FFE26714"/>
      <name val="Calibri"/>
      <family val="2"/>
      <scheme val="minor"/>
    </font>
    <font>
      <b/>
      <sz val="14"/>
      <color rgb="FFE26714"/>
      <name val="Calibri"/>
      <family val="2"/>
      <scheme val="minor"/>
    </font>
    <font>
      <b/>
      <sz val="20"/>
      <color rgb="FFE26714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3.5"/>
      <color rgb="FFFF0000"/>
      <name val="Calibri"/>
      <family val="2"/>
      <scheme val="minor"/>
    </font>
    <font>
      <sz val="10"/>
      <color theme="1"/>
      <name val="Gulim"/>
      <family val="2"/>
      <charset val="129"/>
    </font>
    <font>
      <b/>
      <sz val="16"/>
      <color rgb="FFFF0000"/>
      <name val="Calibri"/>
      <family val="2"/>
      <scheme val="minor"/>
    </font>
    <font>
      <sz val="14"/>
      <color theme="0"/>
      <name val="Microsoft PhagsPa"/>
      <family val="2"/>
    </font>
    <font>
      <sz val="10"/>
      <color theme="0"/>
      <name val="Microsoft PhagsPa"/>
      <family val="2"/>
    </font>
    <font>
      <sz val="11"/>
      <color theme="0"/>
      <name val="Microsoft PhagsPa"/>
      <family val="2"/>
    </font>
    <font>
      <sz val="7"/>
      <color theme="0"/>
      <name val="Microsoft PhagsPa"/>
      <family val="2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E9AE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8D86"/>
        <bgColor indexed="64"/>
      </patternFill>
    </fill>
    <fill>
      <patternFill patternType="solid">
        <fgColor rgb="FF9A57C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30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hair">
        <color auto="1"/>
      </top>
      <bottom style="hair">
        <color auto="1"/>
      </bottom>
      <diagonal/>
    </border>
    <border>
      <left/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 style="medium">
        <color rgb="FFFF0000"/>
      </bottom>
      <diagonal/>
    </border>
    <border>
      <left/>
      <right style="thin">
        <color auto="1"/>
      </right>
      <top style="hair">
        <color auto="1"/>
      </top>
      <bottom style="medium">
        <color rgb="FFFF0000"/>
      </bottom>
      <diagonal/>
    </border>
    <border>
      <left style="thin">
        <color auto="1"/>
      </left>
      <right/>
      <top style="hair">
        <color auto="1"/>
      </top>
      <bottom style="medium">
        <color rgb="FFFF0000"/>
      </bottom>
      <diagonal/>
    </border>
    <border>
      <left/>
      <right/>
      <top style="hair">
        <color auto="1"/>
      </top>
      <bottom style="medium">
        <color rgb="FFFF0000"/>
      </bottom>
      <diagonal/>
    </border>
    <border>
      <left/>
      <right style="hair">
        <color auto="1"/>
      </right>
      <top style="hair">
        <color auto="1"/>
      </top>
      <bottom style="medium">
        <color rgb="FFFF0000"/>
      </bottom>
      <diagonal/>
    </border>
    <border>
      <left/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medium">
        <color rgb="FFFF0000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rgb="FFFF0000"/>
      </right>
      <top/>
      <bottom style="hair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thin">
        <color auto="1"/>
      </right>
      <top style="medium">
        <color rgb="FF00B050"/>
      </top>
      <bottom/>
      <diagonal/>
    </border>
    <border>
      <left style="thin">
        <color auto="1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hair">
        <color auto="1"/>
      </top>
      <bottom style="hair">
        <color auto="1"/>
      </bottom>
      <diagonal/>
    </border>
    <border>
      <left/>
      <right style="medium">
        <color rgb="FF00B050"/>
      </right>
      <top style="hair">
        <color auto="1"/>
      </top>
      <bottom style="hair">
        <color auto="1"/>
      </bottom>
      <diagonal/>
    </border>
    <border>
      <left style="medium">
        <color rgb="FF00B050"/>
      </left>
      <right/>
      <top style="hair">
        <color auto="1"/>
      </top>
      <bottom style="medium">
        <color rgb="FF00B050"/>
      </bottom>
      <diagonal/>
    </border>
    <border>
      <left/>
      <right style="thin">
        <color auto="1"/>
      </right>
      <top style="hair">
        <color auto="1"/>
      </top>
      <bottom style="medium">
        <color rgb="FF00B050"/>
      </bottom>
      <diagonal/>
    </border>
    <border>
      <left style="thin">
        <color auto="1"/>
      </left>
      <right/>
      <top style="hair">
        <color auto="1"/>
      </top>
      <bottom style="medium">
        <color rgb="FF00B050"/>
      </bottom>
      <diagonal/>
    </border>
    <border>
      <left/>
      <right/>
      <top style="hair">
        <color auto="1"/>
      </top>
      <bottom style="medium">
        <color rgb="FF00B050"/>
      </bottom>
      <diagonal/>
    </border>
    <border>
      <left/>
      <right style="hair">
        <color auto="1"/>
      </right>
      <top style="hair">
        <color auto="1"/>
      </top>
      <bottom style="medium">
        <color rgb="FF00B050"/>
      </bottom>
      <diagonal/>
    </border>
    <border>
      <left/>
      <right style="medium">
        <color rgb="FF00B050"/>
      </right>
      <top style="hair">
        <color auto="1"/>
      </top>
      <bottom style="medium">
        <color rgb="FF00B050"/>
      </bottom>
      <diagonal/>
    </border>
    <border>
      <left style="medium">
        <color rgb="FF00B050"/>
      </left>
      <right/>
      <top/>
      <bottom style="hair">
        <color auto="1"/>
      </bottom>
      <diagonal/>
    </border>
    <border>
      <left/>
      <right style="medium">
        <color rgb="FF00B050"/>
      </right>
      <top/>
      <bottom style="hair">
        <color auto="1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thin">
        <color auto="1"/>
      </right>
      <top/>
      <bottom style="medium">
        <color rgb="FF00B050"/>
      </bottom>
      <diagonal/>
    </border>
    <border>
      <left style="thin">
        <color auto="1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/>
      <top style="hair">
        <color auto="1"/>
      </top>
      <bottom/>
      <diagonal/>
    </border>
    <border>
      <left/>
      <right style="medium">
        <color rgb="FFFF0000"/>
      </right>
      <top style="hair">
        <color auto="1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thin">
        <color auto="1"/>
      </right>
      <top style="medium">
        <color rgb="FF7030A0"/>
      </top>
      <bottom/>
      <diagonal/>
    </border>
    <border>
      <left style="thin">
        <color auto="1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thin">
        <color auto="1"/>
      </right>
      <top/>
      <bottom style="medium">
        <color rgb="FF7030A0"/>
      </bottom>
      <diagonal/>
    </border>
    <border>
      <left style="thin">
        <color auto="1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/>
      <bottom style="hair">
        <color auto="1"/>
      </bottom>
      <diagonal/>
    </border>
    <border>
      <left/>
      <right style="medium">
        <color rgb="FF7030A0"/>
      </right>
      <top/>
      <bottom style="hair">
        <color auto="1"/>
      </bottom>
      <diagonal/>
    </border>
    <border>
      <left style="medium">
        <color rgb="FF7030A0"/>
      </left>
      <right/>
      <top style="hair">
        <color auto="1"/>
      </top>
      <bottom style="hair">
        <color auto="1"/>
      </bottom>
      <diagonal/>
    </border>
    <border>
      <left style="medium">
        <color rgb="FF7030A0"/>
      </left>
      <right/>
      <top style="hair">
        <color auto="1"/>
      </top>
      <bottom style="medium">
        <color rgb="FF7030A0"/>
      </bottom>
      <diagonal/>
    </border>
    <border>
      <left/>
      <right style="hair">
        <color auto="1"/>
      </right>
      <top/>
      <bottom style="medium">
        <color rgb="FF7030A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thin">
        <color auto="1"/>
      </right>
      <top style="medium">
        <color rgb="FF0070C0"/>
      </top>
      <bottom/>
      <diagonal/>
    </border>
    <border>
      <left style="thin">
        <color auto="1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thin">
        <color auto="1"/>
      </bottom>
      <diagonal/>
    </border>
    <border>
      <left/>
      <right style="medium">
        <color rgb="FF0070C0"/>
      </right>
      <top/>
      <bottom style="thin">
        <color auto="1"/>
      </bottom>
      <diagonal/>
    </border>
    <border>
      <left style="medium">
        <color rgb="FF0070C0"/>
      </left>
      <right/>
      <top/>
      <bottom style="hair">
        <color auto="1"/>
      </bottom>
      <diagonal/>
    </border>
    <border>
      <left/>
      <right style="medium">
        <color rgb="FF0070C0"/>
      </right>
      <top/>
      <bottom style="hair">
        <color auto="1"/>
      </bottom>
      <diagonal/>
    </border>
    <border>
      <left style="medium">
        <color rgb="FF0070C0"/>
      </left>
      <right/>
      <top style="hair">
        <color auto="1"/>
      </top>
      <bottom style="hair">
        <color auto="1"/>
      </bottom>
      <diagonal/>
    </border>
    <border>
      <left/>
      <right style="medium">
        <color rgb="FF0070C0"/>
      </right>
      <top style="hair">
        <color auto="1"/>
      </top>
      <bottom style="hair">
        <color auto="1"/>
      </bottom>
      <diagonal/>
    </border>
    <border>
      <left style="medium">
        <color rgb="FF0070C0"/>
      </left>
      <right/>
      <top style="hair">
        <color auto="1"/>
      </top>
      <bottom/>
      <diagonal/>
    </border>
    <border>
      <left style="medium">
        <color rgb="FF0070C0"/>
      </left>
      <right/>
      <top style="hair">
        <color auto="1"/>
      </top>
      <bottom style="medium">
        <color rgb="FF0070C0"/>
      </bottom>
      <diagonal/>
    </border>
    <border>
      <left/>
      <right style="thin">
        <color auto="1"/>
      </right>
      <top style="hair">
        <color auto="1"/>
      </top>
      <bottom style="medium">
        <color rgb="FF0070C0"/>
      </bottom>
      <diagonal/>
    </border>
    <border>
      <left style="thin">
        <color auto="1"/>
      </left>
      <right/>
      <top style="hair">
        <color auto="1"/>
      </top>
      <bottom style="medium">
        <color rgb="FF0070C0"/>
      </bottom>
      <diagonal/>
    </border>
    <border>
      <left/>
      <right/>
      <top style="hair">
        <color auto="1"/>
      </top>
      <bottom style="medium">
        <color rgb="FF0070C0"/>
      </bottom>
      <diagonal/>
    </border>
    <border>
      <left/>
      <right style="hair">
        <color auto="1"/>
      </right>
      <top style="hair">
        <color auto="1"/>
      </top>
      <bottom style="medium">
        <color rgb="FF007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70C0"/>
      </bottom>
      <diagonal/>
    </border>
    <border>
      <left style="hair">
        <color auto="1"/>
      </left>
      <right/>
      <top style="hair">
        <color auto="1"/>
      </top>
      <bottom style="medium">
        <color rgb="FF0070C0"/>
      </bottom>
      <diagonal/>
    </border>
    <border>
      <left/>
      <right style="medium">
        <color rgb="FF0070C0"/>
      </right>
      <top style="hair">
        <color auto="1"/>
      </top>
      <bottom style="medium">
        <color rgb="FF0070C0"/>
      </bottom>
      <diagonal/>
    </border>
    <border>
      <left style="medium">
        <color rgb="FF0070C0"/>
      </left>
      <right/>
      <top style="thin">
        <color auto="1"/>
      </top>
      <bottom style="medium">
        <color rgb="FF0070C0"/>
      </bottom>
      <diagonal/>
    </border>
    <border>
      <left/>
      <right/>
      <top style="thin">
        <color auto="1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70C0"/>
      </bottom>
      <diagonal/>
    </border>
    <border>
      <left/>
      <right style="thin">
        <color auto="1"/>
      </right>
      <top style="thin">
        <color auto="1"/>
      </top>
      <bottom style="medium">
        <color rgb="FF0070C0"/>
      </bottom>
      <diagonal/>
    </border>
    <border>
      <left style="thin">
        <color auto="1"/>
      </left>
      <right/>
      <top style="thin">
        <color auto="1"/>
      </top>
      <bottom style="medium">
        <color rgb="FF0070C0"/>
      </bottom>
      <diagonal/>
    </border>
    <border>
      <left/>
      <right style="medium">
        <color rgb="FF0070C0"/>
      </right>
      <top style="thin">
        <color auto="1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thin">
        <color auto="1"/>
      </right>
      <top/>
      <bottom style="medium">
        <color rgb="FF0070C0"/>
      </bottom>
      <diagonal/>
    </border>
    <border>
      <left style="thin">
        <color auto="1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hair">
        <color auto="1"/>
      </right>
      <top/>
      <bottom style="medium">
        <color rgb="FF0070C0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thin">
        <color auto="1"/>
      </right>
      <top style="medium">
        <color theme="5"/>
      </top>
      <bottom/>
      <diagonal/>
    </border>
    <border>
      <left style="thin">
        <color auto="1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thin">
        <color auto="1"/>
      </right>
      <top/>
      <bottom style="medium">
        <color theme="5"/>
      </bottom>
      <diagonal/>
    </border>
    <border>
      <left style="thin">
        <color auto="1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 style="medium">
        <color rgb="FF0070C0"/>
      </top>
      <bottom style="hair">
        <color auto="1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/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medium">
        <color rgb="FF0070C0"/>
      </right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/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/>
      <top style="hair">
        <color rgb="FF0070C0"/>
      </top>
      <bottom style="hair">
        <color rgb="FF0070C0"/>
      </bottom>
      <diagonal/>
    </border>
    <border>
      <left style="medium">
        <color rgb="FF0070C0"/>
      </left>
      <right/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/>
      <right style="hair">
        <color auto="1"/>
      </right>
      <top/>
      <bottom style="medium">
        <color rgb="FF00B050"/>
      </bottom>
      <diagonal/>
    </border>
    <border>
      <left style="medium">
        <color rgb="FF0070C0"/>
      </left>
      <right/>
      <top style="medium">
        <color rgb="FF0070C0"/>
      </top>
      <bottom style="hair">
        <color auto="1"/>
      </bottom>
      <diagonal/>
    </border>
    <border>
      <left/>
      <right style="thin">
        <color auto="1"/>
      </right>
      <top style="medium">
        <color rgb="FF0070C0"/>
      </top>
      <bottom style="hair">
        <color auto="1"/>
      </bottom>
      <diagonal/>
    </border>
    <border>
      <left style="thin">
        <color auto="1"/>
      </left>
      <right/>
      <top style="medium">
        <color rgb="FF0070C0"/>
      </top>
      <bottom style="hair">
        <color auto="1"/>
      </bottom>
      <diagonal/>
    </border>
    <border>
      <left/>
      <right style="hair">
        <color auto="1"/>
      </right>
      <top style="medium">
        <color rgb="FF0070C0"/>
      </top>
      <bottom style="hair">
        <color auto="1"/>
      </bottom>
      <diagonal/>
    </border>
    <border>
      <left/>
      <right style="medium">
        <color rgb="FF0070C0"/>
      </right>
      <top style="medium">
        <color rgb="FF0070C0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rgb="FF0070C0"/>
      </right>
      <top/>
      <bottom style="medium">
        <color theme="5"/>
      </bottom>
      <diagonal/>
    </border>
    <border>
      <left style="hair">
        <color rgb="FF0070C0"/>
      </left>
      <right/>
      <top/>
      <bottom style="medium">
        <color theme="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hair">
        <color auto="1"/>
      </bottom>
      <diagonal/>
    </border>
    <border>
      <left/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/>
      <top style="medium">
        <color rgb="FFFF0000"/>
      </top>
      <bottom style="hair">
        <color auto="1"/>
      </bottom>
      <diagonal/>
    </border>
    <border>
      <left/>
      <right/>
      <top style="medium">
        <color rgb="FFFF0000"/>
      </top>
      <bottom style="hair">
        <color auto="1"/>
      </bottom>
      <diagonal/>
    </border>
    <border>
      <left/>
      <right style="hair">
        <color auto="1"/>
      </right>
      <top style="medium">
        <color rgb="FFFF0000"/>
      </top>
      <bottom style="hair">
        <color auto="1"/>
      </bottom>
      <diagonal/>
    </border>
    <border>
      <left/>
      <right style="medium">
        <color rgb="FFFF0000"/>
      </right>
      <top style="medium">
        <color rgb="FFFF0000"/>
      </top>
      <bottom style="hair">
        <color auto="1"/>
      </bottom>
      <diagonal/>
    </border>
    <border>
      <left/>
      <right style="hair">
        <color auto="1"/>
      </right>
      <top/>
      <bottom style="medium">
        <color rgb="FFFF0000"/>
      </bottom>
      <diagonal/>
    </border>
    <border>
      <left/>
      <right style="hair">
        <color rgb="FF0070C0"/>
      </right>
      <top style="hair">
        <color indexed="64"/>
      </top>
      <bottom style="hair">
        <color indexed="64"/>
      </bottom>
      <diagonal/>
    </border>
    <border>
      <left style="hair">
        <color rgb="FF0070C0"/>
      </left>
      <right/>
      <top style="hair">
        <color indexed="64"/>
      </top>
      <bottom style="hair">
        <color indexed="64"/>
      </bottom>
      <diagonal/>
    </border>
    <border>
      <left/>
      <right style="hair">
        <color rgb="FF0070C0"/>
      </right>
      <top/>
      <bottom/>
      <diagonal/>
    </border>
    <border>
      <left style="hair">
        <color rgb="FF0070C0"/>
      </left>
      <right/>
      <top/>
      <bottom/>
      <diagonal/>
    </border>
    <border>
      <left/>
      <right/>
      <top style="hair">
        <color rgb="FF0070C0"/>
      </top>
      <bottom style="hair">
        <color indexed="64"/>
      </bottom>
      <diagonal/>
    </border>
    <border>
      <left/>
      <right style="hair">
        <color rgb="FF0070C0"/>
      </right>
      <top style="hair">
        <color rgb="FF0070C0"/>
      </top>
      <bottom style="hair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indexed="64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indexed="64"/>
      </bottom>
      <diagonal/>
    </border>
    <border>
      <left style="medium">
        <color rgb="FF0070C0"/>
      </left>
      <right/>
      <top style="hair">
        <color rgb="FF0070C0"/>
      </top>
      <bottom style="hair">
        <color indexed="64"/>
      </bottom>
      <diagonal/>
    </border>
    <border>
      <left style="hair">
        <color rgb="FF0070C0"/>
      </left>
      <right/>
      <top style="hair">
        <color rgb="FF0070C0"/>
      </top>
      <bottom style="hair">
        <color indexed="64"/>
      </bottom>
      <diagonal/>
    </border>
    <border>
      <left style="medium">
        <color rgb="FFE26714"/>
      </left>
      <right/>
      <top/>
      <bottom style="medium">
        <color rgb="FFE26714"/>
      </bottom>
      <diagonal/>
    </border>
    <border>
      <left/>
      <right style="thin">
        <color auto="1"/>
      </right>
      <top/>
      <bottom style="medium">
        <color rgb="FFE26714"/>
      </bottom>
      <diagonal/>
    </border>
    <border>
      <left style="thin">
        <color auto="1"/>
      </left>
      <right/>
      <top/>
      <bottom style="medium">
        <color rgb="FFE26714"/>
      </bottom>
      <diagonal/>
    </border>
    <border>
      <left/>
      <right/>
      <top/>
      <bottom style="medium">
        <color rgb="FFE26714"/>
      </bottom>
      <diagonal/>
    </border>
    <border>
      <left/>
      <right style="hair">
        <color auto="1"/>
      </right>
      <top/>
      <bottom style="medium">
        <color rgb="FFE26714"/>
      </bottom>
      <diagonal/>
    </border>
    <border>
      <left/>
      <right style="medium">
        <color rgb="FFE26714"/>
      </right>
      <top/>
      <bottom style="medium">
        <color rgb="FFE26714"/>
      </bottom>
      <diagonal/>
    </border>
    <border>
      <left/>
      <right/>
      <top style="hair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hair">
        <color indexed="64"/>
      </bottom>
      <diagonal/>
    </border>
    <border>
      <left/>
      <right style="hair">
        <color rgb="FF0070C0"/>
      </right>
      <top/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/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hair">
        <color rgb="FF0070C0"/>
      </left>
      <right/>
      <top/>
      <bottom style="medium">
        <color rgb="FF0070C0"/>
      </bottom>
      <diagonal/>
    </border>
    <border>
      <left/>
      <right style="hair">
        <color rgb="FF0070C0"/>
      </right>
      <top style="thin">
        <color rgb="FF0070C0"/>
      </top>
      <bottom style="hair">
        <color indexed="64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indexed="64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hair">
        <color indexed="64"/>
      </bottom>
      <diagonal/>
    </border>
    <border>
      <left style="medium">
        <color rgb="FF0070C0"/>
      </left>
      <right/>
      <top style="thin">
        <color rgb="FF0070C0"/>
      </top>
      <bottom style="hair">
        <color indexed="64"/>
      </bottom>
      <diagonal/>
    </border>
    <border>
      <left style="hair">
        <color rgb="FF0070C0"/>
      </left>
      <right/>
      <top style="thin">
        <color rgb="FF0070C0"/>
      </top>
      <bottom style="hair">
        <color indexed="64"/>
      </bottom>
      <diagonal/>
    </border>
    <border>
      <left/>
      <right/>
      <top style="thick">
        <color rgb="FFA64C0E"/>
      </top>
      <bottom/>
      <diagonal/>
    </border>
    <border>
      <left style="thick">
        <color rgb="FFA64C0E"/>
      </left>
      <right/>
      <top style="thick">
        <color rgb="FFA64C0E"/>
      </top>
      <bottom/>
      <diagonal/>
    </border>
    <border>
      <left/>
      <right style="thin">
        <color auto="1"/>
      </right>
      <top style="thick">
        <color rgb="FFA64C0E"/>
      </top>
      <bottom/>
      <diagonal/>
    </border>
    <border>
      <left style="thin">
        <color auto="1"/>
      </left>
      <right/>
      <top style="thick">
        <color rgb="FFA64C0E"/>
      </top>
      <bottom/>
      <diagonal/>
    </border>
    <border>
      <left/>
      <right style="thick">
        <color rgb="FFA64C0E"/>
      </right>
      <top style="thick">
        <color rgb="FFA64C0E"/>
      </top>
      <bottom/>
      <diagonal/>
    </border>
    <border>
      <left style="thick">
        <color rgb="FFA64C0E"/>
      </left>
      <right/>
      <top/>
      <bottom/>
      <diagonal/>
    </border>
    <border>
      <left/>
      <right style="thick">
        <color rgb="FFA64C0E"/>
      </right>
      <top/>
      <bottom/>
      <diagonal/>
    </border>
    <border>
      <left/>
      <right style="thick">
        <color rgb="FFA64C0E"/>
      </right>
      <top/>
      <bottom style="hair">
        <color auto="1"/>
      </bottom>
      <diagonal/>
    </border>
    <border>
      <left style="thick">
        <color rgb="FFA64C0E"/>
      </left>
      <right/>
      <top style="hair">
        <color auto="1"/>
      </top>
      <bottom style="thick">
        <color rgb="FFA64C0E"/>
      </bottom>
      <diagonal/>
    </border>
    <border>
      <left/>
      <right style="thin">
        <color auto="1"/>
      </right>
      <top style="hair">
        <color auto="1"/>
      </top>
      <bottom style="thick">
        <color rgb="FFA64C0E"/>
      </bottom>
      <diagonal/>
    </border>
    <border>
      <left style="thin">
        <color auto="1"/>
      </left>
      <right/>
      <top style="hair">
        <color auto="1"/>
      </top>
      <bottom style="thick">
        <color rgb="FFA64C0E"/>
      </bottom>
      <diagonal/>
    </border>
    <border>
      <left/>
      <right/>
      <top style="hair">
        <color auto="1"/>
      </top>
      <bottom style="thick">
        <color rgb="FFA64C0E"/>
      </bottom>
      <diagonal/>
    </border>
    <border>
      <left/>
      <right style="hair">
        <color auto="1"/>
      </right>
      <top style="hair">
        <color auto="1"/>
      </top>
      <bottom style="thick">
        <color rgb="FFA64C0E"/>
      </bottom>
      <diagonal/>
    </border>
    <border>
      <left/>
      <right style="thick">
        <color rgb="FFA64C0E"/>
      </right>
      <top style="hair">
        <color auto="1"/>
      </top>
      <bottom style="thick">
        <color rgb="FFA64C0E"/>
      </bottom>
      <diagonal/>
    </border>
    <border>
      <left style="thick">
        <color rgb="FFA64C0E"/>
      </left>
      <right/>
      <top/>
      <bottom style="thick">
        <color rgb="FFA64C0E"/>
      </bottom>
      <diagonal/>
    </border>
    <border>
      <left/>
      <right style="thin">
        <color auto="1"/>
      </right>
      <top/>
      <bottom style="thick">
        <color rgb="FFA64C0E"/>
      </bottom>
      <diagonal/>
    </border>
    <border>
      <left style="thin">
        <color auto="1"/>
      </left>
      <right/>
      <top/>
      <bottom style="thick">
        <color rgb="FFA64C0E"/>
      </bottom>
      <diagonal/>
    </border>
    <border>
      <left/>
      <right/>
      <top/>
      <bottom style="thick">
        <color rgb="FFA64C0E"/>
      </bottom>
      <diagonal/>
    </border>
    <border>
      <left/>
      <right style="thick">
        <color rgb="FFA64C0E"/>
      </right>
      <top/>
      <bottom style="thick">
        <color rgb="FFA64C0E"/>
      </bottom>
      <diagonal/>
    </border>
    <border>
      <left style="hair">
        <color auto="1"/>
      </left>
      <right/>
      <top style="hair">
        <color auto="1"/>
      </top>
      <bottom style="medium">
        <color rgb="FFFF0000"/>
      </bottom>
      <diagonal/>
    </border>
    <border>
      <left style="hair">
        <color indexed="64"/>
      </left>
      <right/>
      <top/>
      <bottom style="medium">
        <color theme="5"/>
      </bottom>
      <diagonal/>
    </border>
    <border>
      <left/>
      <right style="hair">
        <color rgb="FF0070C0"/>
      </right>
      <top/>
      <bottom style="hair">
        <color indexed="64"/>
      </bottom>
      <diagonal/>
    </border>
    <border>
      <left style="medium">
        <color rgb="FFE26714"/>
      </left>
      <right/>
      <top style="medium">
        <color rgb="FFE26714"/>
      </top>
      <bottom/>
      <diagonal/>
    </border>
    <border>
      <left/>
      <right style="thin">
        <color auto="1"/>
      </right>
      <top style="medium">
        <color rgb="FFE26714"/>
      </top>
      <bottom/>
      <diagonal/>
    </border>
    <border>
      <left style="thin">
        <color auto="1"/>
      </left>
      <right/>
      <top style="medium">
        <color rgb="FFE26714"/>
      </top>
      <bottom/>
      <diagonal/>
    </border>
    <border>
      <left/>
      <right/>
      <top style="medium">
        <color rgb="FFE26714"/>
      </top>
      <bottom/>
      <diagonal/>
    </border>
    <border>
      <left/>
      <right style="medium">
        <color rgb="FFE26714"/>
      </right>
      <top style="medium">
        <color rgb="FFE26714"/>
      </top>
      <bottom/>
      <diagonal/>
    </border>
    <border>
      <left style="medium">
        <color rgb="FFE26714"/>
      </left>
      <right/>
      <top/>
      <bottom/>
      <diagonal/>
    </border>
    <border>
      <left/>
      <right style="medium">
        <color rgb="FFE26714"/>
      </right>
      <top style="hair">
        <color indexed="64"/>
      </top>
      <bottom style="hair">
        <color indexed="64"/>
      </bottom>
      <diagonal/>
    </border>
    <border>
      <left style="hair">
        <color rgb="FF0070C0"/>
      </left>
      <right/>
      <top/>
      <bottom style="hair">
        <color indexed="64"/>
      </bottom>
      <diagonal/>
    </border>
    <border>
      <left style="medium">
        <color rgb="FFE26714"/>
      </left>
      <right/>
      <top style="hair">
        <color indexed="64"/>
      </top>
      <bottom style="medium">
        <color rgb="FFE26714"/>
      </bottom>
      <diagonal/>
    </border>
    <border>
      <left/>
      <right style="hair">
        <color rgb="FF0070C0"/>
      </right>
      <top style="hair">
        <color indexed="64"/>
      </top>
      <bottom style="medium">
        <color rgb="FFE26714"/>
      </bottom>
      <diagonal/>
    </border>
    <border>
      <left style="hair">
        <color rgb="FF0070C0"/>
      </left>
      <right/>
      <top style="hair">
        <color indexed="64"/>
      </top>
      <bottom style="medium">
        <color rgb="FFE26714"/>
      </bottom>
      <diagonal/>
    </border>
    <border>
      <left/>
      <right/>
      <top style="hair">
        <color auto="1"/>
      </top>
      <bottom style="medium">
        <color rgb="FFE26714"/>
      </bottom>
      <diagonal/>
    </border>
    <border>
      <left/>
      <right style="medium">
        <color rgb="FFE26714"/>
      </right>
      <top style="hair">
        <color indexed="64"/>
      </top>
      <bottom style="medium">
        <color rgb="FFE26714"/>
      </bottom>
      <diagonal/>
    </border>
    <border>
      <left style="medium">
        <color rgb="FFE26714"/>
      </left>
      <right/>
      <top/>
      <bottom style="hair">
        <color indexed="64"/>
      </bottom>
      <diagonal/>
    </border>
    <border>
      <left/>
      <right style="medium">
        <color rgb="FFE26714"/>
      </right>
      <top/>
      <bottom style="hair">
        <color indexed="64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 style="hair">
        <color indexed="64"/>
      </bottom>
      <diagonal/>
    </border>
    <border>
      <left/>
      <right style="thin">
        <color auto="1"/>
      </right>
      <top style="medium">
        <color rgb="FF00B050"/>
      </top>
      <bottom style="hair">
        <color indexed="64"/>
      </bottom>
      <diagonal/>
    </border>
    <border>
      <left style="thin">
        <color auto="1"/>
      </left>
      <right/>
      <top style="medium">
        <color rgb="FF00B050"/>
      </top>
      <bottom style="hair">
        <color indexed="64"/>
      </bottom>
      <diagonal/>
    </border>
    <border>
      <left/>
      <right/>
      <top style="medium">
        <color rgb="FF00B050"/>
      </top>
      <bottom style="hair">
        <color indexed="64"/>
      </bottom>
      <diagonal/>
    </border>
    <border>
      <left/>
      <right style="hair">
        <color auto="1"/>
      </right>
      <top style="medium">
        <color rgb="FF00B050"/>
      </top>
      <bottom style="hair">
        <color indexed="64"/>
      </bottom>
      <diagonal/>
    </border>
    <border>
      <left/>
      <right style="medium">
        <color rgb="FF00B050"/>
      </right>
      <top style="medium">
        <color rgb="FF00B050"/>
      </top>
      <bottom style="hair">
        <color indexed="64"/>
      </bottom>
      <diagonal/>
    </border>
    <border>
      <left style="medium">
        <color rgb="FFA64C0E"/>
      </left>
      <right/>
      <top style="medium">
        <color rgb="FFA64C0E"/>
      </top>
      <bottom/>
      <diagonal/>
    </border>
    <border>
      <left/>
      <right style="thin">
        <color auto="1"/>
      </right>
      <top style="medium">
        <color rgb="FFA64C0E"/>
      </top>
      <bottom style="hair">
        <color auto="1"/>
      </bottom>
      <diagonal/>
    </border>
    <border>
      <left style="thin">
        <color auto="1"/>
      </left>
      <right/>
      <top style="medium">
        <color rgb="FFA64C0E"/>
      </top>
      <bottom style="hair">
        <color auto="1"/>
      </bottom>
      <diagonal/>
    </border>
    <border>
      <left/>
      <right/>
      <top style="medium">
        <color rgb="FFA64C0E"/>
      </top>
      <bottom/>
      <diagonal/>
    </border>
    <border>
      <left/>
      <right style="hair">
        <color auto="1"/>
      </right>
      <top style="medium">
        <color rgb="FFA64C0E"/>
      </top>
      <bottom style="hair">
        <color auto="1"/>
      </bottom>
      <diagonal/>
    </border>
    <border>
      <left style="hair">
        <color auto="1"/>
      </left>
      <right/>
      <top style="medium">
        <color rgb="FFA64C0E"/>
      </top>
      <bottom style="hair">
        <color auto="1"/>
      </bottom>
      <diagonal/>
    </border>
    <border>
      <left/>
      <right/>
      <top style="medium">
        <color rgb="FFA64C0E"/>
      </top>
      <bottom style="hair">
        <color auto="1"/>
      </bottom>
      <diagonal/>
    </border>
    <border>
      <left/>
      <right style="medium">
        <color rgb="FFA64C0E"/>
      </right>
      <top style="medium">
        <color rgb="FFA64C0E"/>
      </top>
      <bottom style="hair">
        <color auto="1"/>
      </bottom>
      <diagonal/>
    </border>
    <border>
      <left style="medium">
        <color rgb="FFA64C0E"/>
      </left>
      <right/>
      <top style="hair">
        <color auto="1"/>
      </top>
      <bottom/>
      <diagonal/>
    </border>
    <border>
      <left/>
      <right style="medium">
        <color rgb="FFA64C0E"/>
      </right>
      <top style="hair">
        <color auto="1"/>
      </top>
      <bottom style="hair">
        <color auto="1"/>
      </bottom>
      <diagonal/>
    </border>
    <border>
      <left style="medium">
        <color rgb="FFA64C0E"/>
      </left>
      <right/>
      <top style="hair">
        <color auto="1"/>
      </top>
      <bottom style="hair">
        <color indexed="64"/>
      </bottom>
      <diagonal/>
    </border>
    <border>
      <left style="medium">
        <color rgb="FFA64C0E"/>
      </left>
      <right/>
      <top/>
      <bottom/>
      <diagonal/>
    </border>
    <border>
      <left/>
      <right style="medium">
        <color rgb="FFA64C0E"/>
      </right>
      <top/>
      <bottom style="hair">
        <color auto="1"/>
      </bottom>
      <diagonal/>
    </border>
    <border>
      <left style="medium">
        <color rgb="FFA64C0E"/>
      </left>
      <right/>
      <top style="hair">
        <color auto="1"/>
      </top>
      <bottom style="medium">
        <color rgb="FFA64C0E"/>
      </bottom>
      <diagonal/>
    </border>
    <border>
      <left/>
      <right style="thin">
        <color auto="1"/>
      </right>
      <top style="hair">
        <color auto="1"/>
      </top>
      <bottom style="medium">
        <color rgb="FFA64C0E"/>
      </bottom>
      <diagonal/>
    </border>
    <border>
      <left style="thin">
        <color auto="1"/>
      </left>
      <right/>
      <top style="hair">
        <color auto="1"/>
      </top>
      <bottom style="medium">
        <color rgb="FFA64C0E"/>
      </bottom>
      <diagonal/>
    </border>
    <border>
      <left/>
      <right/>
      <top style="hair">
        <color auto="1"/>
      </top>
      <bottom style="medium">
        <color rgb="FFA64C0E"/>
      </bottom>
      <diagonal/>
    </border>
    <border>
      <left/>
      <right style="hair">
        <color auto="1"/>
      </right>
      <top style="hair">
        <color auto="1"/>
      </top>
      <bottom style="medium">
        <color rgb="FFA64C0E"/>
      </bottom>
      <diagonal/>
    </border>
    <border>
      <left/>
      <right style="medium">
        <color rgb="FFA64C0E"/>
      </right>
      <top style="hair">
        <color auto="1"/>
      </top>
      <bottom style="medium">
        <color rgb="FFA64C0E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E26714"/>
      </left>
      <right/>
      <top style="medium">
        <color rgb="FF0070C0"/>
      </top>
      <bottom style="hair">
        <color indexed="64"/>
      </bottom>
      <diagonal/>
    </border>
    <border>
      <left/>
      <right style="hair">
        <color rgb="FF0070C0"/>
      </right>
      <top style="medium">
        <color rgb="FF0070C0"/>
      </top>
      <bottom style="hair">
        <color indexed="64"/>
      </bottom>
      <diagonal/>
    </border>
    <border>
      <left style="hair">
        <color rgb="FF0070C0"/>
      </left>
      <right/>
      <top style="medium">
        <color rgb="FF0070C0"/>
      </top>
      <bottom style="hair">
        <color indexed="64"/>
      </bottom>
      <diagonal/>
    </border>
    <border>
      <left style="medium">
        <color rgb="FF0070C0"/>
      </left>
      <right/>
      <top style="hair">
        <color indexed="64"/>
      </top>
      <bottom style="hair">
        <color rgb="FF0070C0"/>
      </bottom>
      <diagonal/>
    </border>
    <border>
      <left style="medium">
        <color rgb="FFE26714"/>
      </left>
      <right/>
      <top style="medium">
        <color rgb="FFE26714"/>
      </top>
      <bottom style="hair">
        <color indexed="64"/>
      </bottom>
      <diagonal/>
    </border>
    <border>
      <left/>
      <right style="hair">
        <color rgb="FF0070C0"/>
      </right>
      <top style="medium">
        <color rgb="FFE26714"/>
      </top>
      <bottom style="hair">
        <color indexed="64"/>
      </bottom>
      <diagonal/>
    </border>
    <border>
      <left style="hair">
        <color rgb="FF0070C0"/>
      </left>
      <right/>
      <top style="medium">
        <color rgb="FFE26714"/>
      </top>
      <bottom style="hair">
        <color indexed="64"/>
      </bottom>
      <diagonal/>
    </border>
    <border>
      <left/>
      <right/>
      <top style="medium">
        <color rgb="FFE26714"/>
      </top>
      <bottom style="hair">
        <color auto="1"/>
      </bottom>
      <diagonal/>
    </border>
    <border>
      <left/>
      <right style="medium">
        <color rgb="FFE26714"/>
      </right>
      <top style="medium">
        <color rgb="FFE26714"/>
      </top>
      <bottom style="hair">
        <color indexed="64"/>
      </bottom>
      <diagonal/>
    </border>
    <border>
      <left style="medium">
        <color rgb="FFE2671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rgb="FFFF0000"/>
      </top>
      <bottom style="hair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43">
    <xf numFmtId="0" fontId="0" fillId="0" borderId="0" xfId="0"/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3" borderId="2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2" xfId="2" applyFont="1" applyFill="1" applyBorder="1"/>
    <xf numFmtId="0" fontId="5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3" borderId="2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4" applyNumberFormat="1" applyFont="1" applyFill="1" applyBorder="1" applyAlignment="1">
      <alignment horizontal="left"/>
    </xf>
    <xf numFmtId="1" fontId="5" fillId="0" borderId="2" xfId="4" applyNumberFormat="1" applyFont="1" applyBorder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0" borderId="2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/>
    <xf numFmtId="0" fontId="0" fillId="0" borderId="2" xfId="0" applyBorder="1"/>
    <xf numFmtId="0" fontId="5" fillId="0" borderId="21" xfId="0" applyFont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left" vertical="center"/>
    </xf>
    <xf numFmtId="0" fontId="16" fillId="0" borderId="0" xfId="0" applyFont="1"/>
    <xf numFmtId="0" fontId="19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49" fontId="7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32" fillId="0" borderId="29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1" fillId="0" borderId="3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8" fontId="14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7" fillId="0" borderId="17" xfId="0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right" vertical="center"/>
    </xf>
    <xf numFmtId="0" fontId="27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5" fillId="12" borderId="10" xfId="0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0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0" fontId="0" fillId="3" borderId="2" xfId="0" quotePrefix="1" applyFill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0" fillId="0" borderId="0" xfId="0" applyFont="1" applyAlignment="1">
      <alignment horizontal="left"/>
    </xf>
    <xf numFmtId="44" fontId="40" fillId="0" borderId="0" xfId="0" applyNumberFormat="1" applyFont="1"/>
    <xf numFmtId="0" fontId="43" fillId="0" borderId="0" xfId="0" applyFont="1"/>
    <xf numFmtId="0" fontId="38" fillId="0" borderId="3" xfId="0" applyFont="1" applyBorder="1"/>
    <xf numFmtId="0" fontId="38" fillId="0" borderId="6" xfId="0" applyFont="1" applyBorder="1"/>
    <xf numFmtId="0" fontId="40" fillId="0" borderId="19" xfId="0" applyFont="1" applyBorder="1"/>
    <xf numFmtId="0" fontId="38" fillId="0" borderId="16" xfId="0" applyFont="1" applyBorder="1"/>
    <xf numFmtId="0" fontId="40" fillId="0" borderId="20" xfId="0" applyFont="1" applyBorder="1" applyAlignment="1">
      <alignment horizontal="right"/>
    </xf>
    <xf numFmtId="0" fontId="40" fillId="0" borderId="15" xfId="0" applyFont="1" applyBorder="1"/>
    <xf numFmtId="0" fontId="38" fillId="0" borderId="9" xfId="0" applyFont="1" applyBorder="1"/>
    <xf numFmtId="0" fontId="40" fillId="0" borderId="11" xfId="0" applyFont="1" applyBorder="1" applyAlignment="1">
      <alignment horizontal="right"/>
    </xf>
    <xf numFmtId="0" fontId="40" fillId="0" borderId="28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5" fillId="7" borderId="10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1" fillId="0" borderId="36" xfId="0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0" borderId="2" xfId="0" applyFont="1" applyBorder="1"/>
    <xf numFmtId="0" fontId="17" fillId="3" borderId="2" xfId="0" applyFont="1" applyFill="1" applyBorder="1"/>
    <xf numFmtId="0" fontId="17" fillId="3" borderId="2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51" fillId="0" borderId="8" xfId="0" applyFont="1" applyBorder="1" applyAlignment="1">
      <alignment horizontal="left" vertical="center"/>
    </xf>
    <xf numFmtId="0" fontId="51" fillId="0" borderId="8" xfId="0" applyFont="1" applyBorder="1" applyAlignment="1">
      <alignment vertical="center"/>
    </xf>
    <xf numFmtId="0" fontId="51" fillId="0" borderId="8" xfId="0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vertical="center"/>
    </xf>
    <xf numFmtId="0" fontId="52" fillId="0" borderId="24" xfId="0" applyFont="1" applyBorder="1" applyAlignment="1">
      <alignment horizontal="left" vertical="center"/>
    </xf>
    <xf numFmtId="0" fontId="52" fillId="0" borderId="2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2" fillId="0" borderId="24" xfId="0" applyFont="1" applyBorder="1" applyAlignment="1">
      <alignment horizontal="right" vertical="center"/>
    </xf>
    <xf numFmtId="0" fontId="54" fillId="0" borderId="24" xfId="0" applyFont="1" applyBorder="1" applyAlignment="1">
      <alignment horizontal="left" vertical="center"/>
    </xf>
    <xf numFmtId="0" fontId="54" fillId="0" borderId="24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56" fillId="0" borderId="24" xfId="0" quotePrefix="1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44" fontId="57" fillId="0" borderId="0" xfId="1" applyFont="1" applyAlignment="1">
      <alignment vertical="center"/>
    </xf>
    <xf numFmtId="0" fontId="23" fillId="0" borderId="0" xfId="0" applyFont="1" applyAlignment="1">
      <alignment vertical="center"/>
    </xf>
    <xf numFmtId="0" fontId="50" fillId="0" borderId="8" xfId="0" applyFont="1" applyBorder="1" applyAlignment="1">
      <alignment horizontal="left" vertical="center"/>
    </xf>
    <xf numFmtId="0" fontId="55" fillId="0" borderId="4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24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0" fillId="0" borderId="0" xfId="0" applyNumberFormat="1"/>
    <xf numFmtId="0" fontId="2" fillId="5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6" fillId="10" borderId="0" xfId="0" applyFont="1" applyFill="1" applyAlignment="1">
      <alignment vertical="center"/>
    </xf>
    <xf numFmtId="0" fontId="0" fillId="0" borderId="38" xfId="0" applyBorder="1" applyAlignment="1">
      <alignment vertical="center"/>
    </xf>
    <xf numFmtId="0" fontId="0" fillId="3" borderId="38" xfId="0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5" fillId="0" borderId="36" xfId="0" applyNumberFormat="1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31" fillId="0" borderId="40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2" fillId="0" borderId="24" xfId="0" applyFont="1" applyBorder="1" applyAlignment="1">
      <alignment horizontal="left" vertical="center"/>
    </xf>
    <xf numFmtId="0" fontId="63" fillId="0" borderId="26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27" fillId="0" borderId="22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68" fillId="0" borderId="30" xfId="0" applyFont="1" applyBorder="1" applyAlignment="1">
      <alignment horizontal="right" vertical="center"/>
    </xf>
    <xf numFmtId="1" fontId="14" fillId="0" borderId="3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10" borderId="32" xfId="0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0" fontId="29" fillId="0" borderId="36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right" vertical="center"/>
    </xf>
    <xf numFmtId="49" fontId="7" fillId="0" borderId="50" xfId="0" applyNumberFormat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29" fillId="0" borderId="52" xfId="0" applyFont="1" applyBorder="1" applyAlignment="1">
      <alignment horizontal="right" vertical="center"/>
    </xf>
    <xf numFmtId="0" fontId="27" fillId="0" borderId="51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9" fillId="0" borderId="27" xfId="0" applyFont="1" applyBorder="1" applyAlignment="1">
      <alignment horizontal="right" vertical="center"/>
    </xf>
    <xf numFmtId="0" fontId="32" fillId="0" borderId="55" xfId="0" applyFont="1" applyBorder="1" applyAlignment="1">
      <alignment horizontal="left" vertical="center"/>
    </xf>
    <xf numFmtId="0" fontId="12" fillId="4" borderId="27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25" fillId="0" borderId="60" xfId="0" applyFont="1" applyBorder="1" applyAlignment="1">
      <alignment horizontal="left" vertical="center"/>
    </xf>
    <xf numFmtId="0" fontId="2" fillId="0" borderId="60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25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right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31" fillId="0" borderId="73" xfId="0" applyFont="1" applyBorder="1" applyAlignment="1">
      <alignment horizontal="right" vertical="center"/>
    </xf>
    <xf numFmtId="0" fontId="27" fillId="0" borderId="72" xfId="0" applyFont="1" applyBorder="1" applyAlignment="1">
      <alignment horizontal="left" vertical="center"/>
    </xf>
    <xf numFmtId="0" fontId="8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5" fillId="0" borderId="80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8" fillId="0" borderId="6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0" fillId="0" borderId="65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24" fillId="0" borderId="65" xfId="0" applyFont="1" applyBorder="1" applyAlignment="1">
      <alignment vertical="center"/>
    </xf>
    <xf numFmtId="0" fontId="8" fillId="0" borderId="65" xfId="0" applyFont="1" applyBorder="1" applyAlignment="1">
      <alignment horizontal="right" vertical="center"/>
    </xf>
    <xf numFmtId="0" fontId="8" fillId="0" borderId="7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82" xfId="0" applyFont="1" applyBorder="1" applyAlignment="1">
      <alignment horizontal="center" vertical="center"/>
    </xf>
    <xf numFmtId="0" fontId="8" fillId="10" borderId="82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31" fillId="0" borderId="52" xfId="0" applyFont="1" applyBorder="1" applyAlignment="1">
      <alignment horizontal="right" vertical="center"/>
    </xf>
    <xf numFmtId="0" fontId="25" fillId="0" borderId="93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27" fillId="0" borderId="91" xfId="0" applyFont="1" applyBorder="1" applyAlignment="1">
      <alignment horizontal="right"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31" fillId="0" borderId="99" xfId="0" applyFont="1" applyBorder="1" applyAlignment="1">
      <alignment horizontal="right" vertical="center"/>
    </xf>
    <xf numFmtId="0" fontId="27" fillId="0" borderId="93" xfId="0" applyFont="1" applyBorder="1" applyAlignment="1">
      <alignment horizontal="left" vertical="center"/>
    </xf>
    <xf numFmtId="0" fontId="8" fillId="0" borderId="9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9" fillId="0" borderId="103" xfId="0" applyFont="1" applyBorder="1" applyAlignment="1">
      <alignment vertical="center"/>
    </xf>
    <xf numFmtId="0" fontId="9" fillId="0" borderId="104" xfId="0" applyFont="1" applyBorder="1" applyAlignment="1">
      <alignment vertical="center"/>
    </xf>
    <xf numFmtId="0" fontId="8" fillId="0" borderId="106" xfId="0" applyFont="1" applyBorder="1" applyAlignment="1">
      <alignment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27" fillId="0" borderId="113" xfId="0" applyFont="1" applyBorder="1" applyAlignment="1">
      <alignment horizontal="right" vertical="center"/>
    </xf>
    <xf numFmtId="0" fontId="7" fillId="0" borderId="114" xfId="0" applyFont="1" applyBorder="1" applyAlignment="1">
      <alignment vertical="center"/>
    </xf>
    <xf numFmtId="0" fontId="7" fillId="0" borderId="115" xfId="0" applyFont="1" applyBorder="1" applyAlignment="1">
      <alignment vertical="center"/>
    </xf>
    <xf numFmtId="0" fontId="7" fillId="0" borderId="116" xfId="0" applyFont="1" applyBorder="1" applyAlignment="1">
      <alignment vertical="center"/>
    </xf>
    <xf numFmtId="164" fontId="25" fillId="0" borderId="117" xfId="0" applyNumberFormat="1" applyFont="1" applyBorder="1" applyAlignment="1">
      <alignment horizontal="center" vertical="center"/>
    </xf>
    <xf numFmtId="0" fontId="27" fillId="0" borderId="115" xfId="0" applyFont="1" applyBorder="1" applyAlignment="1">
      <alignment horizontal="left" vertical="center"/>
    </xf>
    <xf numFmtId="0" fontId="8" fillId="0" borderId="116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65" fillId="0" borderId="120" xfId="0" applyFont="1" applyBorder="1" applyAlignment="1">
      <alignment vertical="center"/>
    </xf>
    <xf numFmtId="0" fontId="30" fillId="0" borderId="121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64" fillId="0" borderId="122" xfId="0" applyFont="1" applyBorder="1" applyAlignment="1">
      <alignment horizontal="center" vertical="center"/>
    </xf>
    <xf numFmtId="0" fontId="30" fillId="0" borderId="125" xfId="0" applyFont="1" applyBorder="1" applyAlignment="1">
      <alignment vertical="center"/>
    </xf>
    <xf numFmtId="0" fontId="8" fillId="5" borderId="3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14" fillId="0" borderId="116" xfId="0" applyNumberFormat="1" applyFont="1" applyBorder="1" applyAlignment="1">
      <alignment vertical="center"/>
    </xf>
    <xf numFmtId="0" fontId="8" fillId="0" borderId="115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25" fillId="0" borderId="129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0" fontId="8" fillId="0" borderId="129" xfId="0" applyFont="1" applyBorder="1" applyAlignment="1">
      <alignment vertical="center"/>
    </xf>
    <xf numFmtId="0" fontId="8" fillId="0" borderId="13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25" fillId="11" borderId="115" xfId="0" applyFont="1" applyFill="1" applyBorder="1" applyAlignment="1">
      <alignment horizontal="center" vertical="center"/>
    </xf>
    <xf numFmtId="0" fontId="37" fillId="0" borderId="115" xfId="0" applyFont="1" applyBorder="1" applyAlignment="1">
      <alignment horizontal="center" vertical="center"/>
    </xf>
    <xf numFmtId="0" fontId="20" fillId="0" borderId="117" xfId="0" applyFont="1" applyBorder="1" applyAlignment="1">
      <alignment vertical="center"/>
    </xf>
    <xf numFmtId="0" fontId="25" fillId="17" borderId="27" xfId="0" applyFont="1" applyFill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25" fillId="12" borderId="115" xfId="0" applyFont="1" applyFill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31" fillId="0" borderId="116" xfId="0" applyFont="1" applyBorder="1" applyAlignment="1">
      <alignment horizontal="right" vertical="center"/>
    </xf>
    <xf numFmtId="0" fontId="25" fillId="0" borderId="115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10" fillId="0" borderId="140" xfId="0" applyFont="1" applyBorder="1" applyAlignment="1">
      <alignment horizontal="center" vertical="center"/>
    </xf>
    <xf numFmtId="1" fontId="14" fillId="0" borderId="22" xfId="0" applyNumberFormat="1" applyFont="1" applyBorder="1" applyAlignment="1">
      <alignment vertical="center"/>
    </xf>
    <xf numFmtId="1" fontId="14" fillId="0" borderId="115" xfId="0" applyNumberFormat="1" applyFont="1" applyBorder="1" applyAlignment="1">
      <alignment vertical="center"/>
    </xf>
    <xf numFmtId="0" fontId="8" fillId="0" borderId="153" xfId="0" applyFont="1" applyBorder="1" applyAlignment="1">
      <alignment horizontal="center" vertical="center"/>
    </xf>
    <xf numFmtId="0" fontId="27" fillId="0" borderId="154" xfId="0" applyFont="1" applyBorder="1" applyAlignment="1">
      <alignment horizontal="right" vertical="center"/>
    </xf>
    <xf numFmtId="0" fontId="7" fillId="0" borderId="155" xfId="0" applyFont="1" applyBorder="1" applyAlignment="1">
      <alignment vertical="center"/>
    </xf>
    <xf numFmtId="0" fontId="7" fillId="0" borderId="156" xfId="0" applyFont="1" applyBorder="1" applyAlignment="1">
      <alignment vertical="center"/>
    </xf>
    <xf numFmtId="0" fontId="7" fillId="0" borderId="157" xfId="0" applyFont="1" applyBorder="1" applyAlignment="1">
      <alignment horizontal="right" vertical="center"/>
    </xf>
    <xf numFmtId="0" fontId="27" fillId="0" borderId="155" xfId="0" applyFont="1" applyBorder="1" applyAlignment="1">
      <alignment horizontal="left" vertical="center"/>
    </xf>
    <xf numFmtId="0" fontId="8" fillId="0" borderId="156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15" fillId="0" borderId="156" xfId="0" applyFont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/>
    </xf>
    <xf numFmtId="0" fontId="25" fillId="0" borderId="156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27" fillId="0" borderId="160" xfId="0" applyFont="1" applyBorder="1" applyAlignment="1">
      <alignment horizontal="right" vertical="center"/>
    </xf>
    <xf numFmtId="0" fontId="7" fillId="0" borderId="161" xfId="0" applyFont="1" applyBorder="1" applyAlignment="1">
      <alignment vertical="center"/>
    </xf>
    <xf numFmtId="0" fontId="7" fillId="0" borderId="162" xfId="0" applyFont="1" applyBorder="1" applyAlignment="1">
      <alignment vertical="center"/>
    </xf>
    <xf numFmtId="0" fontId="7" fillId="0" borderId="163" xfId="0" applyFont="1" applyBorder="1" applyAlignment="1">
      <alignment horizontal="right" vertical="center"/>
    </xf>
    <xf numFmtId="0" fontId="27" fillId="0" borderId="161" xfId="0" applyFont="1" applyBorder="1" applyAlignment="1">
      <alignment horizontal="left" vertical="center"/>
    </xf>
    <xf numFmtId="0" fontId="8" fillId="0" borderId="162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15" fillId="0" borderId="162" xfId="0" applyFont="1" applyBorder="1" applyAlignment="1">
      <alignment horizontal="center" vertical="center"/>
    </xf>
    <xf numFmtId="0" fontId="20" fillId="0" borderId="162" xfId="0" applyFont="1" applyBorder="1" applyAlignment="1">
      <alignment horizontal="center" vertical="center"/>
    </xf>
    <xf numFmtId="0" fontId="25" fillId="0" borderId="162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71" fillId="0" borderId="167" xfId="0" applyFont="1" applyBorder="1" applyAlignment="1">
      <alignment horizontal="center" vertical="center"/>
    </xf>
    <xf numFmtId="0" fontId="75" fillId="21" borderId="145" xfId="0" applyFont="1" applyFill="1" applyBorder="1" applyAlignment="1">
      <alignment vertical="center"/>
    </xf>
    <xf numFmtId="0" fontId="76" fillId="21" borderId="145" xfId="0" applyFont="1" applyFill="1" applyBorder="1" applyAlignment="1">
      <alignment horizontal="left" vertical="center"/>
    </xf>
    <xf numFmtId="0" fontId="72" fillId="21" borderId="145" xfId="0" applyFont="1" applyFill="1" applyBorder="1" applyAlignment="1">
      <alignment horizontal="left" vertical="center"/>
    </xf>
    <xf numFmtId="0" fontId="73" fillId="21" borderId="145" xfId="0" applyFont="1" applyFill="1" applyBorder="1" applyAlignment="1">
      <alignment horizontal="center" vertical="center"/>
    </xf>
    <xf numFmtId="0" fontId="74" fillId="21" borderId="145" xfId="0" applyFont="1" applyFill="1" applyBorder="1" applyAlignment="1">
      <alignment vertical="center"/>
    </xf>
    <xf numFmtId="0" fontId="70" fillId="21" borderId="145" xfId="0" applyFont="1" applyFill="1" applyBorder="1" applyAlignment="1">
      <alignment horizontal="center" vertical="center"/>
    </xf>
    <xf numFmtId="0" fontId="70" fillId="21" borderId="146" xfId="0" applyFont="1" applyFill="1" applyBorder="1" applyAlignment="1">
      <alignment horizontal="center" vertical="center"/>
    </xf>
    <xf numFmtId="0" fontId="77" fillId="20" borderId="145" xfId="0" applyFont="1" applyFill="1" applyBorder="1" applyAlignment="1">
      <alignment vertical="center"/>
    </xf>
    <xf numFmtId="0" fontId="72" fillId="20" borderId="145" xfId="0" applyFont="1" applyFill="1" applyBorder="1" applyAlignment="1">
      <alignment horizontal="left" vertical="center"/>
    </xf>
    <xf numFmtId="0" fontId="73" fillId="20" borderId="145" xfId="0" applyFont="1" applyFill="1" applyBorder="1" applyAlignment="1">
      <alignment horizontal="center" vertical="center"/>
    </xf>
    <xf numFmtId="0" fontId="74" fillId="20" borderId="145" xfId="0" applyFont="1" applyFill="1" applyBorder="1" applyAlignment="1">
      <alignment vertical="center"/>
    </xf>
    <xf numFmtId="0" fontId="70" fillId="20" borderId="145" xfId="0" applyFont="1" applyFill="1" applyBorder="1" applyAlignment="1">
      <alignment horizontal="center" vertical="center"/>
    </xf>
    <xf numFmtId="0" fontId="70" fillId="20" borderId="146" xfId="0" applyFont="1" applyFill="1" applyBorder="1" applyAlignment="1">
      <alignment horizontal="center" vertical="center"/>
    </xf>
    <xf numFmtId="0" fontId="78" fillId="20" borderId="147" xfId="0" applyFont="1" applyFill="1" applyBorder="1" applyAlignment="1">
      <alignment vertical="center"/>
    </xf>
    <xf numFmtId="0" fontId="79" fillId="21" borderId="147" xfId="0" applyFont="1" applyFill="1" applyBorder="1" applyAlignment="1">
      <alignment vertical="center"/>
    </xf>
    <xf numFmtId="0" fontId="80" fillId="0" borderId="168" xfId="0" applyFont="1" applyBorder="1" applyAlignment="1">
      <alignment horizontal="center" vertical="center"/>
    </xf>
    <xf numFmtId="0" fontId="80" fillId="0" borderId="167" xfId="0" applyFont="1" applyBorder="1" applyAlignment="1">
      <alignment horizontal="center" vertical="center"/>
    </xf>
    <xf numFmtId="0" fontId="80" fillId="0" borderId="166" xfId="0" applyFont="1" applyBorder="1" applyAlignment="1">
      <alignment horizontal="center" vertical="center"/>
    </xf>
    <xf numFmtId="0" fontId="84" fillId="19" borderId="103" xfId="0" applyFont="1" applyFill="1" applyBorder="1" applyAlignment="1">
      <alignment vertical="center"/>
    </xf>
    <xf numFmtId="0" fontId="87" fillId="0" borderId="150" xfId="0" applyFont="1" applyBorder="1" applyAlignment="1">
      <alignment horizontal="right" vertical="center"/>
    </xf>
    <xf numFmtId="0" fontId="88" fillId="0" borderId="149" xfId="0" applyFont="1" applyBorder="1" applyAlignment="1">
      <alignment vertical="center"/>
    </xf>
    <xf numFmtId="0" fontId="88" fillId="0" borderId="151" xfId="0" applyFont="1" applyBorder="1" applyAlignment="1">
      <alignment vertical="center"/>
    </xf>
    <xf numFmtId="0" fontId="88" fillId="0" borderId="150" xfId="0" applyFont="1" applyBorder="1" applyAlignment="1">
      <alignment horizontal="right" vertical="center"/>
    </xf>
    <xf numFmtId="0" fontId="87" fillId="0" borderId="149" xfId="0" applyFont="1" applyBorder="1" applyAlignment="1">
      <alignment horizontal="left" vertical="center"/>
    </xf>
    <xf numFmtId="0" fontId="81" fillId="0" borderId="151" xfId="0" applyFont="1" applyBorder="1" applyAlignment="1">
      <alignment horizontal="center" vertical="center"/>
    </xf>
    <xf numFmtId="0" fontId="87" fillId="0" borderId="163" xfId="0" applyFont="1" applyBorder="1" applyAlignment="1">
      <alignment horizontal="right" vertical="center"/>
    </xf>
    <xf numFmtId="0" fontId="88" fillId="0" borderId="161" xfId="0" applyFont="1" applyBorder="1" applyAlignment="1">
      <alignment vertical="center"/>
    </xf>
    <xf numFmtId="0" fontId="88" fillId="0" borderId="162" xfId="0" applyFont="1" applyBorder="1" applyAlignment="1">
      <alignment vertical="center"/>
    </xf>
    <xf numFmtId="0" fontId="88" fillId="0" borderId="163" xfId="0" applyFont="1" applyBorder="1" applyAlignment="1">
      <alignment horizontal="right" vertical="center"/>
    </xf>
    <xf numFmtId="0" fontId="87" fillId="0" borderId="161" xfId="0" applyFont="1" applyBorder="1" applyAlignment="1">
      <alignment horizontal="left" vertical="center"/>
    </xf>
    <xf numFmtId="0" fontId="81" fillId="0" borderId="162" xfId="0" applyFont="1" applyBorder="1" applyAlignment="1">
      <alignment horizontal="center" vertical="center"/>
    </xf>
    <xf numFmtId="0" fontId="87" fillId="0" borderId="157" xfId="0" applyFont="1" applyBorder="1" applyAlignment="1">
      <alignment horizontal="right" vertical="center"/>
    </xf>
    <xf numFmtId="0" fontId="88" fillId="0" borderId="155" xfId="0" applyFont="1" applyBorder="1" applyAlignment="1">
      <alignment vertical="center"/>
    </xf>
    <xf numFmtId="0" fontId="88" fillId="0" borderId="156" xfId="0" applyFont="1" applyBorder="1" applyAlignment="1">
      <alignment vertical="center"/>
    </xf>
    <xf numFmtId="0" fontId="88" fillId="0" borderId="157" xfId="0" applyFont="1" applyBorder="1" applyAlignment="1">
      <alignment horizontal="right" vertical="center"/>
    </xf>
    <xf numFmtId="0" fontId="87" fillId="0" borderId="155" xfId="0" applyFont="1" applyBorder="1" applyAlignment="1">
      <alignment horizontal="left" vertical="center"/>
    </xf>
    <xf numFmtId="0" fontId="81" fillId="0" borderId="15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7" fillId="0" borderId="78" xfId="0" applyFont="1" applyBorder="1" applyAlignment="1">
      <alignment horizontal="right" vertical="center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31" fillId="0" borderId="170" xfId="0" applyFont="1" applyBorder="1" applyAlignment="1">
      <alignment horizontal="right" vertical="center"/>
    </xf>
    <xf numFmtId="0" fontId="27" fillId="0" borderId="80" xfId="0" applyFont="1" applyBorder="1" applyAlignment="1">
      <alignment horizontal="left" vertical="center"/>
    </xf>
    <xf numFmtId="0" fontId="8" fillId="0" borderId="8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27" fillId="0" borderId="6" xfId="0" applyFont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31" fillId="0" borderId="39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71" xfId="0" applyFont="1" applyBorder="1" applyAlignment="1">
      <alignment horizontal="center" vertical="center"/>
    </xf>
    <xf numFmtId="0" fontId="27" fillId="0" borderId="172" xfId="0" applyFont="1" applyBorder="1" applyAlignment="1">
      <alignment horizontal="right" vertical="center"/>
    </xf>
    <xf numFmtId="0" fontId="7" fillId="0" borderId="173" xfId="0" applyFont="1" applyBorder="1" applyAlignment="1">
      <alignment vertical="center"/>
    </xf>
    <xf numFmtId="0" fontId="7" fillId="0" borderId="142" xfId="0" applyFont="1" applyBorder="1" applyAlignment="1">
      <alignment vertical="center"/>
    </xf>
    <xf numFmtId="0" fontId="7" fillId="0" borderId="174" xfId="0" applyFont="1" applyBorder="1" applyAlignment="1">
      <alignment vertical="center"/>
    </xf>
    <xf numFmtId="0" fontId="27" fillId="0" borderId="142" xfId="0" applyFont="1" applyBorder="1" applyAlignment="1">
      <alignment horizontal="left" vertical="center"/>
    </xf>
    <xf numFmtId="0" fontId="8" fillId="0" borderId="142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8" fillId="6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right" vertical="center"/>
    </xf>
    <xf numFmtId="0" fontId="87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1" fontId="89" fillId="0" borderId="0" xfId="0" applyNumberFormat="1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93" fillId="0" borderId="178" xfId="0" applyFont="1" applyBorder="1" applyAlignment="1">
      <alignment horizontal="right" vertical="center"/>
    </xf>
    <xf numFmtId="0" fontId="94" fillId="0" borderId="179" xfId="0" applyFont="1" applyBorder="1" applyAlignment="1">
      <alignment vertical="center"/>
    </xf>
    <xf numFmtId="0" fontId="94" fillId="0" borderId="140" xfId="0" applyFont="1" applyBorder="1" applyAlignment="1">
      <alignment vertical="center"/>
    </xf>
    <xf numFmtId="0" fontId="94" fillId="0" borderId="178" xfId="0" applyFont="1" applyBorder="1" applyAlignment="1">
      <alignment horizontal="right" vertical="center"/>
    </xf>
    <xf numFmtId="0" fontId="93" fillId="0" borderId="179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9" fontId="97" fillId="0" borderId="180" xfId="5" applyFont="1" applyBorder="1" applyAlignment="1">
      <alignment horizontal="center" vertical="center"/>
    </xf>
    <xf numFmtId="9" fontId="97" fillId="0" borderId="0" xfId="5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1" fillId="0" borderId="16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6" xfId="0" applyFont="1" applyBorder="1" applyAlignment="1">
      <alignment vertical="center"/>
    </xf>
    <xf numFmtId="0" fontId="8" fillId="0" borderId="187" xfId="0" applyFont="1" applyBorder="1" applyAlignment="1">
      <alignment horizontal="center" vertical="center"/>
    </xf>
    <xf numFmtId="0" fontId="27" fillId="0" borderId="188" xfId="0" applyFont="1" applyBorder="1" applyAlignment="1">
      <alignment horizontal="right" vertical="center"/>
    </xf>
    <xf numFmtId="0" fontId="7" fillId="0" borderId="189" xfId="0" applyFont="1" applyBorder="1" applyAlignment="1">
      <alignment vertical="center"/>
    </xf>
    <xf numFmtId="0" fontId="7" fillId="0" borderId="190" xfId="0" applyFont="1" applyBorder="1" applyAlignment="1">
      <alignment vertical="center"/>
    </xf>
    <xf numFmtId="0" fontId="31" fillId="0" borderId="191" xfId="0" applyFont="1" applyBorder="1" applyAlignment="1">
      <alignment horizontal="right" vertical="center"/>
    </xf>
    <xf numFmtId="0" fontId="27" fillId="0" borderId="190" xfId="0" applyFont="1" applyBorder="1" applyAlignment="1">
      <alignment horizontal="left" vertical="center"/>
    </xf>
    <xf numFmtId="0" fontId="8" fillId="4" borderId="190" xfId="0" applyFont="1" applyFill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0" fillId="0" borderId="190" xfId="0" applyFont="1" applyBorder="1" applyAlignment="1">
      <alignment horizontal="center" vertical="center"/>
    </xf>
    <xf numFmtId="0" fontId="25" fillId="0" borderId="190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19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right"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31" fillId="0" borderId="193" xfId="0" applyFont="1" applyBorder="1" applyAlignment="1">
      <alignment horizontal="right" vertical="center"/>
    </xf>
    <xf numFmtId="0" fontId="27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25" fillId="7" borderId="115" xfId="0" applyFont="1" applyFill="1" applyBorder="1" applyAlignment="1">
      <alignment horizontal="center" vertical="center"/>
    </xf>
    <xf numFmtId="0" fontId="25" fillId="14" borderId="27" xfId="0" applyFont="1" applyFill="1" applyBorder="1" applyAlignment="1">
      <alignment horizontal="center" vertical="center"/>
    </xf>
    <xf numFmtId="0" fontId="25" fillId="0" borderId="142" xfId="0" applyFont="1" applyBorder="1" applyAlignment="1">
      <alignment horizontal="center" vertical="center"/>
    </xf>
    <xf numFmtId="0" fontId="37" fillId="0" borderId="142" xfId="0" applyFont="1" applyBorder="1" applyAlignment="1">
      <alignment horizontal="center" vertical="center"/>
    </xf>
    <xf numFmtId="0" fontId="93" fillId="0" borderId="194" xfId="0" applyFont="1" applyBorder="1" applyAlignment="1">
      <alignment horizontal="right" vertical="center"/>
    </xf>
    <xf numFmtId="0" fontId="94" fillId="0" borderId="10" xfId="0" applyFont="1" applyBorder="1" applyAlignment="1">
      <alignment vertical="center"/>
    </xf>
    <xf numFmtId="0" fontId="93" fillId="0" borderId="195" xfId="0" applyFont="1" applyBorder="1" applyAlignment="1">
      <alignment horizontal="left" vertical="center"/>
    </xf>
    <xf numFmtId="0" fontId="93" fillId="0" borderId="196" xfId="0" applyFont="1" applyBorder="1" applyAlignment="1">
      <alignment horizontal="right" vertical="center"/>
    </xf>
    <xf numFmtId="0" fontId="94" fillId="0" borderId="197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3" fillId="0" borderId="197" xfId="0" applyFont="1" applyBorder="1" applyAlignment="1">
      <alignment horizontal="left" vertical="center"/>
    </xf>
    <xf numFmtId="0" fontId="71" fillId="0" borderId="202" xfId="0" applyFont="1" applyBorder="1" applyAlignment="1">
      <alignment horizontal="center" vertical="center"/>
    </xf>
    <xf numFmtId="0" fontId="87" fillId="0" borderId="199" xfId="0" applyFont="1" applyBorder="1" applyAlignment="1">
      <alignment horizontal="right" vertical="center"/>
    </xf>
    <xf numFmtId="0" fontId="88" fillId="0" borderId="203" xfId="0" applyFont="1" applyBorder="1" applyAlignment="1">
      <alignment vertical="center"/>
    </xf>
    <xf numFmtId="0" fontId="88" fillId="0" borderId="198" xfId="0" applyFont="1" applyBorder="1" applyAlignment="1">
      <alignment vertical="center"/>
    </xf>
    <xf numFmtId="0" fontId="88" fillId="0" borderId="199" xfId="0" applyFont="1" applyBorder="1" applyAlignment="1">
      <alignment horizontal="right" vertical="center"/>
    </xf>
    <xf numFmtId="0" fontId="87" fillId="0" borderId="203" xfId="0" applyFont="1" applyBorder="1" applyAlignment="1">
      <alignment horizontal="left" vertical="center"/>
    </xf>
    <xf numFmtId="0" fontId="81" fillId="0" borderId="19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0" fillId="0" borderId="190" xfId="0" applyFont="1" applyBorder="1" applyAlignment="1">
      <alignment horizontal="center" vertical="center"/>
    </xf>
    <xf numFmtId="0" fontId="8" fillId="10" borderId="84" xfId="0" applyFont="1" applyFill="1" applyBorder="1" applyAlignment="1">
      <alignment horizontal="center" vertical="center"/>
    </xf>
    <xf numFmtId="0" fontId="68" fillId="0" borderId="191" xfId="0" applyFont="1" applyBorder="1" applyAlignment="1">
      <alignment horizontal="right" vertical="center"/>
    </xf>
    <xf numFmtId="0" fontId="8" fillId="10" borderId="48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27" fillId="0" borderId="205" xfId="0" applyFont="1" applyBorder="1" applyAlignment="1">
      <alignment horizontal="right" vertical="center"/>
    </xf>
    <xf numFmtId="0" fontId="7" fillId="0" borderId="206" xfId="0" applyFont="1" applyBorder="1" applyAlignment="1">
      <alignment vertical="center"/>
    </xf>
    <xf numFmtId="0" fontId="7" fillId="0" borderId="207" xfId="0" applyFont="1" applyBorder="1" applyAlignment="1">
      <alignment vertical="center"/>
    </xf>
    <xf numFmtId="0" fontId="7" fillId="0" borderId="208" xfId="0" applyFont="1" applyBorder="1" applyAlignment="1">
      <alignment horizontal="right" vertical="center"/>
    </xf>
    <xf numFmtId="0" fontId="27" fillId="0" borderId="207" xfId="0" applyFont="1" applyBorder="1" applyAlignment="1">
      <alignment horizontal="left" vertical="center"/>
    </xf>
    <xf numFmtId="0" fontId="8" fillId="0" borderId="207" xfId="0" applyFont="1" applyBorder="1" applyAlignment="1">
      <alignment horizontal="center" vertical="center"/>
    </xf>
    <xf numFmtId="0" fontId="2" fillId="0" borderId="207" xfId="0" applyFont="1" applyBorder="1" applyAlignment="1">
      <alignment horizontal="center" vertical="center"/>
    </xf>
    <xf numFmtId="0" fontId="15" fillId="0" borderId="207" xfId="0" applyFont="1" applyBorder="1" applyAlignment="1">
      <alignment horizontal="center" vertical="center"/>
    </xf>
    <xf numFmtId="0" fontId="20" fillId="0" borderId="207" xfId="0" applyFont="1" applyBorder="1" applyAlignment="1">
      <alignment horizontal="center" vertical="center"/>
    </xf>
    <xf numFmtId="0" fontId="25" fillId="0" borderId="207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0" fillId="0" borderId="209" xfId="0" applyBorder="1" applyAlignment="1">
      <alignment horizontal="right" vertical="center"/>
    </xf>
    <xf numFmtId="0" fontId="8" fillId="0" borderId="144" xfId="0" applyFont="1" applyBorder="1" applyAlignment="1">
      <alignment vertical="center"/>
    </xf>
    <xf numFmtId="0" fontId="25" fillId="8" borderId="115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86" fillId="19" borderId="129" xfId="0" applyFont="1" applyFill="1" applyBorder="1" applyAlignment="1">
      <alignment vertical="center"/>
    </xf>
    <xf numFmtId="0" fontId="82" fillId="19" borderId="129" xfId="0" applyFont="1" applyFill="1" applyBorder="1" applyAlignment="1">
      <alignment horizontal="left" vertical="center"/>
    </xf>
    <xf numFmtId="0" fontId="99" fillId="22" borderId="147" xfId="0" applyFont="1" applyFill="1" applyBorder="1" applyAlignment="1">
      <alignment vertical="center"/>
    </xf>
    <xf numFmtId="0" fontId="100" fillId="22" borderId="145" xfId="0" applyFont="1" applyFill="1" applyBorder="1" applyAlignment="1">
      <alignment vertical="center"/>
    </xf>
    <xf numFmtId="0" fontId="101" fillId="22" borderId="145" xfId="0" applyFont="1" applyFill="1" applyBorder="1" applyAlignment="1">
      <alignment horizontal="left" vertical="center"/>
    </xf>
    <xf numFmtId="0" fontId="102" fillId="22" borderId="145" xfId="0" applyFont="1" applyFill="1" applyBorder="1" applyAlignment="1">
      <alignment horizontal="center" vertical="center"/>
    </xf>
    <xf numFmtId="0" fontId="103" fillId="22" borderId="145" xfId="0" applyFont="1" applyFill="1" applyBorder="1" applyAlignment="1">
      <alignment horizontal="center" vertical="center"/>
    </xf>
    <xf numFmtId="0" fontId="103" fillId="22" borderId="1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4" fillId="0" borderId="44" xfId="0" applyFont="1" applyBorder="1" applyAlignment="1">
      <alignment vertical="center"/>
    </xf>
    <xf numFmtId="0" fontId="2" fillId="0" borderId="44" xfId="0" applyFont="1" applyBorder="1" applyAlignment="1">
      <alignment horizontal="right" vertical="center"/>
    </xf>
    <xf numFmtId="0" fontId="0" fillId="23" borderId="2" xfId="0" applyFill="1" applyBorder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8" fillId="10" borderId="126" xfId="0" applyFont="1" applyFill="1" applyBorder="1" applyAlignment="1">
      <alignment horizontal="center" vertical="center"/>
    </xf>
    <xf numFmtId="0" fontId="27" fillId="0" borderId="127" xfId="0" applyFont="1" applyBorder="1" applyAlignment="1">
      <alignment horizontal="right" vertical="center"/>
    </xf>
    <xf numFmtId="0" fontId="7" fillId="0" borderId="128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1" fontId="14" fillId="0" borderId="131" xfId="0" applyNumberFormat="1" applyFont="1" applyBorder="1" applyAlignment="1">
      <alignment vertical="center"/>
    </xf>
    <xf numFmtId="0" fontId="27" fillId="0" borderId="129" xfId="0" applyFont="1" applyBorder="1" applyAlignment="1">
      <alignment horizontal="left" vertical="center"/>
    </xf>
    <xf numFmtId="0" fontId="8" fillId="0" borderId="129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5" fillId="13" borderId="129" xfId="0" applyFont="1" applyFill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24" fillId="0" borderId="103" xfId="0" applyFont="1" applyBorder="1" applyAlignment="1">
      <alignment vertical="center"/>
    </xf>
    <xf numFmtId="0" fontId="25" fillId="18" borderId="115" xfId="0" applyFont="1" applyFill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31" fillId="0" borderId="174" xfId="0" applyFont="1" applyBorder="1" applyAlignment="1">
      <alignment horizontal="right" vertical="center"/>
    </xf>
    <xf numFmtId="0" fontId="8" fillId="4" borderId="142" xfId="0" applyFont="1" applyFill="1" applyBorder="1" applyAlignment="1">
      <alignment horizontal="center" vertical="center"/>
    </xf>
    <xf numFmtId="0" fontId="31" fillId="0" borderId="131" xfId="0" applyFont="1" applyBorder="1" applyAlignment="1">
      <alignment horizontal="right" vertical="center"/>
    </xf>
    <xf numFmtId="0" fontId="9" fillId="0" borderId="210" xfId="0" applyFont="1" applyBorder="1" applyAlignment="1">
      <alignment vertical="center"/>
    </xf>
    <xf numFmtId="0" fontId="65" fillId="0" borderId="211" xfId="0" applyFont="1" applyBorder="1" applyAlignment="1">
      <alignment vertical="center"/>
    </xf>
    <xf numFmtId="0" fontId="65" fillId="0" borderId="212" xfId="0" applyFont="1" applyBorder="1" applyAlignment="1">
      <alignment vertical="center"/>
    </xf>
    <xf numFmtId="0" fontId="65" fillId="0" borderId="213" xfId="0" applyFont="1" applyBorder="1" applyAlignment="1">
      <alignment vertical="center"/>
    </xf>
    <xf numFmtId="0" fontId="27" fillId="0" borderId="215" xfId="0" applyFont="1" applyBorder="1" applyAlignment="1">
      <alignment horizontal="right" vertical="center"/>
    </xf>
    <xf numFmtId="0" fontId="7" fillId="0" borderId="218" xfId="0" applyFont="1" applyBorder="1" applyAlignment="1">
      <alignment vertical="center"/>
    </xf>
    <xf numFmtId="0" fontId="30" fillId="0" borderId="129" xfId="0" applyFont="1" applyBorder="1" applyAlignment="1">
      <alignment vertical="center"/>
    </xf>
    <xf numFmtId="0" fontId="8" fillId="0" borderId="222" xfId="0" applyFont="1" applyBorder="1" applyAlignment="1">
      <alignment horizontal="center" vertical="center"/>
    </xf>
    <xf numFmtId="0" fontId="27" fillId="0" borderId="219" xfId="0" applyFont="1" applyBorder="1" applyAlignment="1">
      <alignment horizontal="right" vertical="center"/>
    </xf>
    <xf numFmtId="0" fontId="7" fillId="0" borderId="223" xfId="0" applyFont="1" applyBorder="1" applyAlignment="1">
      <alignment vertical="center"/>
    </xf>
    <xf numFmtId="0" fontId="7" fillId="0" borderId="214" xfId="0" applyFont="1" applyBorder="1" applyAlignment="1">
      <alignment vertical="center"/>
    </xf>
    <xf numFmtId="0" fontId="9" fillId="0" borderId="214" xfId="0" applyFont="1" applyBorder="1" applyAlignment="1">
      <alignment vertical="center"/>
    </xf>
    <xf numFmtId="0" fontId="93" fillId="0" borderId="219" xfId="0" applyFont="1" applyBorder="1" applyAlignment="1">
      <alignment horizontal="right" vertical="center"/>
    </xf>
    <xf numFmtId="0" fontId="30" fillId="0" borderId="214" xfId="0" applyFont="1" applyBorder="1" applyAlignment="1">
      <alignment vertical="center"/>
    </xf>
    <xf numFmtId="0" fontId="8" fillId="0" borderId="214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104" fillId="0" borderId="215" xfId="0" applyFont="1" applyBorder="1" applyAlignment="1">
      <alignment horizontal="center" vertical="center"/>
    </xf>
    <xf numFmtId="0" fontId="36" fillId="0" borderId="1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229" xfId="0" applyFont="1" applyBorder="1" applyAlignment="1">
      <alignment horizontal="center" vertical="center"/>
    </xf>
    <xf numFmtId="0" fontId="8" fillId="0" borderId="230" xfId="0" applyFont="1" applyBorder="1" applyAlignment="1">
      <alignment horizontal="center" vertical="center"/>
    </xf>
    <xf numFmtId="0" fontId="8" fillId="0" borderId="231" xfId="0" applyFont="1" applyBorder="1" applyAlignment="1">
      <alignment horizontal="center" vertical="center"/>
    </xf>
    <xf numFmtId="0" fontId="8" fillId="0" borderId="232" xfId="0" applyFont="1" applyBorder="1" applyAlignment="1">
      <alignment horizontal="center" vertical="center"/>
    </xf>
    <xf numFmtId="0" fontId="27" fillId="0" borderId="233" xfId="0" applyFont="1" applyBorder="1" applyAlignment="1">
      <alignment horizontal="right" vertical="center"/>
    </xf>
    <xf numFmtId="0" fontId="7" fillId="0" borderId="234" xfId="0" applyFont="1" applyBorder="1" applyAlignment="1">
      <alignment vertical="center"/>
    </xf>
    <xf numFmtId="0" fontId="7" fillId="0" borderId="235" xfId="0" applyFont="1" applyBorder="1" applyAlignment="1">
      <alignment vertical="center"/>
    </xf>
    <xf numFmtId="0" fontId="7" fillId="0" borderId="236" xfId="0" applyFont="1" applyBorder="1" applyAlignment="1">
      <alignment horizontal="right" vertical="center"/>
    </xf>
    <xf numFmtId="0" fontId="27" fillId="0" borderId="235" xfId="0" applyFont="1" applyBorder="1" applyAlignment="1">
      <alignment horizontal="left" vertical="center"/>
    </xf>
    <xf numFmtId="0" fontId="8" fillId="0" borderId="235" xfId="0" applyFont="1" applyBorder="1" applyAlignment="1">
      <alignment horizontal="center" vertical="center"/>
    </xf>
    <xf numFmtId="0" fontId="2" fillId="0" borderId="235" xfId="0" applyFont="1" applyBorder="1" applyAlignment="1">
      <alignment horizontal="center" vertical="center"/>
    </xf>
    <xf numFmtId="0" fontId="20" fillId="0" borderId="235" xfId="0" applyFont="1" applyBorder="1" applyAlignment="1">
      <alignment horizontal="center" vertical="center"/>
    </xf>
    <xf numFmtId="0" fontId="25" fillId="0" borderId="235" xfId="0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/>
    </xf>
    <xf numFmtId="0" fontId="8" fillId="0" borderId="237" xfId="0" applyFont="1" applyBorder="1" applyAlignment="1">
      <alignment horizontal="center" vertical="center"/>
    </xf>
    <xf numFmtId="0" fontId="25" fillId="0" borderId="241" xfId="0" applyFont="1" applyBorder="1" applyAlignment="1">
      <alignment vertical="center"/>
    </xf>
    <xf numFmtId="0" fontId="2" fillId="0" borderId="241" xfId="0" applyFont="1" applyBorder="1" applyAlignment="1">
      <alignment vertical="center"/>
    </xf>
    <xf numFmtId="0" fontId="8" fillId="0" borderId="241" xfId="0" applyFont="1" applyBorder="1" applyAlignment="1">
      <alignment vertical="center"/>
    </xf>
    <xf numFmtId="0" fontId="8" fillId="0" borderId="242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vertical="center"/>
    </xf>
    <xf numFmtId="0" fontId="29" fillId="0" borderId="193" xfId="0" applyFont="1" applyBorder="1" applyAlignment="1">
      <alignment horizontal="right" vertical="center"/>
    </xf>
    <xf numFmtId="0" fontId="27" fillId="0" borderId="243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0" borderId="204" xfId="0" applyFont="1" applyBorder="1" applyAlignment="1">
      <alignment horizontal="center" vertical="center"/>
    </xf>
    <xf numFmtId="0" fontId="9" fillId="0" borderId="135" xfId="0" applyFont="1" applyBorder="1" applyAlignment="1">
      <alignment vertical="center"/>
    </xf>
    <xf numFmtId="0" fontId="0" fillId="0" borderId="135" xfId="0" applyBorder="1" applyAlignment="1">
      <alignment vertical="center"/>
    </xf>
    <xf numFmtId="0" fontId="6" fillId="0" borderId="135" xfId="0" applyFont="1" applyBorder="1" applyAlignment="1">
      <alignment vertical="center"/>
    </xf>
    <xf numFmtId="0" fontId="24" fillId="0" borderId="135" xfId="0" applyFont="1" applyBorder="1" applyAlignment="1">
      <alignment vertical="center"/>
    </xf>
    <xf numFmtId="0" fontId="9" fillId="0" borderId="136" xfId="0" applyFont="1" applyBorder="1" applyAlignment="1">
      <alignment vertical="center"/>
    </xf>
    <xf numFmtId="0" fontId="8" fillId="0" borderId="137" xfId="0" applyFont="1" applyBorder="1" applyAlignment="1">
      <alignment horizontal="center" vertical="center"/>
    </xf>
    <xf numFmtId="0" fontId="27" fillId="0" borderId="138" xfId="0" applyFont="1" applyBorder="1" applyAlignment="1">
      <alignment horizontal="right" vertical="center"/>
    </xf>
    <xf numFmtId="0" fontId="7" fillId="0" borderId="139" xfId="0" applyFont="1" applyBorder="1" applyAlignment="1">
      <alignment vertical="center"/>
    </xf>
    <xf numFmtId="0" fontId="7" fillId="0" borderId="140" xfId="0" applyFont="1" applyBorder="1" applyAlignment="1">
      <alignment vertical="center"/>
    </xf>
    <xf numFmtId="0" fontId="7" fillId="0" borderId="140" xfId="0" applyFont="1" applyBorder="1" applyAlignment="1">
      <alignment horizontal="right" vertical="center"/>
    </xf>
    <xf numFmtId="0" fontId="27" fillId="0" borderId="244" xfId="0" applyFont="1" applyBorder="1" applyAlignment="1">
      <alignment horizontal="left" vertical="center"/>
    </xf>
    <xf numFmtId="0" fontId="8" fillId="0" borderId="140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/>
    </xf>
    <xf numFmtId="0" fontId="20" fillId="0" borderId="140" xfId="0" applyFont="1" applyBorder="1" applyAlignment="1">
      <alignment horizontal="center" vertical="center"/>
    </xf>
    <xf numFmtId="0" fontId="25" fillId="0" borderId="140" xfId="0" applyFont="1" applyBorder="1" applyAlignment="1">
      <alignment horizontal="center" vertical="center"/>
    </xf>
    <xf numFmtId="0" fontId="0" fillId="0" borderId="141" xfId="0" applyBorder="1" applyAlignment="1">
      <alignment horizontal="right" vertical="center"/>
    </xf>
    <xf numFmtId="0" fontId="25" fillId="0" borderId="140" xfId="0" applyFont="1" applyBorder="1" applyAlignment="1">
      <alignment vertical="center"/>
    </xf>
    <xf numFmtId="0" fontId="2" fillId="0" borderId="140" xfId="0" applyFont="1" applyBorder="1" applyAlignment="1">
      <alignment vertical="center"/>
    </xf>
    <xf numFmtId="0" fontId="1" fillId="0" borderId="140" xfId="0" applyFont="1" applyBorder="1" applyAlignment="1">
      <alignment vertical="center"/>
    </xf>
    <xf numFmtId="0" fontId="8" fillId="0" borderId="140" xfId="0" applyFont="1" applyBorder="1" applyAlignment="1">
      <alignment vertical="center"/>
    </xf>
    <xf numFmtId="0" fontId="2" fillId="0" borderId="141" xfId="0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1" fontId="95" fillId="0" borderId="10" xfId="0" applyNumberFormat="1" applyFont="1" applyBorder="1" applyAlignment="1">
      <alignment vertical="center"/>
    </xf>
    <xf numFmtId="0" fontId="94" fillId="0" borderId="245" xfId="0" applyFont="1" applyBorder="1" applyAlignment="1">
      <alignment horizontal="right" vertical="center"/>
    </xf>
    <xf numFmtId="0" fontId="10" fillId="0" borderId="251" xfId="0" applyFont="1" applyBorder="1" applyAlignment="1">
      <alignment horizontal="center" vertical="center"/>
    </xf>
    <xf numFmtId="0" fontId="93" fillId="0" borderId="245" xfId="0" applyFont="1" applyBorder="1" applyAlignment="1">
      <alignment horizontal="right" vertical="center"/>
    </xf>
    <xf numFmtId="0" fontId="94" fillId="0" borderId="253" xfId="0" applyFont="1" applyBorder="1" applyAlignment="1">
      <alignment vertical="center"/>
    </xf>
    <xf numFmtId="0" fontId="94" fillId="0" borderId="27" xfId="0" applyFont="1" applyBorder="1" applyAlignment="1">
      <alignment vertical="center"/>
    </xf>
    <xf numFmtId="0" fontId="93" fillId="0" borderId="253" xfId="0" applyFont="1" applyBorder="1" applyAlignment="1">
      <alignment horizontal="left" vertical="center"/>
    </xf>
    <xf numFmtId="1" fontId="95" fillId="0" borderId="27" xfId="0" applyNumberFormat="1" applyFont="1" applyBorder="1" applyAlignment="1">
      <alignment vertical="center"/>
    </xf>
    <xf numFmtId="0" fontId="10" fillId="0" borderId="254" xfId="0" applyFont="1" applyBorder="1" applyAlignment="1">
      <alignment horizontal="center" vertical="center"/>
    </xf>
    <xf numFmtId="0" fontId="93" fillId="0" borderId="255" xfId="0" applyFont="1" applyBorder="1" applyAlignment="1">
      <alignment horizontal="right" vertical="center"/>
    </xf>
    <xf numFmtId="0" fontId="94" fillId="0" borderId="257" xfId="0" applyFont="1" applyBorder="1" applyAlignment="1">
      <alignment vertical="center"/>
    </xf>
    <xf numFmtId="0" fontId="93" fillId="0" borderId="256" xfId="0" applyFont="1" applyBorder="1" applyAlignment="1">
      <alignment horizontal="left" vertical="center"/>
    </xf>
    <xf numFmtId="0" fontId="10" fillId="0" borderId="257" xfId="0" applyFont="1" applyBorder="1" applyAlignment="1">
      <alignment horizontal="center" vertical="center"/>
    </xf>
    <xf numFmtId="1" fontId="95" fillId="0" borderId="257" xfId="0" applyNumberFormat="1" applyFont="1" applyBorder="1" applyAlignment="1">
      <alignment vertical="center"/>
    </xf>
    <xf numFmtId="0" fontId="10" fillId="0" borderId="259" xfId="0" applyFont="1" applyBorder="1" applyAlignment="1">
      <alignment horizontal="center" vertical="center"/>
    </xf>
    <xf numFmtId="14" fontId="106" fillId="0" borderId="0" xfId="0" applyNumberFormat="1" applyFont="1"/>
    <xf numFmtId="0" fontId="8" fillId="0" borderId="4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10" borderId="190" xfId="0" applyFont="1" applyFill="1" applyBorder="1" applyAlignment="1">
      <alignment horizontal="center" vertical="center"/>
    </xf>
    <xf numFmtId="0" fontId="67" fillId="0" borderId="103" xfId="0" applyFont="1" applyBorder="1" applyAlignment="1">
      <alignment vertical="center"/>
    </xf>
    <xf numFmtId="0" fontId="67" fillId="0" borderId="104" xfId="0" applyFont="1" applyBorder="1" applyAlignment="1">
      <alignment vertical="center"/>
    </xf>
    <xf numFmtId="0" fontId="14" fillId="0" borderId="129" xfId="0" applyFont="1" applyBorder="1" applyAlignment="1">
      <alignment vertical="center"/>
    </xf>
    <xf numFmtId="0" fontId="20" fillId="0" borderId="129" xfId="0" applyFont="1" applyBorder="1" applyAlignment="1">
      <alignment vertical="center"/>
    </xf>
    <xf numFmtId="0" fontId="26" fillId="0" borderId="129" xfId="0" applyFont="1" applyBorder="1" applyAlignment="1">
      <alignment horizontal="center" vertical="center"/>
    </xf>
    <xf numFmtId="0" fontId="7" fillId="0" borderId="131" xfId="0" applyFont="1" applyBorder="1" applyAlignment="1">
      <alignment vertical="center"/>
    </xf>
    <xf numFmtId="0" fontId="12" fillId="0" borderId="12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25" fillId="11" borderId="129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8" fillId="0" borderId="261" xfId="0" applyFont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8" fillId="0" borderId="10" xfId="0" applyFont="1" applyBorder="1" applyAlignment="1">
      <alignment horizontal="center" vertical="center"/>
    </xf>
    <xf numFmtId="1" fontId="30" fillId="0" borderId="252" xfId="0" applyNumberFormat="1" applyFont="1" applyBorder="1" applyAlignment="1">
      <alignment vertical="center"/>
    </xf>
    <xf numFmtId="0" fontId="27" fillId="0" borderId="263" xfId="0" applyFont="1" applyBorder="1" applyAlignment="1">
      <alignment horizontal="right" vertical="center"/>
    </xf>
    <xf numFmtId="0" fontId="7" fillId="0" borderId="264" xfId="0" applyFont="1" applyBorder="1" applyAlignment="1">
      <alignment vertical="center"/>
    </xf>
    <xf numFmtId="0" fontId="7" fillId="0" borderId="265" xfId="0" applyFont="1" applyBorder="1" applyAlignment="1">
      <alignment vertical="center"/>
    </xf>
    <xf numFmtId="0" fontId="31" fillId="0" borderId="266" xfId="0" applyFont="1" applyBorder="1" applyAlignment="1">
      <alignment horizontal="right" vertical="center"/>
    </xf>
    <xf numFmtId="0" fontId="27" fillId="0" borderId="265" xfId="0" applyFont="1" applyBorder="1" applyAlignment="1">
      <alignment horizontal="left" vertical="center"/>
    </xf>
    <xf numFmtId="0" fontId="2" fillId="0" borderId="265" xfId="0" applyFont="1" applyBorder="1" applyAlignment="1">
      <alignment horizontal="center" vertical="center"/>
    </xf>
    <xf numFmtId="0" fontId="8" fillId="0" borderId="267" xfId="0" applyFont="1" applyBorder="1" applyAlignment="1">
      <alignment horizontal="center" vertical="center"/>
    </xf>
    <xf numFmtId="1" fontId="14" fillId="0" borderId="191" xfId="0" applyNumberFormat="1" applyFont="1" applyBorder="1" applyAlignment="1">
      <alignment vertical="center"/>
    </xf>
    <xf numFmtId="1" fontId="14" fillId="0" borderId="193" xfId="0" applyNumberFormat="1" applyFont="1" applyBorder="1" applyAlignment="1">
      <alignment vertical="center"/>
    </xf>
    <xf numFmtId="0" fontId="8" fillId="0" borderId="186" xfId="0" applyFont="1" applyBorder="1" applyAlignment="1">
      <alignment horizontal="center" vertical="center"/>
    </xf>
    <xf numFmtId="0" fontId="2" fillId="0" borderId="262" xfId="0" applyFont="1" applyBorder="1" applyAlignment="1">
      <alignment horizontal="center" vertical="center"/>
    </xf>
    <xf numFmtId="0" fontId="12" fillId="4" borderId="265" xfId="0" applyFont="1" applyFill="1" applyBorder="1" applyAlignment="1">
      <alignment horizontal="center" vertical="center"/>
    </xf>
    <xf numFmtId="0" fontId="21" fillId="0" borderId="265" xfId="0" applyFont="1" applyBorder="1" applyAlignment="1">
      <alignment horizontal="center" vertical="center"/>
    </xf>
    <xf numFmtId="0" fontId="26" fillId="0" borderId="265" xfId="0" applyFont="1" applyBorder="1" applyAlignment="1">
      <alignment horizontal="center" vertical="center"/>
    </xf>
    <xf numFmtId="0" fontId="12" fillId="0" borderId="265" xfId="0" applyFont="1" applyBorder="1" applyAlignment="1">
      <alignment horizontal="center" vertical="center"/>
    </xf>
    <xf numFmtId="0" fontId="8" fillId="0" borderId="268" xfId="0" applyFont="1" applyBorder="1" applyAlignment="1">
      <alignment horizontal="center" vertical="center"/>
    </xf>
    <xf numFmtId="0" fontId="27" fillId="0" borderId="269" xfId="0" applyFont="1" applyBorder="1" applyAlignment="1">
      <alignment horizontal="right" vertical="center"/>
    </xf>
    <xf numFmtId="0" fontId="7" fillId="0" borderId="270" xfId="0" applyFont="1" applyBorder="1" applyAlignment="1">
      <alignment vertical="center"/>
    </xf>
    <xf numFmtId="0" fontId="7" fillId="0" borderId="271" xfId="0" applyFont="1" applyBorder="1" applyAlignment="1">
      <alignment vertical="center"/>
    </xf>
    <xf numFmtId="0" fontId="31" fillId="0" borderId="272" xfId="0" applyFont="1" applyBorder="1" applyAlignment="1">
      <alignment horizontal="right" vertical="center"/>
    </xf>
    <xf numFmtId="0" fontId="27" fillId="0" borderId="273" xfId="0" applyFont="1" applyBorder="1" applyAlignment="1">
      <alignment horizontal="left" vertical="center"/>
    </xf>
    <xf numFmtId="0" fontId="8" fillId="0" borderId="274" xfId="0" applyFont="1" applyBorder="1" applyAlignment="1">
      <alignment horizontal="center" vertical="center"/>
    </xf>
    <xf numFmtId="0" fontId="2" fillId="0" borderId="274" xfId="0" applyFont="1" applyBorder="1" applyAlignment="1">
      <alignment horizontal="center" vertical="center"/>
    </xf>
    <xf numFmtId="0" fontId="20" fillId="0" borderId="274" xfId="0" applyFont="1" applyBorder="1" applyAlignment="1">
      <alignment horizontal="center" vertical="center"/>
    </xf>
    <xf numFmtId="0" fontId="25" fillId="0" borderId="274" xfId="0" applyFont="1" applyBorder="1" applyAlignment="1">
      <alignment horizontal="center" vertical="center"/>
    </xf>
    <xf numFmtId="0" fontId="10" fillId="0" borderId="274" xfId="0" applyFont="1" applyBorder="1" applyAlignment="1">
      <alignment horizontal="center" vertical="center"/>
    </xf>
    <xf numFmtId="0" fontId="8" fillId="0" borderId="275" xfId="0" applyFont="1" applyBorder="1" applyAlignment="1">
      <alignment horizontal="center" vertical="center"/>
    </xf>
    <xf numFmtId="0" fontId="8" fillId="0" borderId="276" xfId="0" applyFont="1" applyBorder="1" applyAlignment="1">
      <alignment horizontal="center" vertical="center"/>
    </xf>
    <xf numFmtId="0" fontId="8" fillId="0" borderId="277" xfId="0" applyFont="1" applyBorder="1" applyAlignment="1">
      <alignment horizontal="center" vertical="center"/>
    </xf>
    <xf numFmtId="0" fontId="8" fillId="0" borderId="278" xfId="0" applyFont="1" applyBorder="1" applyAlignment="1">
      <alignment horizontal="center" vertical="center"/>
    </xf>
    <xf numFmtId="0" fontId="8" fillId="0" borderId="279" xfId="0" applyFont="1" applyBorder="1" applyAlignment="1">
      <alignment horizontal="center" vertical="center"/>
    </xf>
    <xf numFmtId="0" fontId="8" fillId="0" borderId="280" xfId="0" applyFont="1" applyBorder="1" applyAlignment="1">
      <alignment horizontal="center" vertical="center"/>
    </xf>
    <xf numFmtId="0" fontId="8" fillId="5" borderId="276" xfId="0" applyFont="1" applyFill="1" applyBorder="1" applyAlignment="1">
      <alignment horizontal="center" vertical="center"/>
    </xf>
    <xf numFmtId="0" fontId="8" fillId="0" borderId="276" xfId="0" applyFont="1" applyFill="1" applyBorder="1" applyAlignment="1">
      <alignment horizontal="center" vertical="center"/>
    </xf>
    <xf numFmtId="0" fontId="8" fillId="0" borderId="281" xfId="0" applyFont="1" applyBorder="1" applyAlignment="1">
      <alignment horizontal="center" vertical="center"/>
    </xf>
    <xf numFmtId="0" fontId="27" fillId="0" borderId="282" xfId="0" applyFont="1" applyBorder="1" applyAlignment="1">
      <alignment horizontal="right" vertical="center"/>
    </xf>
    <xf numFmtId="0" fontId="7" fillId="0" borderId="283" xfId="0" applyFont="1" applyBorder="1" applyAlignment="1">
      <alignment vertical="center"/>
    </xf>
    <xf numFmtId="0" fontId="7" fillId="0" borderId="284" xfId="0" applyFont="1" applyBorder="1" applyAlignment="1">
      <alignment vertical="center"/>
    </xf>
    <xf numFmtId="0" fontId="7" fillId="0" borderId="285" xfId="0" applyFont="1" applyBorder="1" applyAlignment="1">
      <alignment horizontal="right" vertical="center"/>
    </xf>
    <xf numFmtId="0" fontId="27" fillId="0" borderId="284" xfId="0" applyFont="1" applyBorder="1" applyAlignment="1">
      <alignment horizontal="left" vertical="center"/>
    </xf>
    <xf numFmtId="0" fontId="8" fillId="0" borderId="284" xfId="0" applyFont="1" applyBorder="1" applyAlignment="1">
      <alignment horizontal="center" vertical="center"/>
    </xf>
    <xf numFmtId="0" fontId="2" fillId="0" borderId="284" xfId="0" applyFont="1" applyBorder="1" applyAlignment="1">
      <alignment horizontal="center" vertical="center"/>
    </xf>
    <xf numFmtId="0" fontId="20" fillId="0" borderId="284" xfId="0" applyFont="1" applyBorder="1" applyAlignment="1">
      <alignment horizontal="center" vertical="center"/>
    </xf>
    <xf numFmtId="0" fontId="25" fillId="0" borderId="284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8" fillId="0" borderId="286" xfId="0" applyFont="1" applyBorder="1" applyAlignment="1">
      <alignment horizontal="center" vertical="center"/>
    </xf>
    <xf numFmtId="0" fontId="71" fillId="0" borderId="166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93" fillId="0" borderId="142" xfId="0" applyFont="1" applyBorder="1" applyAlignment="1">
      <alignment horizontal="right" vertical="center"/>
    </xf>
    <xf numFmtId="0" fontId="71" fillId="0" borderId="292" xfId="0" applyFont="1" applyBorder="1" applyAlignment="1">
      <alignment horizontal="center" vertical="center"/>
    </xf>
    <xf numFmtId="0" fontId="88" fillId="0" borderId="173" xfId="0" applyFont="1" applyBorder="1" applyAlignment="1">
      <alignment vertical="center"/>
    </xf>
    <xf numFmtId="0" fontId="88" fillId="0" borderId="142" xfId="0" applyFont="1" applyBorder="1" applyAlignment="1">
      <alignment vertical="center"/>
    </xf>
    <xf numFmtId="0" fontId="88" fillId="0" borderId="290" xfId="0" applyFont="1" applyBorder="1" applyAlignment="1">
      <alignment horizontal="right" vertical="center"/>
    </xf>
    <xf numFmtId="0" fontId="87" fillId="0" borderId="291" xfId="0" applyFont="1" applyBorder="1" applyAlignment="1">
      <alignment horizontal="left" vertical="center"/>
    </xf>
    <xf numFmtId="0" fontId="81" fillId="0" borderId="142" xfId="0" applyFont="1" applyBorder="1" applyAlignment="1">
      <alignment horizontal="center" vertical="center"/>
    </xf>
    <xf numFmtId="164" fontId="95" fillId="0" borderId="140" xfId="0" applyNumberFormat="1" applyFont="1" applyBorder="1" applyAlignment="1">
      <alignment vertical="center"/>
    </xf>
    <xf numFmtId="0" fontId="10" fillId="0" borderId="293" xfId="0" applyFont="1" applyBorder="1" applyAlignment="1">
      <alignment horizontal="center" vertical="center"/>
    </xf>
    <xf numFmtId="0" fontId="93" fillId="0" borderId="294" xfId="0" applyFont="1" applyBorder="1" applyAlignment="1">
      <alignment horizontal="right" vertical="center"/>
    </xf>
    <xf numFmtId="0" fontId="30" fillId="0" borderId="295" xfId="0" applyFont="1" applyBorder="1" applyAlignment="1">
      <alignment vertical="center"/>
    </xf>
    <xf numFmtId="0" fontId="94" fillId="0" borderId="296" xfId="0" applyFont="1" applyBorder="1" applyAlignment="1">
      <alignment vertical="center"/>
    </xf>
    <xf numFmtId="0" fontId="22" fillId="0" borderId="294" xfId="0" applyFont="1" applyBorder="1" applyAlignment="1">
      <alignment vertical="center"/>
    </xf>
    <xf numFmtId="0" fontId="93" fillId="0" borderId="295" xfId="0" applyFont="1" applyBorder="1" applyAlignment="1">
      <alignment horizontal="left" vertical="center"/>
    </xf>
    <xf numFmtId="0" fontId="10" fillId="0" borderId="296" xfId="0" applyFont="1" applyBorder="1" applyAlignment="1">
      <alignment horizontal="center" vertical="center"/>
    </xf>
    <xf numFmtId="1" fontId="95" fillId="0" borderId="296" xfId="0" applyNumberFormat="1" applyFont="1" applyBorder="1" applyAlignment="1">
      <alignment vertical="center"/>
    </xf>
    <xf numFmtId="0" fontId="30" fillId="0" borderId="297" xfId="0" applyFont="1" applyBorder="1" applyAlignment="1">
      <alignment horizontal="right" vertical="center"/>
    </xf>
    <xf numFmtId="0" fontId="94" fillId="0" borderId="260" xfId="0" applyFont="1" applyBorder="1" applyAlignment="1">
      <alignment horizontal="right" vertical="center"/>
    </xf>
    <xf numFmtId="0" fontId="94" fillId="0" borderId="256" xfId="0" applyFont="1" applyBorder="1" applyAlignment="1">
      <alignment vertical="center"/>
    </xf>
    <xf numFmtId="0" fontId="9" fillId="0" borderId="255" xfId="0" applyFont="1" applyBorder="1" applyAlignment="1">
      <alignment vertical="center"/>
    </xf>
    <xf numFmtId="0" fontId="94" fillId="0" borderId="258" xfId="0" applyFont="1" applyBorder="1" applyAlignment="1">
      <alignment horizontal="right" vertical="center"/>
    </xf>
    <xf numFmtId="0" fontId="10" fillId="0" borderId="298" xfId="0" applyFont="1" applyBorder="1" applyAlignment="1">
      <alignment horizontal="center" vertical="center"/>
    </xf>
    <xf numFmtId="0" fontId="30" fillId="0" borderId="195" xfId="0" applyFont="1" applyBorder="1" applyAlignment="1">
      <alignment vertical="center"/>
    </xf>
    <xf numFmtId="0" fontId="22" fillId="0" borderId="194" xfId="0" applyFont="1" applyBorder="1" applyAlignment="1">
      <alignment vertical="center"/>
    </xf>
    <xf numFmtId="0" fontId="30" fillId="0" borderId="252" xfId="0" applyFont="1" applyBorder="1" applyAlignment="1">
      <alignment horizontal="right" vertical="center"/>
    </xf>
    <xf numFmtId="0" fontId="111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9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6" applyNumberFormat="1" applyFont="1" applyFill="1" applyAlignment="1">
      <alignment horizontal="right" vertical="center"/>
    </xf>
    <xf numFmtId="9" fontId="6" fillId="0" borderId="0" xfId="5" applyFont="1" applyFill="1" applyAlignment="1">
      <alignment vertical="center"/>
    </xf>
    <xf numFmtId="0" fontId="10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9" fontId="6" fillId="0" borderId="0" xfId="5" applyFont="1" applyFill="1" applyAlignment="1">
      <alignment horizontal="right" vertical="center"/>
    </xf>
    <xf numFmtId="165" fontId="6" fillId="0" borderId="0" xfId="6" applyNumberFormat="1" applyFont="1" applyFill="1" applyAlignment="1">
      <alignment vertical="center"/>
    </xf>
    <xf numFmtId="0" fontId="90" fillId="0" borderId="0" xfId="0" applyFont="1" applyFill="1" applyAlignment="1">
      <alignment vertical="center"/>
    </xf>
    <xf numFmtId="165" fontId="6" fillId="0" borderId="0" xfId="6" applyNumberFormat="1" applyFont="1" applyFill="1" applyAlignment="1">
      <alignment horizontal="right" vertical="center"/>
    </xf>
    <xf numFmtId="0" fontId="109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109" fillId="0" borderId="0" xfId="0" applyFont="1" applyFill="1" applyAlignment="1">
      <alignment horizontal="left" vertical="center"/>
    </xf>
    <xf numFmtId="43" fontId="6" fillId="0" borderId="0" xfId="0" applyNumberFormat="1" applyFont="1" applyFill="1" applyAlignment="1">
      <alignment vertical="center"/>
    </xf>
    <xf numFmtId="0" fontId="110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8" fillId="0" borderId="36" xfId="0" applyFont="1" applyBorder="1" applyAlignment="1">
      <alignment horizontal="right" vertical="center"/>
    </xf>
    <xf numFmtId="0" fontId="27" fillId="0" borderId="299" xfId="0" applyFont="1" applyBorder="1" applyAlignment="1">
      <alignment horizontal="left" vertical="center"/>
    </xf>
    <xf numFmtId="0" fontId="8" fillId="0" borderId="262" xfId="0" applyFont="1" applyBorder="1" applyAlignment="1">
      <alignment horizontal="center" vertical="center"/>
    </xf>
    <xf numFmtId="0" fontId="10" fillId="0" borderId="265" xfId="0" applyFont="1" applyBorder="1" applyAlignment="1">
      <alignment horizontal="center" vertical="center"/>
    </xf>
    <xf numFmtId="0" fontId="2" fillId="0" borderId="267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8" fillId="6" borderId="80" xfId="0" applyFont="1" applyFill="1" applyBorder="1" applyAlignment="1">
      <alignment horizontal="center" vertical="center"/>
    </xf>
    <xf numFmtId="0" fontId="8" fillId="6" borderId="265" xfId="0" applyFont="1" applyFill="1" applyBorder="1" applyAlignment="1">
      <alignment horizontal="center" vertical="center"/>
    </xf>
    <xf numFmtId="0" fontId="20" fillId="0" borderId="265" xfId="0" applyFont="1" applyBorder="1" applyAlignment="1">
      <alignment horizontal="center" vertical="center"/>
    </xf>
    <xf numFmtId="0" fontId="25" fillId="0" borderId="265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265" xfId="0" applyFont="1" applyBorder="1" applyAlignment="1">
      <alignment horizontal="center" vertical="center"/>
    </xf>
    <xf numFmtId="0" fontId="25" fillId="15" borderId="129" xfId="0" applyFont="1" applyFill="1" applyBorder="1" applyAlignment="1">
      <alignment horizontal="center" vertical="center"/>
    </xf>
    <xf numFmtId="0" fontId="9" fillId="0" borderId="129" xfId="0" applyFont="1" applyBorder="1" applyAlignment="1">
      <alignment vertical="center"/>
    </xf>
    <xf numFmtId="0" fontId="91" fillId="0" borderId="176" xfId="0" applyFont="1" applyBorder="1" applyAlignment="1">
      <alignment horizontal="center" vertical="top" wrapText="1"/>
    </xf>
    <xf numFmtId="0" fontId="91" fillId="0" borderId="177" xfId="0" applyFont="1" applyBorder="1" applyAlignment="1">
      <alignment horizontal="center" vertical="top" wrapText="1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67" fillId="0" borderId="88" xfId="0" applyFont="1" applyBorder="1" applyAlignment="1">
      <alignment horizontal="center" vertical="center"/>
    </xf>
    <xf numFmtId="0" fontId="67" fillId="0" borderId="89" xfId="0" applyFont="1" applyBorder="1" applyAlignment="1">
      <alignment horizontal="center" vertical="center"/>
    </xf>
    <xf numFmtId="0" fontId="64" fillId="0" borderId="124" xfId="0" applyFont="1" applyBorder="1" applyAlignment="1">
      <alignment horizontal="center" vertical="center"/>
    </xf>
    <xf numFmtId="0" fontId="64" fillId="0" borderId="121" xfId="0" applyFont="1" applyBorder="1" applyAlignment="1">
      <alignment horizontal="center" vertical="center"/>
    </xf>
    <xf numFmtId="0" fontId="64" fillId="0" borderId="123" xfId="0" applyFont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0" fontId="22" fillId="0" borderId="126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1" fontId="89" fillId="0" borderId="163" xfId="0" applyNumberFormat="1" applyFont="1" applyBorder="1" applyAlignment="1">
      <alignment horizontal="center" vertical="center"/>
    </xf>
    <xf numFmtId="1" fontId="89" fillId="0" borderId="160" xfId="0" applyNumberFormat="1" applyFont="1" applyBorder="1" applyAlignment="1">
      <alignment horizontal="center" vertical="center"/>
    </xf>
    <xf numFmtId="1" fontId="89" fillId="0" borderId="169" xfId="0" applyNumberFormat="1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left" vertical="center"/>
    </xf>
    <xf numFmtId="0" fontId="11" fillId="0" borderId="103" xfId="0" applyFont="1" applyBorder="1" applyAlignment="1">
      <alignment horizontal="left" vertical="center"/>
    </xf>
    <xf numFmtId="0" fontId="11" fillId="0" borderId="128" xfId="0" applyFont="1" applyBorder="1" applyAlignment="1">
      <alignment horizontal="left" vertical="center"/>
    </xf>
    <xf numFmtId="0" fontId="11" fillId="0" borderId="129" xfId="0" applyFont="1" applyBorder="1" applyAlignment="1">
      <alignment horizontal="left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105" fillId="0" borderId="249" xfId="0" applyFont="1" applyFill="1" applyBorder="1" applyAlignment="1">
      <alignment horizontal="right" vertical="center"/>
    </xf>
    <xf numFmtId="0" fontId="105" fillId="0" borderId="250" xfId="0" applyFont="1" applyFill="1" applyBorder="1" applyAlignment="1">
      <alignment horizontal="right" vertical="center"/>
    </xf>
    <xf numFmtId="0" fontId="105" fillId="0" borderId="207" xfId="0" applyFont="1" applyFill="1" applyBorder="1" applyAlignment="1">
      <alignment horizontal="right" vertical="center"/>
    </xf>
    <xf numFmtId="0" fontId="105" fillId="0" borderId="209" xfId="0" applyFont="1" applyFill="1" applyBorder="1" applyAlignment="1">
      <alignment horizontal="right" vertical="center"/>
    </xf>
    <xf numFmtId="0" fontId="67" fillId="0" borderId="103" xfId="0" applyFont="1" applyBorder="1" applyAlignment="1">
      <alignment horizontal="center" vertical="center"/>
    </xf>
    <xf numFmtId="0" fontId="67" fillId="0" borderId="10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" fontId="89" fillId="0" borderId="199" xfId="0" applyNumberFormat="1" applyFont="1" applyBorder="1" applyAlignment="1">
      <alignment horizontal="center" vertical="center"/>
    </xf>
    <xf numFmtId="1" fontId="89" fillId="0" borderId="200" xfId="0" applyNumberFormat="1" applyFont="1" applyBorder="1" applyAlignment="1">
      <alignment horizontal="center" vertical="center"/>
    </xf>
    <xf numFmtId="1" fontId="89" fillId="0" borderId="201" xfId="0" applyNumberFormat="1" applyFont="1" applyBorder="1" applyAlignment="1">
      <alignment horizontal="center" vertical="center"/>
    </xf>
    <xf numFmtId="1" fontId="89" fillId="0" borderId="150" xfId="0" applyNumberFormat="1" applyFont="1" applyBorder="1" applyAlignment="1">
      <alignment horizontal="center" vertical="center"/>
    </xf>
    <xf numFmtId="1" fontId="89" fillId="0" borderId="148" xfId="0" applyNumberFormat="1" applyFont="1" applyBorder="1" applyAlignment="1">
      <alignment horizontal="center" vertical="center"/>
    </xf>
    <xf numFmtId="1" fontId="89" fillId="0" borderId="152" xfId="0" applyNumberFormat="1" applyFont="1" applyBorder="1" applyAlignment="1">
      <alignment horizontal="center" vertical="center"/>
    </xf>
    <xf numFmtId="0" fontId="11" fillId="0" borderId="227" xfId="0" applyFont="1" applyBorder="1" applyAlignment="1">
      <alignment horizontal="left" vertical="center"/>
    </xf>
    <xf numFmtId="0" fontId="11" fillId="0" borderId="224" xfId="0" applyFont="1" applyBorder="1" applyAlignment="1">
      <alignment horizontal="left" vertical="center"/>
    </xf>
    <xf numFmtId="0" fontId="11" fillId="0" borderId="240" xfId="0" applyFont="1" applyBorder="1" applyAlignment="1">
      <alignment horizontal="left" vertical="center"/>
    </xf>
    <xf numFmtId="0" fontId="11" fillId="0" borderId="241" xfId="0" applyFont="1" applyBorder="1" applyAlignment="1">
      <alignment horizontal="left" vertical="center"/>
    </xf>
    <xf numFmtId="0" fontId="33" fillId="0" borderId="224" xfId="0" applyFont="1" applyBorder="1" applyAlignment="1">
      <alignment horizontal="center" vertical="center"/>
    </xf>
    <xf numFmtId="0" fontId="33" fillId="0" borderId="241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82" fillId="19" borderId="102" xfId="0" applyFont="1" applyFill="1" applyBorder="1" applyAlignment="1">
      <alignment horizontal="left" vertical="center"/>
    </xf>
    <xf numFmtId="0" fontId="82" fillId="19" borderId="103" xfId="0" applyFont="1" applyFill="1" applyBorder="1" applyAlignment="1">
      <alignment horizontal="left" vertical="center"/>
    </xf>
    <xf numFmtId="0" fontId="82" fillId="19" borderId="128" xfId="0" applyFont="1" applyFill="1" applyBorder="1" applyAlignment="1">
      <alignment horizontal="left" vertical="center"/>
    </xf>
    <xf numFmtId="0" fontId="82" fillId="19" borderId="129" xfId="0" applyFont="1" applyFill="1" applyBorder="1" applyAlignment="1">
      <alignment horizontal="left" vertical="center"/>
    </xf>
    <xf numFmtId="0" fontId="67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67" fillId="0" borderId="224" xfId="0" applyFont="1" applyBorder="1" applyAlignment="1">
      <alignment horizontal="center" vertical="center"/>
    </xf>
    <xf numFmtId="0" fontId="67" fillId="0" borderId="228" xfId="0" applyFont="1" applyBorder="1" applyAlignment="1">
      <alignment horizontal="center" vertical="center"/>
    </xf>
    <xf numFmtId="0" fontId="83" fillId="19" borderId="103" xfId="0" applyFont="1" applyFill="1" applyBorder="1" applyAlignment="1">
      <alignment horizontal="center" vertical="center"/>
    </xf>
    <xf numFmtId="0" fontId="83" fillId="19" borderId="129" xfId="0" applyFont="1" applyFill="1" applyBorder="1" applyAlignment="1">
      <alignment horizontal="center" vertical="center"/>
    </xf>
    <xf numFmtId="1" fontId="89" fillId="0" borderId="219" xfId="0" applyNumberFormat="1" applyFont="1" applyBorder="1" applyAlignment="1">
      <alignment horizontal="center" vertical="center"/>
    </xf>
    <xf numFmtId="1" fontId="89" fillId="0" borderId="220" xfId="0" applyNumberFormat="1" applyFont="1" applyBorder="1" applyAlignment="1">
      <alignment horizontal="center" vertical="center"/>
    </xf>
    <xf numFmtId="1" fontId="89" fillId="0" borderId="221" xfId="0" applyNumberFormat="1" applyFont="1" applyBorder="1" applyAlignment="1">
      <alignment horizontal="center" vertical="center"/>
    </xf>
    <xf numFmtId="0" fontId="65" fillId="0" borderId="212" xfId="0" applyFont="1" applyBorder="1" applyAlignment="1">
      <alignment horizontal="center" vertical="center"/>
    </xf>
    <xf numFmtId="1" fontId="89" fillId="0" borderId="215" xfId="0" applyNumberFormat="1" applyFont="1" applyBorder="1" applyAlignment="1">
      <alignment horizontal="center" vertical="center"/>
    </xf>
    <xf numFmtId="1" fontId="89" fillId="0" borderId="216" xfId="0" applyNumberFormat="1" applyFont="1" applyBorder="1" applyAlignment="1">
      <alignment horizontal="center" vertical="center"/>
    </xf>
    <xf numFmtId="1" fontId="89" fillId="0" borderId="217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0" fillId="0" borderId="225" xfId="0" applyFont="1" applyBorder="1" applyAlignment="1">
      <alignment horizontal="center" vertical="center"/>
    </xf>
    <xf numFmtId="0" fontId="20" fillId="0" borderId="226" xfId="0" applyFont="1" applyBorder="1" applyAlignment="1">
      <alignment horizontal="center" vertical="center"/>
    </xf>
    <xf numFmtId="0" fontId="22" fillId="0" borderId="238" xfId="0" applyFont="1" applyBorder="1" applyAlignment="1">
      <alignment horizontal="center" vertical="center"/>
    </xf>
    <xf numFmtId="0" fontId="22" fillId="0" borderId="239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92" fillId="0" borderId="248" xfId="0" applyFont="1" applyFill="1" applyBorder="1" applyAlignment="1">
      <alignment horizontal="left" vertical="center"/>
    </xf>
    <xf numFmtId="0" fontId="92" fillId="0" borderId="249" xfId="0" applyFont="1" applyFill="1" applyBorder="1" applyAlignment="1">
      <alignment horizontal="left" vertical="center"/>
    </xf>
    <xf numFmtId="0" fontId="92" fillId="0" borderId="206" xfId="0" applyFont="1" applyFill="1" applyBorder="1" applyAlignment="1">
      <alignment horizontal="left" vertical="center"/>
    </xf>
    <xf numFmtId="0" fontId="92" fillId="0" borderId="207" xfId="0" applyFont="1" applyFill="1" applyBorder="1" applyAlignment="1">
      <alignment horizontal="left" vertical="center"/>
    </xf>
    <xf numFmtId="0" fontId="33" fillId="0" borderId="64" xfId="0" applyFont="1" applyBorder="1" applyAlignment="1">
      <alignment horizontal="left" vertical="center"/>
    </xf>
    <xf numFmtId="0" fontId="33" fillId="0" borderId="65" xfId="0" applyFont="1" applyBorder="1" applyAlignment="1">
      <alignment horizontal="left" vertical="center"/>
    </xf>
    <xf numFmtId="0" fontId="33" fillId="0" borderId="79" xfId="0" applyFont="1" applyBorder="1" applyAlignment="1">
      <alignment horizontal="left" vertical="center"/>
    </xf>
    <xf numFmtId="0" fontId="33" fillId="0" borderId="80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0" fontId="11" fillId="0" borderId="8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87" xfId="0" applyFont="1" applyBorder="1" applyAlignment="1">
      <alignment horizontal="left" vertical="center"/>
    </xf>
    <xf numFmtId="0" fontId="11" fillId="0" borderId="88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33" fillId="0" borderId="88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86" fillId="19" borderId="126" xfId="0" applyFont="1" applyFill="1" applyBorder="1" applyAlignment="1">
      <alignment horizontal="center" vertical="center"/>
    </xf>
    <xf numFmtId="0" fontId="86" fillId="19" borderId="127" xfId="0" applyFont="1" applyFill="1" applyBorder="1" applyAlignment="1">
      <alignment horizontal="center" vertical="center"/>
    </xf>
    <xf numFmtId="1" fontId="89" fillId="0" borderId="157" xfId="0" applyNumberFormat="1" applyFont="1" applyBorder="1" applyAlignment="1">
      <alignment horizontal="center" vertical="center"/>
    </xf>
    <xf numFmtId="1" fontId="89" fillId="0" borderId="154" xfId="0" applyNumberFormat="1" applyFont="1" applyBorder="1" applyAlignment="1">
      <alignment horizontal="center" vertical="center"/>
    </xf>
    <xf numFmtId="1" fontId="89" fillId="0" borderId="165" xfId="0" applyNumberFormat="1" applyFont="1" applyBorder="1" applyAlignment="1">
      <alignment horizontal="center" vertical="center"/>
    </xf>
    <xf numFmtId="1" fontId="89" fillId="0" borderId="287" xfId="0" applyNumberFormat="1" applyFont="1" applyBorder="1" applyAlignment="1">
      <alignment horizontal="center" vertical="center"/>
    </xf>
    <xf numFmtId="1" fontId="89" fillId="0" borderId="288" xfId="0" applyNumberFormat="1" applyFont="1" applyBorder="1" applyAlignment="1">
      <alignment horizontal="center" vertical="center"/>
    </xf>
    <xf numFmtId="1" fontId="89" fillId="0" borderId="162" xfId="0" applyNumberFormat="1" applyFont="1" applyBorder="1" applyAlignment="1">
      <alignment horizontal="center" vertical="center"/>
    </xf>
    <xf numFmtId="1" fontId="89" fillId="0" borderId="164" xfId="0" applyNumberFormat="1" applyFont="1" applyBorder="1" applyAlignment="1">
      <alignment horizontal="center" vertical="center"/>
    </xf>
    <xf numFmtId="0" fontId="98" fillId="0" borderId="246" xfId="0" applyFont="1" applyFill="1" applyBorder="1" applyAlignment="1">
      <alignment horizontal="center" vertical="center"/>
    </xf>
    <xf numFmtId="0" fontId="98" fillId="0" borderId="247" xfId="0" applyFont="1" applyFill="1" applyBorder="1" applyAlignment="1">
      <alignment horizontal="center" vertical="center"/>
    </xf>
    <xf numFmtId="0" fontId="98" fillId="0" borderId="204" xfId="0" applyFont="1" applyFill="1" applyBorder="1" applyAlignment="1">
      <alignment horizontal="center" vertical="center"/>
    </xf>
    <xf numFmtId="0" fontId="98" fillId="0" borderId="205" xfId="0" applyFont="1" applyFill="1" applyBorder="1" applyAlignment="1">
      <alignment horizontal="center" vertical="center"/>
    </xf>
    <xf numFmtId="164" fontId="16" fillId="0" borderId="9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horizontal="right" vertical="center"/>
    </xf>
    <xf numFmtId="164" fontId="16" fillId="0" borderId="11" xfId="0" applyNumberFormat="1" applyFont="1" applyBorder="1" applyAlignment="1">
      <alignment horizontal="right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11" fillId="0" borderId="134" xfId="0" applyFont="1" applyBorder="1" applyAlignment="1">
      <alignment horizontal="left" vertical="center"/>
    </xf>
    <xf numFmtId="0" fontId="11" fillId="0" borderId="135" xfId="0" applyFont="1" applyBorder="1" applyAlignment="1">
      <alignment horizontal="left" vertical="center"/>
    </xf>
    <xf numFmtId="0" fontId="11" fillId="0" borderId="139" xfId="0" applyFont="1" applyBorder="1" applyAlignment="1">
      <alignment horizontal="left" vertical="center"/>
    </xf>
    <xf numFmtId="0" fontId="11" fillId="0" borderId="14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3" fillId="0" borderId="12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37" xfId="0" applyFont="1" applyBorder="1" applyAlignment="1">
      <alignment horizontal="center" vertical="center"/>
    </xf>
    <xf numFmtId="0" fontId="22" fillId="0" borderId="138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1" fillId="19" borderId="100" xfId="0" applyFont="1" applyFill="1" applyBorder="1" applyAlignment="1">
      <alignment horizontal="center" vertical="center"/>
    </xf>
    <xf numFmtId="0" fontId="81" fillId="19" borderId="101" xfId="0" applyFont="1" applyFill="1" applyBorder="1" applyAlignment="1">
      <alignment horizontal="center" vertical="center"/>
    </xf>
    <xf numFmtId="0" fontId="22" fillId="0" borderId="14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0" fillId="7" borderId="26" xfId="0" applyFont="1" applyFill="1" applyBorder="1" applyAlignment="1">
      <alignment horizontal="center" vertical="center"/>
    </xf>
    <xf numFmtId="0" fontId="90" fillId="7" borderId="24" xfId="0" applyFont="1" applyFill="1" applyBorder="1" applyAlignment="1">
      <alignment horizontal="center" vertical="center"/>
    </xf>
    <xf numFmtId="0" fontId="90" fillId="7" borderId="2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51" fillId="0" borderId="8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33" fillId="0" borderId="65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9" fontId="96" fillId="0" borderId="183" xfId="0" applyNumberFormat="1" applyFont="1" applyBorder="1" applyAlignment="1">
      <alignment horizontal="center"/>
    </xf>
    <xf numFmtId="9" fontId="96" fillId="0" borderId="184" xfId="0" applyNumberFormat="1" applyFont="1" applyBorder="1" applyAlignment="1">
      <alignment horizontal="center"/>
    </xf>
    <xf numFmtId="9" fontId="96" fillId="0" borderId="185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8" fillId="0" borderId="4" xfId="0" applyFont="1" applyBorder="1" applyAlignment="1">
      <alignment horizontal="right" vertical="center" wrapText="1"/>
    </xf>
    <xf numFmtId="0" fontId="98" fillId="0" borderId="5" xfId="0" applyFont="1" applyBorder="1" applyAlignment="1">
      <alignment horizontal="right" vertical="center" wrapText="1"/>
    </xf>
    <xf numFmtId="0" fontId="98" fillId="0" borderId="8" xfId="0" applyFont="1" applyBorder="1" applyAlignment="1">
      <alignment horizontal="right" vertical="center" wrapText="1"/>
    </xf>
    <xf numFmtId="0" fontId="98" fillId="0" borderId="34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64" fontId="61" fillId="0" borderId="8" xfId="0" applyNumberFormat="1" applyFont="1" applyBorder="1" applyAlignment="1">
      <alignment horizontal="right" vertical="center"/>
    </xf>
    <xf numFmtId="164" fontId="61" fillId="0" borderId="34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28" xfId="0" applyFont="1" applyBorder="1" applyAlignment="1">
      <alignment vertical="center"/>
    </xf>
    <xf numFmtId="0" fontId="11" fillId="0" borderId="129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64" fontId="16" fillId="0" borderId="7" xfId="0" applyNumberFormat="1" applyFont="1" applyBorder="1" applyAlignment="1">
      <alignment horizontal="right" vertical="center"/>
    </xf>
    <xf numFmtId="164" fontId="16" fillId="0" borderId="8" xfId="0" applyNumberFormat="1" applyFont="1" applyBorder="1" applyAlignment="1">
      <alignment horizontal="right" vertical="center"/>
    </xf>
    <xf numFmtId="164" fontId="16" fillId="0" borderId="34" xfId="0" applyNumberFormat="1" applyFon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164" fontId="17" fillId="0" borderId="10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164" fontId="61" fillId="0" borderId="10" xfId="0" applyNumberFormat="1" applyFont="1" applyBorder="1" applyAlignment="1">
      <alignment horizontal="right" vertical="center"/>
    </xf>
    <xf numFmtId="164" fontId="61" fillId="0" borderId="11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61" fillId="0" borderId="17" xfId="0" applyNumberFormat="1" applyFont="1" applyBorder="1" applyAlignment="1">
      <alignment horizontal="right" vertical="center"/>
    </xf>
    <xf numFmtId="164" fontId="61" fillId="0" borderId="2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0" fillId="0" borderId="102" xfId="0" applyFont="1" applyBorder="1" applyAlignment="1">
      <alignment horizontal="left" vertical="center"/>
    </xf>
    <xf numFmtId="0" fontId="60" fillId="0" borderId="103" xfId="0" applyFont="1" applyBorder="1" applyAlignment="1">
      <alignment horizontal="left" vertical="center"/>
    </xf>
    <xf numFmtId="0" fontId="60" fillId="0" borderId="7" xfId="0" applyFont="1" applyBorder="1" applyAlignment="1">
      <alignment horizontal="left" vertical="center"/>
    </xf>
    <xf numFmtId="0" fontId="60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4" fontId="17" fillId="0" borderId="12" xfId="0" applyNumberFormat="1" applyFont="1" applyBorder="1" applyAlignment="1">
      <alignment horizontal="right" vertical="center"/>
    </xf>
    <xf numFmtId="164" fontId="17" fillId="0" borderId="13" xfId="0" applyNumberFormat="1" applyFont="1" applyBorder="1" applyAlignment="1">
      <alignment horizontal="right" vertical="center"/>
    </xf>
    <xf numFmtId="164" fontId="17" fillId="0" borderId="14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right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20" xfId="0" applyNumberFormat="1" applyFont="1" applyBorder="1" applyAlignment="1">
      <alignment horizontal="right" vertical="center"/>
    </xf>
    <xf numFmtId="0" fontId="85" fillId="19" borderId="103" xfId="0" applyFont="1" applyFill="1" applyBorder="1" applyAlignment="1">
      <alignment horizontal="center" vertical="center"/>
    </xf>
    <xf numFmtId="0" fontId="85" fillId="19" borderId="104" xfId="0" applyFont="1" applyFill="1" applyBorder="1" applyAlignment="1">
      <alignment horizontal="center" vertical="center"/>
    </xf>
    <xf numFmtId="0" fontId="85" fillId="19" borderId="129" xfId="0" applyFont="1" applyFill="1" applyBorder="1" applyAlignment="1">
      <alignment horizontal="center" vertical="center"/>
    </xf>
    <xf numFmtId="0" fontId="85" fillId="19" borderId="130" xfId="0" applyFont="1" applyFill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6" fillId="0" borderId="129" xfId="0" applyFont="1" applyBorder="1" applyAlignment="1">
      <alignment horizontal="center" vertical="center"/>
    </xf>
    <xf numFmtId="1" fontId="14" fillId="0" borderId="118" xfId="0" applyNumberFormat="1" applyFont="1" applyBorder="1" applyAlignment="1">
      <alignment horizontal="center" vertical="center"/>
    </xf>
    <xf numFmtId="1" fontId="14" fillId="0" borderId="115" xfId="0" applyNumberFormat="1" applyFont="1" applyBorder="1" applyAlignment="1">
      <alignment horizontal="center" vertical="center"/>
    </xf>
    <xf numFmtId="1" fontId="14" fillId="0" borderId="116" xfId="0" applyNumberFormat="1" applyFont="1" applyBorder="1" applyAlignment="1">
      <alignment horizontal="center" vertical="center"/>
    </xf>
    <xf numFmtId="1" fontId="69" fillId="0" borderId="10" xfId="0" applyNumberFormat="1" applyFont="1" applyBorder="1" applyAlignment="1">
      <alignment horizontal="center" vertical="center"/>
    </xf>
    <xf numFmtId="1" fontId="69" fillId="0" borderId="115" xfId="0" applyNumberFormat="1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1" fontId="69" fillId="0" borderId="142" xfId="0" applyNumberFormat="1" applyFont="1" applyBorder="1" applyAlignment="1">
      <alignment horizontal="center" vertical="center"/>
    </xf>
    <xf numFmtId="164" fontId="17" fillId="0" borderId="37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164" fontId="17" fillId="0" borderId="18" xfId="0" applyNumberFormat="1" applyFont="1" applyBorder="1" applyAlignment="1">
      <alignment horizontal="righ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28" xfId="0" applyNumberFormat="1" applyFont="1" applyBorder="1" applyAlignment="1">
      <alignment horizontal="right" vertical="center"/>
    </xf>
    <xf numFmtId="0" fontId="91" fillId="0" borderId="176" xfId="0" applyFont="1" applyBorder="1" applyAlignment="1">
      <alignment horizontal="center" wrapText="1"/>
    </xf>
    <xf numFmtId="0" fontId="91" fillId="0" borderId="176" xfId="0" applyFont="1" applyBorder="1" applyAlignment="1">
      <alignment horizontal="center" vertical="center" wrapText="1"/>
    </xf>
    <xf numFmtId="9" fontId="97" fillId="0" borderId="180" xfId="5" applyFont="1" applyBorder="1" applyAlignment="1">
      <alignment horizontal="center" vertical="center" shrinkToFit="1"/>
    </xf>
    <xf numFmtId="9" fontId="97" fillId="0" borderId="0" xfId="5" applyFont="1" applyBorder="1" applyAlignment="1">
      <alignment horizontal="center" vertical="center" shrinkToFit="1"/>
    </xf>
    <xf numFmtId="9" fontId="97" fillId="0" borderId="180" xfId="5" applyFont="1" applyBorder="1" applyAlignment="1">
      <alignment horizontal="center" vertical="center"/>
    </xf>
    <xf numFmtId="9" fontId="97" fillId="0" borderId="0" xfId="5" applyFont="1" applyBorder="1" applyAlignment="1">
      <alignment horizontal="center" vertical="center"/>
    </xf>
    <xf numFmtId="0" fontId="16" fillId="0" borderId="60" xfId="0" applyFont="1" applyBorder="1" applyAlignment="1">
      <alignment horizontal="left" vertical="justify"/>
    </xf>
    <xf numFmtId="0" fontId="16" fillId="0" borderId="0" xfId="0" applyFont="1" applyBorder="1" applyAlignment="1">
      <alignment horizontal="left" vertical="justify"/>
    </xf>
    <xf numFmtId="9" fontId="96" fillId="0" borderId="181" xfId="0" applyNumberFormat="1" applyFont="1" applyBorder="1" applyAlignment="1">
      <alignment horizontal="center"/>
    </xf>
    <xf numFmtId="9" fontId="96" fillId="0" borderId="24" xfId="0" applyNumberFormat="1" applyFont="1" applyBorder="1" applyAlignment="1">
      <alignment horizontal="center"/>
    </xf>
    <xf numFmtId="9" fontId="96" fillId="0" borderId="182" xfId="0" applyNumberFormat="1" applyFont="1" applyBorder="1" applyAlignment="1">
      <alignment horizontal="center"/>
    </xf>
    <xf numFmtId="0" fontId="30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0" fillId="0" borderId="9" xfId="0" applyFont="1" applyBorder="1" applyAlignment="1">
      <alignment vertical="center"/>
    </xf>
    <xf numFmtId="8" fontId="30" fillId="0" borderId="10" xfId="0" applyNumberFormat="1" applyFont="1" applyBorder="1" applyAlignment="1">
      <alignment horizontal="left" vertical="center"/>
    </xf>
  </cellXfs>
  <cellStyles count="7">
    <cellStyle name="Comma" xfId="6" builtinId="3"/>
    <cellStyle name="Currency" xfId="1" builtinId="4"/>
    <cellStyle name="Normal" xfId="0" builtinId="0"/>
    <cellStyle name="Normal 2" xfId="3" xr:uid="{00000000-0005-0000-0000-000030000000}"/>
    <cellStyle name="Normal 3" xfId="2" xr:uid="{00000000-0005-0000-0000-00002F000000}"/>
    <cellStyle name="Normal 7" xfId="4" xr:uid="{2139AB0F-A49F-47B1-8EB3-838E3EBF6417}"/>
    <cellStyle name="Percent" xfId="5" builtinId="5"/>
  </cellStyles>
  <dxfs count="181"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border>
        <top style="thin">
          <color auto="1"/>
        </top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right/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right/>
        <top/>
        <bottom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right/>
        <top/>
        <bottom/>
      </border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E26714"/>
      <color rgb="FF243E72"/>
      <color rgb="FFA64C0E"/>
      <color rgb="FFD9E1F2"/>
      <color rgb="FFC85C12"/>
      <color rgb="FFF2F8EE"/>
      <color rgb="FFFEF5F0"/>
      <color rgb="FFEDF1F9"/>
      <color rgb="FF305496"/>
      <color rgb="FFEE9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8283</xdr:rowOff>
    </xdr:from>
    <xdr:to>
      <xdr:col>10</xdr:col>
      <xdr:colOff>0</xdr:colOff>
      <xdr:row>24</xdr:row>
      <xdr:rowOff>152089</xdr:rowOff>
    </xdr:to>
    <xdr:pic>
      <xdr:nvPicPr>
        <xdr:cNvPr id="3" name="Picture 40" descr="UK2.jpg">
          <a:extLst>
            <a:ext uri="{FF2B5EF4-FFF2-40B4-BE49-F238E27FC236}">
              <a16:creationId xmlns:a16="http://schemas.microsoft.com/office/drawing/2014/main" id="{C0646000-053F-49F7-81FE-2B5AA61E83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096" y="3964821"/>
          <a:ext cx="249116" cy="143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194629</xdr:colOff>
      <xdr:row>8</xdr:row>
      <xdr:rowOff>152569</xdr:rowOff>
    </xdr:from>
    <xdr:to>
      <xdr:col>15</xdr:col>
      <xdr:colOff>8282</xdr:colOff>
      <xdr:row>10</xdr:row>
      <xdr:rowOff>42592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18FD59A-325B-4457-9F49-0A7A90BF6CDC}"/>
            </a:ext>
          </a:extLst>
        </xdr:cNvPr>
        <xdr:cNvSpPr txBox="1"/>
      </xdr:nvSpPr>
      <xdr:spPr>
        <a:xfrm>
          <a:off x="5022443" y="1377212"/>
          <a:ext cx="1337653" cy="271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= Excellent Quality</a:t>
          </a:r>
        </a:p>
      </xdr:txBody>
    </xdr:sp>
    <xdr:clientData/>
  </xdr:twoCellAnchor>
  <xdr:twoCellAnchor>
    <xdr:from>
      <xdr:col>7</xdr:col>
      <xdr:colOff>450540</xdr:colOff>
      <xdr:row>8</xdr:row>
      <xdr:rowOff>154250</xdr:rowOff>
    </xdr:from>
    <xdr:to>
      <xdr:col>8</xdr:col>
      <xdr:colOff>262410</xdr:colOff>
      <xdr:row>10</xdr:row>
      <xdr:rowOff>36741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8076767-C120-4377-8D40-227AD2986D2C}"/>
            </a:ext>
          </a:extLst>
        </xdr:cNvPr>
        <xdr:cNvSpPr txBox="1"/>
      </xdr:nvSpPr>
      <xdr:spPr>
        <a:xfrm>
          <a:off x="3362469" y="1378893"/>
          <a:ext cx="1727755" cy="263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= Very Good Quality</a:t>
          </a:r>
        </a:p>
      </xdr:txBody>
    </xdr:sp>
    <xdr:clientData/>
  </xdr:twoCellAnchor>
  <xdr:twoCellAnchor>
    <xdr:from>
      <xdr:col>3</xdr:col>
      <xdr:colOff>505261</xdr:colOff>
      <xdr:row>8</xdr:row>
      <xdr:rowOff>148289</xdr:rowOff>
    </xdr:from>
    <xdr:to>
      <xdr:col>6</xdr:col>
      <xdr:colOff>590550</xdr:colOff>
      <xdr:row>10</xdr:row>
      <xdr:rowOff>28384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298098B8-26B9-4A57-81C0-851752FD2320}"/>
            </a:ext>
          </a:extLst>
        </xdr:cNvPr>
        <xdr:cNvSpPr txBox="1"/>
      </xdr:nvSpPr>
      <xdr:spPr>
        <a:xfrm>
          <a:off x="1011447" y="1372932"/>
          <a:ext cx="1778017" cy="261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= Buds/Flowers</a:t>
          </a:r>
        </a:p>
      </xdr:txBody>
    </xdr:sp>
    <xdr:clientData/>
  </xdr:twoCellAnchor>
  <xdr:twoCellAnchor>
    <xdr:from>
      <xdr:col>6</xdr:col>
      <xdr:colOff>196510</xdr:colOff>
      <xdr:row>8</xdr:row>
      <xdr:rowOff>148619</xdr:rowOff>
    </xdr:from>
    <xdr:to>
      <xdr:col>7</xdr:col>
      <xdr:colOff>517888</xdr:colOff>
      <xdr:row>10</xdr:row>
      <xdr:rowOff>34895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4B74F9B-69ED-42C7-9041-454168CD9238}"/>
            </a:ext>
          </a:extLst>
        </xdr:cNvPr>
        <xdr:cNvSpPr txBox="1"/>
      </xdr:nvSpPr>
      <xdr:spPr>
        <a:xfrm>
          <a:off x="2395424" y="1373262"/>
          <a:ext cx="1034393" cy="26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= UK</a:t>
          </a:r>
          <a:r>
            <a:rPr lang="en-GB" sz="1100" baseline="0"/>
            <a:t> Native</a:t>
          </a:r>
          <a:endParaRPr lang="en-GB" sz="1100"/>
        </a:p>
      </xdr:txBody>
    </xdr:sp>
    <xdr:clientData/>
  </xdr:twoCellAnchor>
  <xdr:oneCellAnchor>
    <xdr:from>
      <xdr:col>5</xdr:col>
      <xdr:colOff>465437</xdr:colOff>
      <xdr:row>9</xdr:row>
      <xdr:rowOff>17130</xdr:rowOff>
    </xdr:from>
    <xdr:ext cx="263434" cy="169344"/>
    <xdr:pic>
      <xdr:nvPicPr>
        <xdr:cNvPr id="89" name="Picture 40" descr="UK2.jpg">
          <a:extLst>
            <a:ext uri="{FF2B5EF4-FFF2-40B4-BE49-F238E27FC236}">
              <a16:creationId xmlns:a16="http://schemas.microsoft.com/office/drawing/2014/main" id="{FA00A541-14D2-422E-8FF8-CF2772399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220" y="1292652"/>
          <a:ext cx="263434" cy="16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339482</xdr:colOff>
      <xdr:row>9</xdr:row>
      <xdr:rowOff>18471</xdr:rowOff>
    </xdr:from>
    <xdr:to>
      <xdr:col>7</xdr:col>
      <xdr:colOff>521806</xdr:colOff>
      <xdr:row>9</xdr:row>
      <xdr:rowOff>173935</xdr:rowOff>
    </xdr:to>
    <xdr:sp macro="" textlink="">
      <xdr:nvSpPr>
        <xdr:cNvPr id="91" name="5-Point Star 23">
          <a:extLst>
            <a:ext uri="{FF2B5EF4-FFF2-40B4-BE49-F238E27FC236}">
              <a16:creationId xmlns:a16="http://schemas.microsoft.com/office/drawing/2014/main" id="{FC089306-55A3-4C6C-982A-5B90A7859A9F}"/>
            </a:ext>
          </a:extLst>
        </xdr:cNvPr>
        <xdr:cNvSpPr/>
      </xdr:nvSpPr>
      <xdr:spPr bwMode="auto">
        <a:xfrm>
          <a:off x="3246678" y="1293993"/>
          <a:ext cx="182324" cy="155464"/>
        </a:xfrm>
        <a:prstGeom prst="star5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GB"/>
        </a:p>
      </xdr:txBody>
    </xdr:sp>
    <xdr:clientData/>
  </xdr:twoCellAnchor>
  <xdr:twoCellAnchor editAs="oneCell">
    <xdr:from>
      <xdr:col>3</xdr:col>
      <xdr:colOff>372868</xdr:colOff>
      <xdr:row>9</xdr:row>
      <xdr:rowOff>10111</xdr:rowOff>
    </xdr:from>
    <xdr:to>
      <xdr:col>3</xdr:col>
      <xdr:colOff>561220</xdr:colOff>
      <xdr:row>10</xdr:row>
      <xdr:rowOff>974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AE1445FA-F457-40C8-8CB0-3738645F3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18" y="1284996"/>
          <a:ext cx="188352" cy="18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723768</xdr:colOff>
      <xdr:row>4</xdr:row>
      <xdr:rowOff>8282</xdr:rowOff>
    </xdr:from>
    <xdr:to>
      <xdr:col>7</xdr:col>
      <xdr:colOff>726699</xdr:colOff>
      <xdr:row>5</xdr:row>
      <xdr:rowOff>318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C8657C16-2DC4-4C0F-941B-3FAF8E841665}"/>
            </a:ext>
          </a:extLst>
        </xdr:cNvPr>
        <xdr:cNvSpPr txBox="1"/>
      </xdr:nvSpPr>
      <xdr:spPr>
        <a:xfrm>
          <a:off x="1338563" y="623077"/>
          <a:ext cx="2418818" cy="251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400">
            <a:solidFill>
              <a:srgbClr val="545454"/>
            </a:solidFill>
          </a:endParaRPr>
        </a:p>
      </xdr:txBody>
    </xdr:sp>
    <xdr:clientData/>
  </xdr:twoCellAnchor>
  <xdr:twoCellAnchor>
    <xdr:from>
      <xdr:col>7</xdr:col>
      <xdr:colOff>1764185</xdr:colOff>
      <xdr:row>9</xdr:row>
      <xdr:rowOff>19287</xdr:rowOff>
    </xdr:from>
    <xdr:to>
      <xdr:col>8</xdr:col>
      <xdr:colOff>4895</xdr:colOff>
      <xdr:row>9</xdr:row>
      <xdr:rowOff>157606</xdr:rowOff>
    </xdr:to>
    <xdr:sp macro="" textlink="">
      <xdr:nvSpPr>
        <xdr:cNvPr id="101" name="5-Point Star 23">
          <a:extLst>
            <a:ext uri="{FF2B5EF4-FFF2-40B4-BE49-F238E27FC236}">
              <a16:creationId xmlns:a16="http://schemas.microsoft.com/office/drawing/2014/main" id="{28B9D978-803B-44AD-9392-581B4D4F0C9B}"/>
            </a:ext>
          </a:extLst>
        </xdr:cNvPr>
        <xdr:cNvSpPr/>
      </xdr:nvSpPr>
      <xdr:spPr bwMode="auto">
        <a:xfrm>
          <a:off x="4676114" y="1434430"/>
          <a:ext cx="156595" cy="138319"/>
        </a:xfrm>
        <a:prstGeom prst="star5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GB"/>
        </a:p>
      </xdr:txBody>
    </xdr:sp>
    <xdr:clientData/>
  </xdr:twoCellAnchor>
  <xdr:twoCellAnchor>
    <xdr:from>
      <xdr:col>8</xdr:col>
      <xdr:colOff>31876</xdr:colOff>
      <xdr:row>9</xdr:row>
      <xdr:rowOff>19287</xdr:rowOff>
    </xdr:from>
    <xdr:to>
      <xdr:col>8</xdr:col>
      <xdr:colOff>207065</xdr:colOff>
      <xdr:row>9</xdr:row>
      <xdr:rowOff>157606</xdr:rowOff>
    </xdr:to>
    <xdr:sp macro="" textlink="">
      <xdr:nvSpPr>
        <xdr:cNvPr id="102" name="5-Point Star 23">
          <a:extLst>
            <a:ext uri="{FF2B5EF4-FFF2-40B4-BE49-F238E27FC236}">
              <a16:creationId xmlns:a16="http://schemas.microsoft.com/office/drawing/2014/main" id="{8C0BFA31-0770-45CF-9705-029D5A996622}"/>
            </a:ext>
          </a:extLst>
        </xdr:cNvPr>
        <xdr:cNvSpPr/>
      </xdr:nvSpPr>
      <xdr:spPr bwMode="auto">
        <a:xfrm>
          <a:off x="4859690" y="1434430"/>
          <a:ext cx="175189" cy="138319"/>
        </a:xfrm>
        <a:prstGeom prst="star5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GB"/>
        </a:p>
      </xdr:txBody>
    </xdr:sp>
    <xdr:clientData/>
  </xdr:twoCellAnchor>
  <xdr:twoCellAnchor>
    <xdr:from>
      <xdr:col>12</xdr:col>
      <xdr:colOff>2930</xdr:colOff>
      <xdr:row>741</xdr:row>
      <xdr:rowOff>7327</xdr:rowOff>
    </xdr:from>
    <xdr:to>
      <xdr:col>13</xdr:col>
      <xdr:colOff>5953</xdr:colOff>
      <xdr:row>742</xdr:row>
      <xdr:rowOff>0</xdr:rowOff>
    </xdr:to>
    <xdr:pic>
      <xdr:nvPicPr>
        <xdr:cNvPr id="104" name="Picture 40" descr="UK2.jpg">
          <a:extLst>
            <a:ext uri="{FF2B5EF4-FFF2-40B4-BE49-F238E27FC236}">
              <a16:creationId xmlns:a16="http://schemas.microsoft.com/office/drawing/2014/main" id="{5191E183-9D6F-4E8D-9704-F1354DBA83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8633" y="41512515"/>
          <a:ext cx="270914" cy="14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14611</xdr:rowOff>
    </xdr:from>
    <xdr:to>
      <xdr:col>9</xdr:col>
      <xdr:colOff>246784</xdr:colOff>
      <xdr:row>31</xdr:row>
      <xdr:rowOff>148826</xdr:rowOff>
    </xdr:to>
    <xdr:pic>
      <xdr:nvPicPr>
        <xdr:cNvPr id="36" name="Picture 40" descr="UK2.jpg">
          <a:extLst>
            <a:ext uri="{FF2B5EF4-FFF2-40B4-BE49-F238E27FC236}">
              <a16:creationId xmlns:a16="http://schemas.microsoft.com/office/drawing/2014/main" id="{6AC04140-456A-4654-82A5-2025B8F829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163939"/>
          <a:ext cx="246784" cy="13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36</xdr:row>
      <xdr:rowOff>11906</xdr:rowOff>
    </xdr:from>
    <xdr:to>
      <xdr:col>9</xdr:col>
      <xdr:colOff>246784</xdr:colOff>
      <xdr:row>36</xdr:row>
      <xdr:rowOff>141249</xdr:rowOff>
    </xdr:to>
    <xdr:pic>
      <xdr:nvPicPr>
        <xdr:cNvPr id="37" name="Picture 40" descr="UK2.jpg">
          <a:extLst>
            <a:ext uri="{FF2B5EF4-FFF2-40B4-BE49-F238E27FC236}">
              <a16:creationId xmlns:a16="http://schemas.microsoft.com/office/drawing/2014/main" id="{B45D6AE6-86F3-4F8A-A956-402E872980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316015"/>
          <a:ext cx="246784" cy="12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38</xdr:row>
      <xdr:rowOff>6570</xdr:rowOff>
    </xdr:from>
    <xdr:to>
      <xdr:col>9</xdr:col>
      <xdr:colOff>246784</xdr:colOff>
      <xdr:row>38</xdr:row>
      <xdr:rowOff>142876</xdr:rowOff>
    </xdr:to>
    <xdr:pic>
      <xdr:nvPicPr>
        <xdr:cNvPr id="38" name="Picture 40" descr="UK2.jpg">
          <a:extLst>
            <a:ext uri="{FF2B5EF4-FFF2-40B4-BE49-F238E27FC236}">
              <a16:creationId xmlns:a16="http://schemas.microsoft.com/office/drawing/2014/main" id="{4F2E5CE8-BD4C-4D63-AA73-17EEFC65B1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3106525"/>
          <a:ext cx="246784" cy="136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46</xdr:row>
      <xdr:rowOff>6350</xdr:rowOff>
    </xdr:from>
    <xdr:to>
      <xdr:col>10</xdr:col>
      <xdr:colOff>0</xdr:colOff>
      <xdr:row>46</xdr:row>
      <xdr:rowOff>152069</xdr:rowOff>
    </xdr:to>
    <xdr:pic>
      <xdr:nvPicPr>
        <xdr:cNvPr id="39" name="Picture 40" descr="UK2.jpg">
          <a:extLst>
            <a:ext uri="{FF2B5EF4-FFF2-40B4-BE49-F238E27FC236}">
              <a16:creationId xmlns:a16="http://schemas.microsoft.com/office/drawing/2014/main" id="{0E1FEFEC-E230-47F4-B61A-6C8B20826D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1943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47</xdr:row>
      <xdr:rowOff>16567</xdr:rowOff>
    </xdr:from>
    <xdr:to>
      <xdr:col>10</xdr:col>
      <xdr:colOff>0</xdr:colOff>
      <xdr:row>47</xdr:row>
      <xdr:rowOff>157371</xdr:rowOff>
    </xdr:to>
    <xdr:pic>
      <xdr:nvPicPr>
        <xdr:cNvPr id="40" name="Picture 40" descr="UK2.jpg">
          <a:extLst>
            <a:ext uri="{FF2B5EF4-FFF2-40B4-BE49-F238E27FC236}">
              <a16:creationId xmlns:a16="http://schemas.microsoft.com/office/drawing/2014/main" id="{C40E5752-20FA-4BB2-8816-A17B758581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7686263"/>
          <a:ext cx="248478" cy="14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70</xdr:row>
      <xdr:rowOff>14613</xdr:rowOff>
    </xdr:from>
    <xdr:to>
      <xdr:col>9</xdr:col>
      <xdr:colOff>246784</xdr:colOff>
      <xdr:row>70</xdr:row>
      <xdr:rowOff>153158</xdr:rowOff>
    </xdr:to>
    <xdr:pic>
      <xdr:nvPicPr>
        <xdr:cNvPr id="41" name="Picture 40" descr="UK2.jpg">
          <a:extLst>
            <a:ext uri="{FF2B5EF4-FFF2-40B4-BE49-F238E27FC236}">
              <a16:creationId xmlns:a16="http://schemas.microsoft.com/office/drawing/2014/main" id="{4F401B4A-ED71-4078-9299-9C1F051FCD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104660"/>
          <a:ext cx="246784" cy="13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76</xdr:row>
      <xdr:rowOff>12986</xdr:rowOff>
    </xdr:from>
    <xdr:to>
      <xdr:col>9</xdr:col>
      <xdr:colOff>246784</xdr:colOff>
      <xdr:row>76</xdr:row>
      <xdr:rowOff>142873</xdr:rowOff>
    </xdr:to>
    <xdr:pic>
      <xdr:nvPicPr>
        <xdr:cNvPr id="42" name="Picture 40" descr="UK2.jpg">
          <a:extLst>
            <a:ext uri="{FF2B5EF4-FFF2-40B4-BE49-F238E27FC236}">
              <a16:creationId xmlns:a16="http://schemas.microsoft.com/office/drawing/2014/main" id="{658B12BE-6F96-466F-B3AA-55EEE6C9FF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5082884"/>
          <a:ext cx="246784" cy="12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91</xdr:row>
      <xdr:rowOff>12988</xdr:rowOff>
    </xdr:from>
    <xdr:to>
      <xdr:col>9</xdr:col>
      <xdr:colOff>246784</xdr:colOff>
      <xdr:row>91</xdr:row>
      <xdr:rowOff>147204</xdr:rowOff>
    </xdr:to>
    <xdr:pic>
      <xdr:nvPicPr>
        <xdr:cNvPr id="43" name="Picture 40" descr="UK2.jpg">
          <a:extLst>
            <a:ext uri="{FF2B5EF4-FFF2-40B4-BE49-F238E27FC236}">
              <a16:creationId xmlns:a16="http://schemas.microsoft.com/office/drawing/2014/main" id="{5DAC5955-C75F-4804-95BF-9A56CFCB94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5689022"/>
          <a:ext cx="246784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94</xdr:row>
      <xdr:rowOff>5016</xdr:rowOff>
    </xdr:from>
    <xdr:to>
      <xdr:col>10</xdr:col>
      <xdr:colOff>0</xdr:colOff>
      <xdr:row>95</xdr:row>
      <xdr:rowOff>0</xdr:rowOff>
    </xdr:to>
    <xdr:pic>
      <xdr:nvPicPr>
        <xdr:cNvPr id="44" name="Picture 40" descr="UK2.jpg">
          <a:extLst>
            <a:ext uri="{FF2B5EF4-FFF2-40B4-BE49-F238E27FC236}">
              <a16:creationId xmlns:a16="http://schemas.microsoft.com/office/drawing/2014/main" id="{FBCBBCF2-E404-4D4E-BE84-16E4DA73B9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4196016"/>
          <a:ext cx="248478" cy="160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105</xdr:row>
      <xdr:rowOff>8282</xdr:rowOff>
    </xdr:from>
    <xdr:to>
      <xdr:col>10</xdr:col>
      <xdr:colOff>0</xdr:colOff>
      <xdr:row>106</xdr:row>
      <xdr:rowOff>1</xdr:rowOff>
    </xdr:to>
    <xdr:pic>
      <xdr:nvPicPr>
        <xdr:cNvPr id="45" name="Picture 40" descr="UK2.jpg">
          <a:extLst>
            <a:ext uri="{FF2B5EF4-FFF2-40B4-BE49-F238E27FC236}">
              <a16:creationId xmlns:a16="http://schemas.microsoft.com/office/drawing/2014/main" id="{5959F4D6-B3E2-416B-88C5-10915266B8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239" y="7172739"/>
          <a:ext cx="248478" cy="16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107</xdr:row>
      <xdr:rowOff>11907</xdr:rowOff>
    </xdr:from>
    <xdr:to>
      <xdr:col>10</xdr:col>
      <xdr:colOff>0</xdr:colOff>
      <xdr:row>107</xdr:row>
      <xdr:rowOff>148829</xdr:rowOff>
    </xdr:to>
    <xdr:pic>
      <xdr:nvPicPr>
        <xdr:cNvPr id="46" name="Picture 40" descr="UK2.jpg">
          <a:extLst>
            <a:ext uri="{FF2B5EF4-FFF2-40B4-BE49-F238E27FC236}">
              <a16:creationId xmlns:a16="http://schemas.microsoft.com/office/drawing/2014/main" id="{2BE80E33-E734-4DA4-9A01-8F251D85AC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7649766"/>
          <a:ext cx="250031" cy="136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110</xdr:row>
      <xdr:rowOff>17859</xdr:rowOff>
    </xdr:from>
    <xdr:to>
      <xdr:col>9</xdr:col>
      <xdr:colOff>246784</xdr:colOff>
      <xdr:row>110</xdr:row>
      <xdr:rowOff>141250</xdr:rowOff>
    </xdr:to>
    <xdr:pic>
      <xdr:nvPicPr>
        <xdr:cNvPr id="47" name="Picture 40" descr="UK2.jpg">
          <a:extLst>
            <a:ext uri="{FF2B5EF4-FFF2-40B4-BE49-F238E27FC236}">
              <a16:creationId xmlns:a16="http://schemas.microsoft.com/office/drawing/2014/main" id="{BAAE241A-119F-4C54-BB17-64CDC0BEC3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8120062"/>
          <a:ext cx="246784" cy="123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111</xdr:row>
      <xdr:rowOff>11907</xdr:rowOff>
    </xdr:from>
    <xdr:to>
      <xdr:col>10</xdr:col>
      <xdr:colOff>0</xdr:colOff>
      <xdr:row>111</xdr:row>
      <xdr:rowOff>146116</xdr:rowOff>
    </xdr:to>
    <xdr:pic>
      <xdr:nvPicPr>
        <xdr:cNvPr id="48" name="Picture 40" descr="UK2.jpg">
          <a:extLst>
            <a:ext uri="{FF2B5EF4-FFF2-40B4-BE49-F238E27FC236}">
              <a16:creationId xmlns:a16="http://schemas.microsoft.com/office/drawing/2014/main" id="{E912E2B1-00B8-4F0B-B5E8-76C792FC1B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8268891"/>
          <a:ext cx="250031" cy="134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112</xdr:row>
      <xdr:rowOff>6350</xdr:rowOff>
    </xdr:from>
    <xdr:to>
      <xdr:col>10</xdr:col>
      <xdr:colOff>0</xdr:colOff>
      <xdr:row>112</xdr:row>
      <xdr:rowOff>152069</xdr:rowOff>
    </xdr:to>
    <xdr:pic>
      <xdr:nvPicPr>
        <xdr:cNvPr id="49" name="Picture 40" descr="UK2.jpg">
          <a:extLst>
            <a:ext uri="{FF2B5EF4-FFF2-40B4-BE49-F238E27FC236}">
              <a16:creationId xmlns:a16="http://schemas.microsoft.com/office/drawing/2014/main" id="{F5FBC9E5-725A-4AE9-9A3D-BC96E3C4DB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43383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117</xdr:row>
      <xdr:rowOff>12988</xdr:rowOff>
    </xdr:from>
    <xdr:to>
      <xdr:col>9</xdr:col>
      <xdr:colOff>246784</xdr:colOff>
      <xdr:row>117</xdr:row>
      <xdr:rowOff>142874</xdr:rowOff>
    </xdr:to>
    <xdr:pic>
      <xdr:nvPicPr>
        <xdr:cNvPr id="50" name="Picture 40" descr="UK2.jpg">
          <a:extLst>
            <a:ext uri="{FF2B5EF4-FFF2-40B4-BE49-F238E27FC236}">
              <a16:creationId xmlns:a16="http://schemas.microsoft.com/office/drawing/2014/main" id="{4143B73D-C3CF-43BA-9845-993A70AA18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7204363"/>
          <a:ext cx="246784" cy="129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120</xdr:row>
      <xdr:rowOff>12988</xdr:rowOff>
    </xdr:from>
    <xdr:to>
      <xdr:col>9</xdr:col>
      <xdr:colOff>246784</xdr:colOff>
      <xdr:row>120</xdr:row>
      <xdr:rowOff>142874</xdr:rowOff>
    </xdr:to>
    <xdr:pic>
      <xdr:nvPicPr>
        <xdr:cNvPr id="51" name="Picture 40" descr="UK2.jpg">
          <a:extLst>
            <a:ext uri="{FF2B5EF4-FFF2-40B4-BE49-F238E27FC236}">
              <a16:creationId xmlns:a16="http://schemas.microsoft.com/office/drawing/2014/main" id="{47E619F8-1C7F-4118-B214-4223179FEA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7355897"/>
          <a:ext cx="246784" cy="129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146</xdr:row>
      <xdr:rowOff>17316</xdr:rowOff>
    </xdr:from>
    <xdr:to>
      <xdr:col>9</xdr:col>
      <xdr:colOff>246784</xdr:colOff>
      <xdr:row>146</xdr:row>
      <xdr:rowOff>142873</xdr:rowOff>
    </xdr:to>
    <xdr:pic>
      <xdr:nvPicPr>
        <xdr:cNvPr id="52" name="Picture 40" descr="UK2.jpg">
          <a:extLst>
            <a:ext uri="{FF2B5EF4-FFF2-40B4-BE49-F238E27FC236}">
              <a16:creationId xmlns:a16="http://schemas.microsoft.com/office/drawing/2014/main" id="{956AA2F0-E9FB-448B-AFEB-86E62D3E5F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9786394"/>
          <a:ext cx="246784" cy="12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149</xdr:row>
      <xdr:rowOff>8283</xdr:rowOff>
    </xdr:from>
    <xdr:to>
      <xdr:col>10</xdr:col>
      <xdr:colOff>0</xdr:colOff>
      <xdr:row>150</xdr:row>
      <xdr:rowOff>0</xdr:rowOff>
    </xdr:to>
    <xdr:pic>
      <xdr:nvPicPr>
        <xdr:cNvPr id="53" name="Picture 40" descr="UK2.jpg">
          <a:extLst>
            <a:ext uri="{FF2B5EF4-FFF2-40B4-BE49-F238E27FC236}">
              <a16:creationId xmlns:a16="http://schemas.microsoft.com/office/drawing/2014/main" id="{E89D3F33-4BE9-4AF3-9481-59EA9F088D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239" y="8390283"/>
          <a:ext cx="248478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155</xdr:row>
      <xdr:rowOff>17859</xdr:rowOff>
    </xdr:from>
    <xdr:to>
      <xdr:col>10</xdr:col>
      <xdr:colOff>0</xdr:colOff>
      <xdr:row>155</xdr:row>
      <xdr:rowOff>142875</xdr:rowOff>
    </xdr:to>
    <xdr:pic>
      <xdr:nvPicPr>
        <xdr:cNvPr id="54" name="Picture 40" descr="UK2.jpg">
          <a:extLst>
            <a:ext uri="{FF2B5EF4-FFF2-40B4-BE49-F238E27FC236}">
              <a16:creationId xmlns:a16="http://schemas.microsoft.com/office/drawing/2014/main" id="{2355308F-12D0-4E74-84EE-D3452BDEF6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537031"/>
          <a:ext cx="250031" cy="125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163</xdr:row>
      <xdr:rowOff>8283</xdr:rowOff>
    </xdr:from>
    <xdr:to>
      <xdr:col>10</xdr:col>
      <xdr:colOff>0</xdr:colOff>
      <xdr:row>164</xdr:row>
      <xdr:rowOff>0</xdr:rowOff>
    </xdr:to>
    <xdr:pic>
      <xdr:nvPicPr>
        <xdr:cNvPr id="55" name="Picture 40" descr="UK2.jpg">
          <a:extLst>
            <a:ext uri="{FF2B5EF4-FFF2-40B4-BE49-F238E27FC236}">
              <a16:creationId xmlns:a16="http://schemas.microsoft.com/office/drawing/2014/main" id="{6F33D692-E90F-4331-B367-615536ED70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239" y="9607826"/>
          <a:ext cx="248478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164</xdr:row>
      <xdr:rowOff>12845</xdr:rowOff>
    </xdr:from>
    <xdr:to>
      <xdr:col>10</xdr:col>
      <xdr:colOff>1140</xdr:colOff>
      <xdr:row>164</xdr:row>
      <xdr:rowOff>142190</xdr:rowOff>
    </xdr:to>
    <xdr:pic>
      <xdr:nvPicPr>
        <xdr:cNvPr id="56" name="Picture 40" descr="UK2.jpg">
          <a:extLst>
            <a:ext uri="{FF2B5EF4-FFF2-40B4-BE49-F238E27FC236}">
              <a16:creationId xmlns:a16="http://schemas.microsoft.com/office/drawing/2014/main" id="{E908FFBC-F87C-45A5-BF26-849A2CD75D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724" y="9547871"/>
          <a:ext cx="246784" cy="129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167</xdr:row>
      <xdr:rowOff>12988</xdr:rowOff>
    </xdr:from>
    <xdr:to>
      <xdr:col>9</xdr:col>
      <xdr:colOff>246784</xdr:colOff>
      <xdr:row>167</xdr:row>
      <xdr:rowOff>142874</xdr:rowOff>
    </xdr:to>
    <xdr:pic>
      <xdr:nvPicPr>
        <xdr:cNvPr id="57" name="Picture 40" descr="UK2.jpg">
          <a:extLst>
            <a:ext uri="{FF2B5EF4-FFF2-40B4-BE49-F238E27FC236}">
              <a16:creationId xmlns:a16="http://schemas.microsoft.com/office/drawing/2014/main" id="{720CCE65-596B-4754-8C08-ED3CD03D0C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10235045"/>
          <a:ext cx="246784" cy="129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190</xdr:row>
      <xdr:rowOff>8658</xdr:rowOff>
    </xdr:from>
    <xdr:to>
      <xdr:col>9</xdr:col>
      <xdr:colOff>246784</xdr:colOff>
      <xdr:row>190</xdr:row>
      <xdr:rowOff>142873</xdr:rowOff>
    </xdr:to>
    <xdr:pic>
      <xdr:nvPicPr>
        <xdr:cNvPr id="58" name="Picture 40" descr="UK2.jpg">
          <a:extLst>
            <a:ext uri="{FF2B5EF4-FFF2-40B4-BE49-F238E27FC236}">
              <a16:creationId xmlns:a16="http://schemas.microsoft.com/office/drawing/2014/main" id="{8AB5FF8B-7563-4351-87B3-345F910302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9" y="13368506"/>
          <a:ext cx="246784" cy="13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191</xdr:row>
      <xdr:rowOff>12988</xdr:rowOff>
    </xdr:from>
    <xdr:to>
      <xdr:col>9</xdr:col>
      <xdr:colOff>246784</xdr:colOff>
      <xdr:row>191</xdr:row>
      <xdr:rowOff>142875</xdr:rowOff>
    </xdr:to>
    <xdr:pic>
      <xdr:nvPicPr>
        <xdr:cNvPr id="59" name="Picture 40" descr="UK2.jpg">
          <a:extLst>
            <a:ext uri="{FF2B5EF4-FFF2-40B4-BE49-F238E27FC236}">
              <a16:creationId xmlns:a16="http://schemas.microsoft.com/office/drawing/2014/main" id="{E6D8CF4A-FF0E-4A59-8BCD-87A18ACB35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9" y="13521923"/>
          <a:ext cx="246784" cy="12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192</xdr:row>
      <xdr:rowOff>13678</xdr:rowOff>
    </xdr:from>
    <xdr:to>
      <xdr:col>10</xdr:col>
      <xdr:colOff>0</xdr:colOff>
      <xdr:row>192</xdr:row>
      <xdr:rowOff>139212</xdr:rowOff>
    </xdr:to>
    <xdr:pic>
      <xdr:nvPicPr>
        <xdr:cNvPr id="60" name="Picture 40" descr="UK2.jpg">
          <a:extLst>
            <a:ext uri="{FF2B5EF4-FFF2-40B4-BE49-F238E27FC236}">
              <a16:creationId xmlns:a16="http://schemas.microsoft.com/office/drawing/2014/main" id="{ACBBF327-0070-43C0-BB50-763B1CD76D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9" y="13671700"/>
          <a:ext cx="248478" cy="12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198</xdr:row>
      <xdr:rowOff>16564</xdr:rowOff>
    </xdr:from>
    <xdr:to>
      <xdr:col>10</xdr:col>
      <xdr:colOff>0</xdr:colOff>
      <xdr:row>198</xdr:row>
      <xdr:rowOff>143785</xdr:rowOff>
    </xdr:to>
    <xdr:pic>
      <xdr:nvPicPr>
        <xdr:cNvPr id="63" name="Picture 40" descr="UK2.jpg">
          <a:extLst>
            <a:ext uri="{FF2B5EF4-FFF2-40B4-BE49-F238E27FC236}">
              <a16:creationId xmlns:a16="http://schemas.microsoft.com/office/drawing/2014/main" id="{A546E6D9-B746-4E74-9CA2-54F3AD615E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9" y="14270934"/>
          <a:ext cx="248478" cy="127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208</xdr:row>
      <xdr:rowOff>16565</xdr:rowOff>
    </xdr:from>
    <xdr:to>
      <xdr:col>10</xdr:col>
      <xdr:colOff>0</xdr:colOff>
      <xdr:row>208</xdr:row>
      <xdr:rowOff>140804</xdr:rowOff>
    </xdr:to>
    <xdr:pic>
      <xdr:nvPicPr>
        <xdr:cNvPr id="64" name="Picture 40" descr="UK2.jpg">
          <a:extLst>
            <a:ext uri="{FF2B5EF4-FFF2-40B4-BE49-F238E27FC236}">
              <a16:creationId xmlns:a16="http://schemas.microsoft.com/office/drawing/2014/main" id="{1E961753-A843-49EA-96E2-93C88EEAAE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9" y="15488478"/>
          <a:ext cx="248478" cy="124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209</xdr:row>
      <xdr:rowOff>8658</xdr:rowOff>
    </xdr:from>
    <xdr:to>
      <xdr:col>9</xdr:col>
      <xdr:colOff>246784</xdr:colOff>
      <xdr:row>209</xdr:row>
      <xdr:rowOff>147203</xdr:rowOff>
    </xdr:to>
    <xdr:pic>
      <xdr:nvPicPr>
        <xdr:cNvPr id="65" name="Picture 40" descr="UK2.jpg">
          <a:extLst>
            <a:ext uri="{FF2B5EF4-FFF2-40B4-BE49-F238E27FC236}">
              <a16:creationId xmlns:a16="http://schemas.microsoft.com/office/drawing/2014/main" id="{C64B81C2-AFBB-442C-812E-9ACA5E1A58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12819783"/>
          <a:ext cx="246784" cy="13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210</xdr:row>
      <xdr:rowOff>16565</xdr:rowOff>
    </xdr:from>
    <xdr:to>
      <xdr:col>10</xdr:col>
      <xdr:colOff>0</xdr:colOff>
      <xdr:row>210</xdr:row>
      <xdr:rowOff>143786</xdr:rowOff>
    </xdr:to>
    <xdr:pic>
      <xdr:nvPicPr>
        <xdr:cNvPr id="66" name="Picture 40" descr="UK2.jpg">
          <a:extLst>
            <a:ext uri="{FF2B5EF4-FFF2-40B4-BE49-F238E27FC236}">
              <a16:creationId xmlns:a16="http://schemas.microsoft.com/office/drawing/2014/main" id="{322DA04C-9FB6-4688-8A75-00A11890ED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9" y="15637565"/>
          <a:ext cx="248478" cy="127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213</xdr:row>
      <xdr:rowOff>16565</xdr:rowOff>
    </xdr:from>
    <xdr:to>
      <xdr:col>9</xdr:col>
      <xdr:colOff>246784</xdr:colOff>
      <xdr:row>213</xdr:row>
      <xdr:rowOff>138921</xdr:rowOff>
    </xdr:to>
    <xdr:pic>
      <xdr:nvPicPr>
        <xdr:cNvPr id="67" name="Picture 40" descr="UK2.jpg">
          <a:extLst>
            <a:ext uri="{FF2B5EF4-FFF2-40B4-BE49-F238E27FC236}">
              <a16:creationId xmlns:a16="http://schemas.microsoft.com/office/drawing/2014/main" id="{494FA410-036A-40BC-9B61-E11C964F31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9" y="16084826"/>
          <a:ext cx="246784" cy="12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176</xdr:row>
      <xdr:rowOff>17353</xdr:rowOff>
    </xdr:from>
    <xdr:to>
      <xdr:col>9</xdr:col>
      <xdr:colOff>245644</xdr:colOff>
      <xdr:row>176</xdr:row>
      <xdr:rowOff>149370</xdr:rowOff>
    </xdr:to>
    <xdr:pic>
      <xdr:nvPicPr>
        <xdr:cNvPr id="71" name="Picture 40" descr="UK2.jpg">
          <a:extLst>
            <a:ext uri="{FF2B5EF4-FFF2-40B4-BE49-F238E27FC236}">
              <a16:creationId xmlns:a16="http://schemas.microsoft.com/office/drawing/2014/main" id="{40F15A55-2C25-4831-A51E-2F0692428F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096" y="10685353"/>
          <a:ext cx="245644" cy="13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177</xdr:row>
      <xdr:rowOff>10027</xdr:rowOff>
    </xdr:from>
    <xdr:to>
      <xdr:col>9</xdr:col>
      <xdr:colOff>245644</xdr:colOff>
      <xdr:row>177</xdr:row>
      <xdr:rowOff>137531</xdr:rowOff>
    </xdr:to>
    <xdr:pic>
      <xdr:nvPicPr>
        <xdr:cNvPr id="72" name="Picture 40" descr="UK2.jpg">
          <a:extLst>
            <a:ext uri="{FF2B5EF4-FFF2-40B4-BE49-F238E27FC236}">
              <a16:creationId xmlns:a16="http://schemas.microsoft.com/office/drawing/2014/main" id="{DF22D699-7E89-456D-B2D9-21E960D22A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724" y="10753224"/>
          <a:ext cx="245644" cy="127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228</xdr:row>
      <xdr:rowOff>6350</xdr:rowOff>
    </xdr:from>
    <xdr:to>
      <xdr:col>10</xdr:col>
      <xdr:colOff>0</xdr:colOff>
      <xdr:row>228</xdr:row>
      <xdr:rowOff>152069</xdr:rowOff>
    </xdr:to>
    <xdr:pic>
      <xdr:nvPicPr>
        <xdr:cNvPr id="73" name="Picture 40" descr="UK2.jpg">
          <a:extLst>
            <a:ext uri="{FF2B5EF4-FFF2-40B4-BE49-F238E27FC236}">
              <a16:creationId xmlns:a16="http://schemas.microsoft.com/office/drawing/2014/main" id="{2491024C-0E9A-4A6D-A611-759615835A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17119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234</xdr:row>
      <xdr:rowOff>6350</xdr:rowOff>
    </xdr:from>
    <xdr:to>
      <xdr:col>10</xdr:col>
      <xdr:colOff>0</xdr:colOff>
      <xdr:row>234</xdr:row>
      <xdr:rowOff>152069</xdr:rowOff>
    </xdr:to>
    <xdr:pic>
      <xdr:nvPicPr>
        <xdr:cNvPr id="74" name="Picture 40" descr="UK2.jpg">
          <a:extLst>
            <a:ext uri="{FF2B5EF4-FFF2-40B4-BE49-F238E27FC236}">
              <a16:creationId xmlns:a16="http://schemas.microsoft.com/office/drawing/2014/main" id="{6BE1E149-42B8-4E33-883D-D31E283688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26263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237</xdr:row>
      <xdr:rowOff>6350</xdr:rowOff>
    </xdr:from>
    <xdr:to>
      <xdr:col>10</xdr:col>
      <xdr:colOff>0</xdr:colOff>
      <xdr:row>237</xdr:row>
      <xdr:rowOff>152069</xdr:rowOff>
    </xdr:to>
    <xdr:pic>
      <xdr:nvPicPr>
        <xdr:cNvPr id="75" name="Picture 40" descr="UK2.jpg">
          <a:extLst>
            <a:ext uri="{FF2B5EF4-FFF2-40B4-BE49-F238E27FC236}">
              <a16:creationId xmlns:a16="http://schemas.microsoft.com/office/drawing/2014/main" id="{5C412DCB-AA36-43E5-91C1-43DE525368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30835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238</xdr:row>
      <xdr:rowOff>6350</xdr:rowOff>
    </xdr:from>
    <xdr:to>
      <xdr:col>10</xdr:col>
      <xdr:colOff>0</xdr:colOff>
      <xdr:row>238</xdr:row>
      <xdr:rowOff>152069</xdr:rowOff>
    </xdr:to>
    <xdr:pic>
      <xdr:nvPicPr>
        <xdr:cNvPr id="76" name="Picture 40" descr="UK2.jpg">
          <a:extLst>
            <a:ext uri="{FF2B5EF4-FFF2-40B4-BE49-F238E27FC236}">
              <a16:creationId xmlns:a16="http://schemas.microsoft.com/office/drawing/2014/main" id="{8361CB22-0AAB-4FAB-9D95-F2C84CA83D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32359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355</xdr:row>
      <xdr:rowOff>6350</xdr:rowOff>
    </xdr:from>
    <xdr:to>
      <xdr:col>10</xdr:col>
      <xdr:colOff>0</xdr:colOff>
      <xdr:row>355</xdr:row>
      <xdr:rowOff>152069</xdr:rowOff>
    </xdr:to>
    <xdr:pic>
      <xdr:nvPicPr>
        <xdr:cNvPr id="77" name="Picture 40" descr="UK2.jpg">
          <a:extLst>
            <a:ext uri="{FF2B5EF4-FFF2-40B4-BE49-F238E27FC236}">
              <a16:creationId xmlns:a16="http://schemas.microsoft.com/office/drawing/2014/main" id="{4C8C3D0B-1B40-4BA8-AB57-D155F54D47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50647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360</xdr:row>
      <xdr:rowOff>6350</xdr:rowOff>
    </xdr:from>
    <xdr:to>
      <xdr:col>10</xdr:col>
      <xdr:colOff>0</xdr:colOff>
      <xdr:row>360</xdr:row>
      <xdr:rowOff>152069</xdr:rowOff>
    </xdr:to>
    <xdr:pic>
      <xdr:nvPicPr>
        <xdr:cNvPr id="78" name="Picture 40" descr="UK2.jpg">
          <a:extLst>
            <a:ext uri="{FF2B5EF4-FFF2-40B4-BE49-F238E27FC236}">
              <a16:creationId xmlns:a16="http://schemas.microsoft.com/office/drawing/2014/main" id="{40042B8F-93D8-4239-9E64-A11B0249B1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56743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363</xdr:row>
      <xdr:rowOff>6350</xdr:rowOff>
    </xdr:from>
    <xdr:to>
      <xdr:col>10</xdr:col>
      <xdr:colOff>0</xdr:colOff>
      <xdr:row>363</xdr:row>
      <xdr:rowOff>152069</xdr:rowOff>
    </xdr:to>
    <xdr:pic>
      <xdr:nvPicPr>
        <xdr:cNvPr id="79" name="Picture 40" descr="UK2.jpg">
          <a:extLst>
            <a:ext uri="{FF2B5EF4-FFF2-40B4-BE49-F238E27FC236}">
              <a16:creationId xmlns:a16="http://schemas.microsoft.com/office/drawing/2014/main" id="{E6A8C96F-95F2-4597-B965-8F112C1BF3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61315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365</xdr:row>
      <xdr:rowOff>12988</xdr:rowOff>
    </xdr:from>
    <xdr:to>
      <xdr:col>9</xdr:col>
      <xdr:colOff>246784</xdr:colOff>
      <xdr:row>365</xdr:row>
      <xdr:rowOff>151533</xdr:rowOff>
    </xdr:to>
    <xdr:pic>
      <xdr:nvPicPr>
        <xdr:cNvPr id="80" name="Picture 40" descr="UK2.jpg">
          <a:extLst>
            <a:ext uri="{FF2B5EF4-FFF2-40B4-BE49-F238E27FC236}">
              <a16:creationId xmlns:a16="http://schemas.microsoft.com/office/drawing/2014/main" id="{B9907D45-C74A-49EB-826F-E22D890F78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19430999"/>
          <a:ext cx="246784" cy="13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396</xdr:row>
      <xdr:rowOff>8282</xdr:rowOff>
    </xdr:from>
    <xdr:to>
      <xdr:col>10</xdr:col>
      <xdr:colOff>0</xdr:colOff>
      <xdr:row>396</xdr:row>
      <xdr:rowOff>132521</xdr:rowOff>
    </xdr:to>
    <xdr:pic>
      <xdr:nvPicPr>
        <xdr:cNvPr id="82" name="Picture 40" descr="UK2.jpg">
          <a:extLst>
            <a:ext uri="{FF2B5EF4-FFF2-40B4-BE49-F238E27FC236}">
              <a16:creationId xmlns:a16="http://schemas.microsoft.com/office/drawing/2014/main" id="{3D78FB53-399C-4160-A348-B5A34BAA5B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59792152"/>
          <a:ext cx="248478" cy="124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409</xdr:row>
      <xdr:rowOff>6350</xdr:rowOff>
    </xdr:from>
    <xdr:to>
      <xdr:col>10</xdr:col>
      <xdr:colOff>0</xdr:colOff>
      <xdr:row>410</xdr:row>
      <xdr:rowOff>2982</xdr:rowOff>
    </xdr:to>
    <xdr:pic>
      <xdr:nvPicPr>
        <xdr:cNvPr id="83" name="Picture 40" descr="UK2.jpg">
          <a:extLst>
            <a:ext uri="{FF2B5EF4-FFF2-40B4-BE49-F238E27FC236}">
              <a16:creationId xmlns:a16="http://schemas.microsoft.com/office/drawing/2014/main" id="{EDD47BBD-F679-4C9A-B63A-D900FF702B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1695220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418</xdr:row>
      <xdr:rowOff>6350</xdr:rowOff>
    </xdr:from>
    <xdr:to>
      <xdr:col>10</xdr:col>
      <xdr:colOff>0</xdr:colOff>
      <xdr:row>419</xdr:row>
      <xdr:rowOff>2982</xdr:rowOff>
    </xdr:to>
    <xdr:pic>
      <xdr:nvPicPr>
        <xdr:cNvPr id="84" name="Picture 40" descr="UK2.jpg">
          <a:extLst>
            <a:ext uri="{FF2B5EF4-FFF2-40B4-BE49-F238E27FC236}">
              <a16:creationId xmlns:a16="http://schemas.microsoft.com/office/drawing/2014/main" id="{D1F16A47-4CD5-45B2-9026-2B541E64D3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3012154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420</xdr:row>
      <xdr:rowOff>6350</xdr:rowOff>
    </xdr:from>
    <xdr:to>
      <xdr:col>10</xdr:col>
      <xdr:colOff>0</xdr:colOff>
      <xdr:row>421</xdr:row>
      <xdr:rowOff>2982</xdr:rowOff>
    </xdr:to>
    <xdr:pic>
      <xdr:nvPicPr>
        <xdr:cNvPr id="90" name="Picture 40" descr="UK2.jpg">
          <a:extLst>
            <a:ext uri="{FF2B5EF4-FFF2-40B4-BE49-F238E27FC236}">
              <a16:creationId xmlns:a16="http://schemas.microsoft.com/office/drawing/2014/main" id="{7A705580-C1B1-46E0-9749-898050E1E2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3310328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421</xdr:row>
      <xdr:rowOff>7327</xdr:rowOff>
    </xdr:from>
    <xdr:to>
      <xdr:col>10</xdr:col>
      <xdr:colOff>0</xdr:colOff>
      <xdr:row>422</xdr:row>
      <xdr:rowOff>0</xdr:rowOff>
    </xdr:to>
    <xdr:pic>
      <xdr:nvPicPr>
        <xdr:cNvPr id="93" name="Picture 40" descr="UK2.jpg">
          <a:extLst>
            <a:ext uri="{FF2B5EF4-FFF2-40B4-BE49-F238E27FC236}">
              <a16:creationId xmlns:a16="http://schemas.microsoft.com/office/drawing/2014/main" id="{37E9BFB4-8E47-459B-9863-A6B652C315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3460392"/>
          <a:ext cx="248478" cy="14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422</xdr:row>
      <xdr:rowOff>6350</xdr:rowOff>
    </xdr:from>
    <xdr:to>
      <xdr:col>10</xdr:col>
      <xdr:colOff>0</xdr:colOff>
      <xdr:row>423</xdr:row>
      <xdr:rowOff>2982</xdr:rowOff>
    </xdr:to>
    <xdr:pic>
      <xdr:nvPicPr>
        <xdr:cNvPr id="95" name="Picture 40" descr="UK2.jpg">
          <a:extLst>
            <a:ext uri="{FF2B5EF4-FFF2-40B4-BE49-F238E27FC236}">
              <a16:creationId xmlns:a16="http://schemas.microsoft.com/office/drawing/2014/main" id="{09C6B322-F811-4BE4-81A7-8AFCC5F2C9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3608502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423</xdr:row>
      <xdr:rowOff>6350</xdr:rowOff>
    </xdr:from>
    <xdr:to>
      <xdr:col>10</xdr:col>
      <xdr:colOff>0</xdr:colOff>
      <xdr:row>424</xdr:row>
      <xdr:rowOff>2982</xdr:rowOff>
    </xdr:to>
    <xdr:pic>
      <xdr:nvPicPr>
        <xdr:cNvPr id="96" name="Picture 40" descr="UK2.jpg">
          <a:extLst>
            <a:ext uri="{FF2B5EF4-FFF2-40B4-BE49-F238E27FC236}">
              <a16:creationId xmlns:a16="http://schemas.microsoft.com/office/drawing/2014/main" id="{47ECF7EE-9EBF-451A-B21F-ECD2A36019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3757589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427</xdr:row>
      <xdr:rowOff>6350</xdr:rowOff>
    </xdr:from>
    <xdr:to>
      <xdr:col>10</xdr:col>
      <xdr:colOff>0</xdr:colOff>
      <xdr:row>428</xdr:row>
      <xdr:rowOff>2982</xdr:rowOff>
    </xdr:to>
    <xdr:pic>
      <xdr:nvPicPr>
        <xdr:cNvPr id="97" name="Picture 40" descr="UK2.jpg">
          <a:extLst>
            <a:ext uri="{FF2B5EF4-FFF2-40B4-BE49-F238E27FC236}">
              <a16:creationId xmlns:a16="http://schemas.microsoft.com/office/drawing/2014/main" id="{6975A537-DD9B-49FF-B418-02DC39DC2F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4353937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429</xdr:row>
      <xdr:rowOff>6350</xdr:rowOff>
    </xdr:from>
    <xdr:to>
      <xdr:col>10</xdr:col>
      <xdr:colOff>0</xdr:colOff>
      <xdr:row>430</xdr:row>
      <xdr:rowOff>2982</xdr:rowOff>
    </xdr:to>
    <xdr:pic>
      <xdr:nvPicPr>
        <xdr:cNvPr id="98" name="Picture 40" descr="UK2.jpg">
          <a:extLst>
            <a:ext uri="{FF2B5EF4-FFF2-40B4-BE49-F238E27FC236}">
              <a16:creationId xmlns:a16="http://schemas.microsoft.com/office/drawing/2014/main" id="{82BAE0FD-507F-4ECF-9465-FCBEA7BA8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4652111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439</xdr:row>
      <xdr:rowOff>11906</xdr:rowOff>
    </xdr:from>
    <xdr:to>
      <xdr:col>10</xdr:col>
      <xdr:colOff>0</xdr:colOff>
      <xdr:row>439</xdr:row>
      <xdr:rowOff>142544</xdr:rowOff>
    </xdr:to>
    <xdr:pic>
      <xdr:nvPicPr>
        <xdr:cNvPr id="99" name="Picture 40" descr="UK2.jpg">
          <a:extLst>
            <a:ext uri="{FF2B5EF4-FFF2-40B4-BE49-F238E27FC236}">
              <a16:creationId xmlns:a16="http://schemas.microsoft.com/office/drawing/2014/main" id="{7A0B5C47-CCC5-473F-A4A5-C80F2BBF7B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6098841"/>
          <a:ext cx="248478" cy="130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442</xdr:row>
      <xdr:rowOff>12988</xdr:rowOff>
    </xdr:from>
    <xdr:to>
      <xdr:col>9</xdr:col>
      <xdr:colOff>246784</xdr:colOff>
      <xdr:row>443</xdr:row>
      <xdr:rowOff>2070</xdr:rowOff>
    </xdr:to>
    <xdr:pic>
      <xdr:nvPicPr>
        <xdr:cNvPr id="100" name="Picture 40" descr="UK2.jpg">
          <a:extLst>
            <a:ext uri="{FF2B5EF4-FFF2-40B4-BE49-F238E27FC236}">
              <a16:creationId xmlns:a16="http://schemas.microsoft.com/office/drawing/2014/main" id="{A00C0EF5-5EBB-4B7F-AAEB-D3E8283407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6538901"/>
          <a:ext cx="246784" cy="129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447</xdr:row>
      <xdr:rowOff>5952</xdr:rowOff>
    </xdr:from>
    <xdr:to>
      <xdr:col>9</xdr:col>
      <xdr:colOff>246784</xdr:colOff>
      <xdr:row>447</xdr:row>
      <xdr:rowOff>135297</xdr:rowOff>
    </xdr:to>
    <xdr:pic>
      <xdr:nvPicPr>
        <xdr:cNvPr id="105" name="Picture 40" descr="UK2.jpg">
          <a:extLst>
            <a:ext uri="{FF2B5EF4-FFF2-40B4-BE49-F238E27FC236}">
              <a16:creationId xmlns:a16="http://schemas.microsoft.com/office/drawing/2014/main" id="{0D3D4578-FB83-49A2-BC14-E8565610C0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7269017"/>
          <a:ext cx="246784" cy="129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450</xdr:row>
      <xdr:rowOff>6350</xdr:rowOff>
    </xdr:from>
    <xdr:to>
      <xdr:col>10</xdr:col>
      <xdr:colOff>0</xdr:colOff>
      <xdr:row>450</xdr:row>
      <xdr:rowOff>136922</xdr:rowOff>
    </xdr:to>
    <xdr:pic>
      <xdr:nvPicPr>
        <xdr:cNvPr id="106" name="Picture 40" descr="UK2.jpg">
          <a:extLst>
            <a:ext uri="{FF2B5EF4-FFF2-40B4-BE49-F238E27FC236}">
              <a16:creationId xmlns:a16="http://schemas.microsoft.com/office/drawing/2014/main" id="{3C0962B5-9666-4AEA-8108-67CAA82DFC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7700111"/>
          <a:ext cx="248478" cy="130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269</xdr:row>
      <xdr:rowOff>6350</xdr:rowOff>
    </xdr:from>
    <xdr:to>
      <xdr:col>10</xdr:col>
      <xdr:colOff>0</xdr:colOff>
      <xdr:row>269</xdr:row>
      <xdr:rowOff>152069</xdr:rowOff>
    </xdr:to>
    <xdr:pic>
      <xdr:nvPicPr>
        <xdr:cNvPr id="107" name="Picture 40" descr="UK2.jpg">
          <a:extLst>
            <a:ext uri="{FF2B5EF4-FFF2-40B4-BE49-F238E27FC236}">
              <a16:creationId xmlns:a16="http://schemas.microsoft.com/office/drawing/2014/main" id="{CC2B8D52-D999-496D-91EF-5F30CD5E59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07619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285</xdr:row>
      <xdr:rowOff>6350</xdr:rowOff>
    </xdr:from>
    <xdr:to>
      <xdr:col>10</xdr:col>
      <xdr:colOff>0</xdr:colOff>
      <xdr:row>285</xdr:row>
      <xdr:rowOff>152069</xdr:rowOff>
    </xdr:to>
    <xdr:pic>
      <xdr:nvPicPr>
        <xdr:cNvPr id="108" name="Picture 40" descr="UK2.jpg">
          <a:extLst>
            <a:ext uri="{FF2B5EF4-FFF2-40B4-BE49-F238E27FC236}">
              <a16:creationId xmlns:a16="http://schemas.microsoft.com/office/drawing/2014/main" id="{D1A8C0E1-8BB0-4C60-9C54-183389445F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22859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322</xdr:row>
      <xdr:rowOff>6350</xdr:rowOff>
    </xdr:from>
    <xdr:to>
      <xdr:col>10</xdr:col>
      <xdr:colOff>0</xdr:colOff>
      <xdr:row>322</xdr:row>
      <xdr:rowOff>152069</xdr:rowOff>
    </xdr:to>
    <xdr:pic>
      <xdr:nvPicPr>
        <xdr:cNvPr id="109" name="Picture 40" descr="UK2.jpg">
          <a:extLst>
            <a:ext uri="{FF2B5EF4-FFF2-40B4-BE49-F238E27FC236}">
              <a16:creationId xmlns:a16="http://schemas.microsoft.com/office/drawing/2014/main" id="{BA13F9A3-871C-47F8-86A7-FE2DC13A1E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64007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339</xdr:row>
      <xdr:rowOff>11906</xdr:rowOff>
    </xdr:from>
    <xdr:to>
      <xdr:col>9</xdr:col>
      <xdr:colOff>246784</xdr:colOff>
      <xdr:row>339</xdr:row>
      <xdr:rowOff>148827</xdr:rowOff>
    </xdr:to>
    <xdr:pic>
      <xdr:nvPicPr>
        <xdr:cNvPr id="111" name="Picture 40" descr="UK2.jpg">
          <a:extLst>
            <a:ext uri="{FF2B5EF4-FFF2-40B4-BE49-F238E27FC236}">
              <a16:creationId xmlns:a16="http://schemas.microsoft.com/office/drawing/2014/main" id="{CB36FC4C-918F-4494-850A-40F486CDA3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0716875"/>
          <a:ext cx="246784" cy="13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347</xdr:row>
      <xdr:rowOff>0</xdr:rowOff>
    </xdr:from>
    <xdr:to>
      <xdr:col>10</xdr:col>
      <xdr:colOff>0</xdr:colOff>
      <xdr:row>347</xdr:row>
      <xdr:rowOff>0</xdr:rowOff>
    </xdr:to>
    <xdr:pic>
      <xdr:nvPicPr>
        <xdr:cNvPr id="115" name="Picture 40" descr="UK2.jpg">
          <a:extLst>
            <a:ext uri="{FF2B5EF4-FFF2-40B4-BE49-F238E27FC236}">
              <a16:creationId xmlns:a16="http://schemas.microsoft.com/office/drawing/2014/main" id="{E642EE5C-45C5-4B77-806A-AE5D93810C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96011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347</xdr:row>
      <xdr:rowOff>6350</xdr:rowOff>
    </xdr:from>
    <xdr:to>
      <xdr:col>10</xdr:col>
      <xdr:colOff>0</xdr:colOff>
      <xdr:row>347</xdr:row>
      <xdr:rowOff>152069</xdr:rowOff>
    </xdr:to>
    <xdr:pic>
      <xdr:nvPicPr>
        <xdr:cNvPr id="116" name="Picture 40" descr="UK2.jpg">
          <a:extLst>
            <a:ext uri="{FF2B5EF4-FFF2-40B4-BE49-F238E27FC236}">
              <a16:creationId xmlns:a16="http://schemas.microsoft.com/office/drawing/2014/main" id="{15DBDFED-137D-4CBD-978C-EAB91C1D6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97535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285750</xdr:colOff>
      <xdr:row>484</xdr:row>
      <xdr:rowOff>7327</xdr:rowOff>
    </xdr:from>
    <xdr:to>
      <xdr:col>10</xdr:col>
      <xdr:colOff>0</xdr:colOff>
      <xdr:row>485</xdr:row>
      <xdr:rowOff>0</xdr:rowOff>
    </xdr:to>
    <xdr:pic>
      <xdr:nvPicPr>
        <xdr:cNvPr id="118" name="Picture 40" descr="UK2.jpg">
          <a:extLst>
            <a:ext uri="{FF2B5EF4-FFF2-40B4-BE49-F238E27FC236}">
              <a16:creationId xmlns:a16="http://schemas.microsoft.com/office/drawing/2014/main" id="{0FCCB3B0-9F2C-4EC5-8D4F-6FE66463CF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734" y="24688983"/>
          <a:ext cx="250032" cy="13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487</xdr:row>
      <xdr:rowOff>6350</xdr:rowOff>
    </xdr:from>
    <xdr:to>
      <xdr:col>10</xdr:col>
      <xdr:colOff>0</xdr:colOff>
      <xdr:row>487</xdr:row>
      <xdr:rowOff>152069</xdr:rowOff>
    </xdr:to>
    <xdr:pic>
      <xdr:nvPicPr>
        <xdr:cNvPr id="119" name="Picture 40" descr="UK2.jpg">
          <a:extLst>
            <a:ext uri="{FF2B5EF4-FFF2-40B4-BE49-F238E27FC236}">
              <a16:creationId xmlns:a16="http://schemas.microsoft.com/office/drawing/2014/main" id="{14BB8B27-6AC8-408D-81CD-B139AAE5A5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49351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498</xdr:row>
      <xdr:rowOff>11905</xdr:rowOff>
    </xdr:from>
    <xdr:to>
      <xdr:col>10</xdr:col>
      <xdr:colOff>0</xdr:colOff>
      <xdr:row>498</xdr:row>
      <xdr:rowOff>142874</xdr:rowOff>
    </xdr:to>
    <xdr:pic>
      <xdr:nvPicPr>
        <xdr:cNvPr id="120" name="Picture 40" descr="UK2.jpg">
          <a:extLst>
            <a:ext uri="{FF2B5EF4-FFF2-40B4-BE49-F238E27FC236}">
              <a16:creationId xmlns:a16="http://schemas.microsoft.com/office/drawing/2014/main" id="{ACC894F3-3C7E-47E9-AF19-8B2DE29B31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7616546"/>
          <a:ext cx="250031" cy="130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513</xdr:row>
      <xdr:rowOff>6350</xdr:rowOff>
    </xdr:from>
    <xdr:to>
      <xdr:col>10</xdr:col>
      <xdr:colOff>0</xdr:colOff>
      <xdr:row>513</xdr:row>
      <xdr:rowOff>152069</xdr:rowOff>
    </xdr:to>
    <xdr:pic>
      <xdr:nvPicPr>
        <xdr:cNvPr id="123" name="Picture 40" descr="UK2.jpg">
          <a:extLst>
            <a:ext uri="{FF2B5EF4-FFF2-40B4-BE49-F238E27FC236}">
              <a16:creationId xmlns:a16="http://schemas.microsoft.com/office/drawing/2014/main" id="{580695A6-2AC9-4026-9DBC-DA4A61C6F8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75259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522</xdr:row>
      <xdr:rowOff>6350</xdr:rowOff>
    </xdr:from>
    <xdr:to>
      <xdr:col>10</xdr:col>
      <xdr:colOff>0</xdr:colOff>
      <xdr:row>522</xdr:row>
      <xdr:rowOff>152069</xdr:rowOff>
    </xdr:to>
    <xdr:pic>
      <xdr:nvPicPr>
        <xdr:cNvPr id="124" name="Picture 40" descr="UK2.jpg">
          <a:extLst>
            <a:ext uri="{FF2B5EF4-FFF2-40B4-BE49-F238E27FC236}">
              <a16:creationId xmlns:a16="http://schemas.microsoft.com/office/drawing/2014/main" id="{CB886D6C-75E4-45CD-A095-10E4A0D8E0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87451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6569</xdr:colOff>
      <xdr:row>537</xdr:row>
      <xdr:rowOff>8808</xdr:rowOff>
    </xdr:from>
    <xdr:to>
      <xdr:col>10</xdr:col>
      <xdr:colOff>6569</xdr:colOff>
      <xdr:row>537</xdr:row>
      <xdr:rowOff>129886</xdr:rowOff>
    </xdr:to>
    <xdr:pic>
      <xdr:nvPicPr>
        <xdr:cNvPr id="125" name="Picture 40" descr="UK2.jpg">
          <a:extLst>
            <a:ext uri="{FF2B5EF4-FFF2-40B4-BE49-F238E27FC236}">
              <a16:creationId xmlns:a16="http://schemas.microsoft.com/office/drawing/2014/main" id="{10A56C22-0850-45F7-873E-0017B3DF29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774" y="25033581"/>
          <a:ext cx="246784" cy="121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554</xdr:row>
      <xdr:rowOff>6350</xdr:rowOff>
    </xdr:from>
    <xdr:to>
      <xdr:col>10</xdr:col>
      <xdr:colOff>0</xdr:colOff>
      <xdr:row>554</xdr:row>
      <xdr:rowOff>152069</xdr:rowOff>
    </xdr:to>
    <xdr:pic>
      <xdr:nvPicPr>
        <xdr:cNvPr id="126" name="Picture 40" descr="UK2.jpg">
          <a:extLst>
            <a:ext uri="{FF2B5EF4-FFF2-40B4-BE49-F238E27FC236}">
              <a16:creationId xmlns:a16="http://schemas.microsoft.com/office/drawing/2014/main" id="{82C4C01C-C180-48AB-94F1-38116C70ED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36219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811</xdr:row>
      <xdr:rowOff>7328</xdr:rowOff>
    </xdr:from>
    <xdr:to>
      <xdr:col>9</xdr:col>
      <xdr:colOff>246784</xdr:colOff>
      <xdr:row>811</xdr:row>
      <xdr:rowOff>142876</xdr:rowOff>
    </xdr:to>
    <xdr:pic>
      <xdr:nvPicPr>
        <xdr:cNvPr id="127" name="Picture 40" descr="UK2.jpg">
          <a:extLst>
            <a:ext uri="{FF2B5EF4-FFF2-40B4-BE49-F238E27FC236}">
              <a16:creationId xmlns:a16="http://schemas.microsoft.com/office/drawing/2014/main" id="{36A6631F-280F-4F16-A1CC-72C2F5077A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43506271"/>
          <a:ext cx="246784" cy="13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813</xdr:row>
      <xdr:rowOff>6350</xdr:rowOff>
    </xdr:from>
    <xdr:to>
      <xdr:col>10</xdr:col>
      <xdr:colOff>0</xdr:colOff>
      <xdr:row>813</xdr:row>
      <xdr:rowOff>152069</xdr:rowOff>
    </xdr:to>
    <xdr:pic>
      <xdr:nvPicPr>
        <xdr:cNvPr id="129" name="Picture 40" descr="UK2.jpg">
          <a:extLst>
            <a:ext uri="{FF2B5EF4-FFF2-40B4-BE49-F238E27FC236}">
              <a16:creationId xmlns:a16="http://schemas.microsoft.com/office/drawing/2014/main" id="{15A798F1-5F50-41FE-AE53-E7C7A0D48C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955675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822</xdr:row>
      <xdr:rowOff>12988</xdr:rowOff>
    </xdr:from>
    <xdr:to>
      <xdr:col>10</xdr:col>
      <xdr:colOff>8282</xdr:colOff>
      <xdr:row>822</xdr:row>
      <xdr:rowOff>147480</xdr:rowOff>
    </xdr:to>
    <xdr:pic>
      <xdr:nvPicPr>
        <xdr:cNvPr id="130" name="Picture 40" descr="UK2.jpg">
          <a:extLst>
            <a:ext uri="{FF2B5EF4-FFF2-40B4-BE49-F238E27FC236}">
              <a16:creationId xmlns:a16="http://schemas.microsoft.com/office/drawing/2014/main" id="{A74D47F0-B89D-4A3A-8BF8-970430180B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44650602"/>
          <a:ext cx="255066" cy="134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830</xdr:row>
      <xdr:rowOff>12988</xdr:rowOff>
    </xdr:from>
    <xdr:to>
      <xdr:col>9</xdr:col>
      <xdr:colOff>246784</xdr:colOff>
      <xdr:row>830</xdr:row>
      <xdr:rowOff>147204</xdr:rowOff>
    </xdr:to>
    <xdr:pic>
      <xdr:nvPicPr>
        <xdr:cNvPr id="139" name="Picture 40" descr="UK2.jpg">
          <a:extLst>
            <a:ext uri="{FF2B5EF4-FFF2-40B4-BE49-F238E27FC236}">
              <a16:creationId xmlns:a16="http://schemas.microsoft.com/office/drawing/2014/main" id="{C1E26B50-43B9-4BBA-B211-99E18794BD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45603102"/>
          <a:ext cx="246784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831</xdr:row>
      <xdr:rowOff>6350</xdr:rowOff>
    </xdr:from>
    <xdr:to>
      <xdr:col>10</xdr:col>
      <xdr:colOff>0</xdr:colOff>
      <xdr:row>831</xdr:row>
      <xdr:rowOff>152069</xdr:rowOff>
    </xdr:to>
    <xdr:pic>
      <xdr:nvPicPr>
        <xdr:cNvPr id="140" name="Picture 40" descr="UK2.jpg">
          <a:extLst>
            <a:ext uri="{FF2B5EF4-FFF2-40B4-BE49-F238E27FC236}">
              <a16:creationId xmlns:a16="http://schemas.microsoft.com/office/drawing/2014/main" id="{8CDE7788-E562-4B88-911C-6FE06B0D35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069975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832</xdr:row>
      <xdr:rowOff>6350</xdr:rowOff>
    </xdr:from>
    <xdr:to>
      <xdr:col>10</xdr:col>
      <xdr:colOff>0</xdr:colOff>
      <xdr:row>832</xdr:row>
      <xdr:rowOff>152069</xdr:rowOff>
    </xdr:to>
    <xdr:pic>
      <xdr:nvPicPr>
        <xdr:cNvPr id="141" name="Picture 40" descr="UK2.jpg">
          <a:extLst>
            <a:ext uri="{FF2B5EF4-FFF2-40B4-BE49-F238E27FC236}">
              <a16:creationId xmlns:a16="http://schemas.microsoft.com/office/drawing/2014/main" id="{4C90C026-23BD-44BC-BA4A-FD77DB2BEC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071499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833</xdr:row>
      <xdr:rowOff>6350</xdr:rowOff>
    </xdr:from>
    <xdr:to>
      <xdr:col>10</xdr:col>
      <xdr:colOff>0</xdr:colOff>
      <xdr:row>833</xdr:row>
      <xdr:rowOff>152069</xdr:rowOff>
    </xdr:to>
    <xdr:pic>
      <xdr:nvPicPr>
        <xdr:cNvPr id="142" name="Picture 40" descr="UK2.jpg">
          <a:extLst>
            <a:ext uri="{FF2B5EF4-FFF2-40B4-BE49-F238E27FC236}">
              <a16:creationId xmlns:a16="http://schemas.microsoft.com/office/drawing/2014/main" id="{E5248585-4446-46C8-908F-59E95203CC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0730230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145</xdr:row>
      <xdr:rowOff>10242</xdr:rowOff>
    </xdr:from>
    <xdr:to>
      <xdr:col>10</xdr:col>
      <xdr:colOff>0</xdr:colOff>
      <xdr:row>146</xdr:row>
      <xdr:rowOff>0</xdr:rowOff>
    </xdr:to>
    <xdr:pic>
      <xdr:nvPicPr>
        <xdr:cNvPr id="158" name="Picture 40" descr="UK2.jpg">
          <a:extLst>
            <a:ext uri="{FF2B5EF4-FFF2-40B4-BE49-F238E27FC236}">
              <a16:creationId xmlns:a16="http://schemas.microsoft.com/office/drawing/2014/main" id="{B32F59B5-5AD3-4A9B-BC41-A0F649D12F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6346438"/>
          <a:ext cx="248478" cy="13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835</xdr:row>
      <xdr:rowOff>6569</xdr:rowOff>
    </xdr:from>
    <xdr:to>
      <xdr:col>10</xdr:col>
      <xdr:colOff>0</xdr:colOff>
      <xdr:row>836</xdr:row>
      <xdr:rowOff>0</xdr:rowOff>
    </xdr:to>
    <xdr:pic>
      <xdr:nvPicPr>
        <xdr:cNvPr id="143" name="Picture 40" descr="UK2.jpg">
          <a:extLst>
            <a:ext uri="{FF2B5EF4-FFF2-40B4-BE49-F238E27FC236}">
              <a16:creationId xmlns:a16="http://schemas.microsoft.com/office/drawing/2014/main" id="{2684C45C-5162-4495-8BB3-B848E64200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810" y="53497655"/>
          <a:ext cx="249621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834</xdr:row>
      <xdr:rowOff>6569</xdr:rowOff>
    </xdr:from>
    <xdr:to>
      <xdr:col>10</xdr:col>
      <xdr:colOff>0</xdr:colOff>
      <xdr:row>835</xdr:row>
      <xdr:rowOff>1202</xdr:rowOff>
    </xdr:to>
    <xdr:pic>
      <xdr:nvPicPr>
        <xdr:cNvPr id="144" name="Picture 40" descr="UK2.jpg">
          <a:extLst>
            <a:ext uri="{FF2B5EF4-FFF2-40B4-BE49-F238E27FC236}">
              <a16:creationId xmlns:a16="http://schemas.microsoft.com/office/drawing/2014/main" id="{B9B4A065-C2AA-42DE-B4CF-106359B6F5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810" y="53497655"/>
          <a:ext cx="249621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505</xdr:row>
      <xdr:rowOff>6350</xdr:rowOff>
    </xdr:from>
    <xdr:to>
      <xdr:col>10</xdr:col>
      <xdr:colOff>0</xdr:colOff>
      <xdr:row>505</xdr:row>
      <xdr:rowOff>152069</xdr:rowOff>
    </xdr:to>
    <xdr:pic>
      <xdr:nvPicPr>
        <xdr:cNvPr id="203" name="Picture 40" descr="UK2.jpg">
          <a:extLst>
            <a:ext uri="{FF2B5EF4-FFF2-40B4-BE49-F238E27FC236}">
              <a16:creationId xmlns:a16="http://schemas.microsoft.com/office/drawing/2014/main" id="{6D12AF4B-08C8-42E2-833B-59CD960526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652" y="29724350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513</xdr:row>
      <xdr:rowOff>6350</xdr:rowOff>
    </xdr:from>
    <xdr:to>
      <xdr:col>10</xdr:col>
      <xdr:colOff>0</xdr:colOff>
      <xdr:row>513</xdr:row>
      <xdr:rowOff>152069</xdr:rowOff>
    </xdr:to>
    <xdr:pic>
      <xdr:nvPicPr>
        <xdr:cNvPr id="204" name="Picture 40" descr="UK2.jpg">
          <a:extLst>
            <a:ext uri="{FF2B5EF4-FFF2-40B4-BE49-F238E27FC236}">
              <a16:creationId xmlns:a16="http://schemas.microsoft.com/office/drawing/2014/main" id="{A5CE05AF-F1DE-4830-ABF4-1043CF996B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652" y="30917046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516</xdr:row>
      <xdr:rowOff>6350</xdr:rowOff>
    </xdr:from>
    <xdr:to>
      <xdr:col>10</xdr:col>
      <xdr:colOff>0</xdr:colOff>
      <xdr:row>516</xdr:row>
      <xdr:rowOff>152069</xdr:rowOff>
    </xdr:to>
    <xdr:pic>
      <xdr:nvPicPr>
        <xdr:cNvPr id="205" name="Picture 40" descr="UK2.jpg">
          <a:extLst>
            <a:ext uri="{FF2B5EF4-FFF2-40B4-BE49-F238E27FC236}">
              <a16:creationId xmlns:a16="http://schemas.microsoft.com/office/drawing/2014/main" id="{96210731-8109-42BA-943C-64CFBBDEDF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652" y="31215220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521</xdr:row>
      <xdr:rowOff>6626</xdr:rowOff>
    </xdr:from>
    <xdr:to>
      <xdr:col>10</xdr:col>
      <xdr:colOff>0</xdr:colOff>
      <xdr:row>522</xdr:row>
      <xdr:rowOff>0</xdr:rowOff>
    </xdr:to>
    <xdr:pic>
      <xdr:nvPicPr>
        <xdr:cNvPr id="206" name="Picture 40" descr="UK2.jpg">
          <a:extLst>
            <a:ext uri="{FF2B5EF4-FFF2-40B4-BE49-F238E27FC236}">
              <a16:creationId xmlns:a16="http://schemas.microsoft.com/office/drawing/2014/main" id="{D338D4D3-7132-4C9A-9882-EB354FBA81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4487" y="66804209"/>
          <a:ext cx="25179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8282</xdr:colOff>
      <xdr:row>589</xdr:row>
      <xdr:rowOff>10679</xdr:rowOff>
    </xdr:from>
    <xdr:to>
      <xdr:col>10</xdr:col>
      <xdr:colOff>8282</xdr:colOff>
      <xdr:row>589</xdr:row>
      <xdr:rowOff>138546</xdr:rowOff>
    </xdr:to>
    <xdr:pic>
      <xdr:nvPicPr>
        <xdr:cNvPr id="166" name="Picture 40" descr="UK2.jpg">
          <a:extLst>
            <a:ext uri="{FF2B5EF4-FFF2-40B4-BE49-F238E27FC236}">
              <a16:creationId xmlns:a16="http://schemas.microsoft.com/office/drawing/2014/main" id="{08A86447-B926-4C41-A3A2-235881CD19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475" y="29317372"/>
          <a:ext cx="246784" cy="12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8283</xdr:rowOff>
    </xdr:from>
    <xdr:to>
      <xdr:col>10</xdr:col>
      <xdr:colOff>0</xdr:colOff>
      <xdr:row>59</xdr:row>
      <xdr:rowOff>2</xdr:rowOff>
    </xdr:to>
    <xdr:pic>
      <xdr:nvPicPr>
        <xdr:cNvPr id="164" name="Picture 40" descr="UK2.jpg">
          <a:extLst>
            <a:ext uri="{FF2B5EF4-FFF2-40B4-BE49-F238E27FC236}">
              <a16:creationId xmlns:a16="http://schemas.microsoft.com/office/drawing/2014/main" id="{A5E985A1-1B05-453D-AABF-AD2FDF2866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3246783"/>
          <a:ext cx="248478" cy="13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514</xdr:row>
      <xdr:rowOff>6350</xdr:rowOff>
    </xdr:from>
    <xdr:to>
      <xdr:col>10</xdr:col>
      <xdr:colOff>0</xdr:colOff>
      <xdr:row>514</xdr:row>
      <xdr:rowOff>152069</xdr:rowOff>
    </xdr:to>
    <xdr:pic>
      <xdr:nvPicPr>
        <xdr:cNvPr id="207" name="Picture 40" descr="UK2.jpg">
          <a:extLst>
            <a:ext uri="{FF2B5EF4-FFF2-40B4-BE49-F238E27FC236}">
              <a16:creationId xmlns:a16="http://schemas.microsoft.com/office/drawing/2014/main" id="{C4DA72E3-D663-4530-B59D-CEBB989283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25293154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514</xdr:row>
      <xdr:rowOff>6350</xdr:rowOff>
    </xdr:from>
    <xdr:to>
      <xdr:col>10</xdr:col>
      <xdr:colOff>0</xdr:colOff>
      <xdr:row>514</xdr:row>
      <xdr:rowOff>152069</xdr:rowOff>
    </xdr:to>
    <xdr:pic>
      <xdr:nvPicPr>
        <xdr:cNvPr id="211" name="Picture 40" descr="UK2.jpg">
          <a:extLst>
            <a:ext uri="{FF2B5EF4-FFF2-40B4-BE49-F238E27FC236}">
              <a16:creationId xmlns:a16="http://schemas.microsoft.com/office/drawing/2014/main" id="{70E5189D-D71F-4388-B987-BC6D725CDC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25293154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8283</xdr:colOff>
      <xdr:row>533</xdr:row>
      <xdr:rowOff>17316</xdr:rowOff>
    </xdr:from>
    <xdr:to>
      <xdr:col>10</xdr:col>
      <xdr:colOff>8283</xdr:colOff>
      <xdr:row>533</xdr:row>
      <xdr:rowOff>126291</xdr:rowOff>
    </xdr:to>
    <xdr:pic>
      <xdr:nvPicPr>
        <xdr:cNvPr id="194" name="Picture 40" descr="UK2.jpg">
          <a:extLst>
            <a:ext uri="{FF2B5EF4-FFF2-40B4-BE49-F238E27FC236}">
              <a16:creationId xmlns:a16="http://schemas.microsoft.com/office/drawing/2014/main" id="{C58C5068-6B62-4726-921A-6A0978AC99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476" y="25271555"/>
          <a:ext cx="246784" cy="10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8283</xdr:colOff>
      <xdr:row>188</xdr:row>
      <xdr:rowOff>8283</xdr:rowOff>
    </xdr:from>
    <xdr:to>
      <xdr:col>10</xdr:col>
      <xdr:colOff>8283</xdr:colOff>
      <xdr:row>189</xdr:row>
      <xdr:rowOff>4915</xdr:rowOff>
    </xdr:to>
    <xdr:pic>
      <xdr:nvPicPr>
        <xdr:cNvPr id="198" name="Picture 40" descr="UK2.jpg">
          <a:extLst>
            <a:ext uri="{FF2B5EF4-FFF2-40B4-BE49-F238E27FC236}">
              <a16:creationId xmlns:a16="http://schemas.microsoft.com/office/drawing/2014/main" id="{4BD26C7D-DFD5-4369-8782-99B5206DD2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892" y="21584479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348</xdr:row>
      <xdr:rowOff>7327</xdr:rowOff>
    </xdr:from>
    <xdr:to>
      <xdr:col>10</xdr:col>
      <xdr:colOff>0</xdr:colOff>
      <xdr:row>348</xdr:row>
      <xdr:rowOff>153046</xdr:rowOff>
    </xdr:to>
    <xdr:pic>
      <xdr:nvPicPr>
        <xdr:cNvPr id="232" name="Picture 40" descr="UK2.jpg">
          <a:extLst>
            <a:ext uri="{FF2B5EF4-FFF2-40B4-BE49-F238E27FC236}">
              <a16:creationId xmlns:a16="http://schemas.microsoft.com/office/drawing/2014/main" id="{9D377B9C-EEE7-418D-8831-F95A9CEA13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865" y="17203615"/>
          <a:ext cx="249116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349</xdr:row>
      <xdr:rowOff>0</xdr:rowOff>
    </xdr:from>
    <xdr:to>
      <xdr:col>10</xdr:col>
      <xdr:colOff>0</xdr:colOff>
      <xdr:row>349</xdr:row>
      <xdr:rowOff>145719</xdr:rowOff>
    </xdr:to>
    <xdr:pic>
      <xdr:nvPicPr>
        <xdr:cNvPr id="235" name="Picture 40" descr="UK2.jpg">
          <a:extLst>
            <a:ext uri="{FF2B5EF4-FFF2-40B4-BE49-F238E27FC236}">
              <a16:creationId xmlns:a16="http://schemas.microsoft.com/office/drawing/2014/main" id="{97EA5FC5-FCFD-46DC-A8B6-226A23AB9C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16109674"/>
          <a:ext cx="248478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372</xdr:row>
      <xdr:rowOff>6625</xdr:rowOff>
    </xdr:from>
    <xdr:to>
      <xdr:col>10</xdr:col>
      <xdr:colOff>0</xdr:colOff>
      <xdr:row>373</xdr:row>
      <xdr:rowOff>0</xdr:rowOff>
    </xdr:to>
    <xdr:pic>
      <xdr:nvPicPr>
        <xdr:cNvPr id="236" name="Picture 40" descr="UK2.jpg">
          <a:extLst>
            <a:ext uri="{FF2B5EF4-FFF2-40B4-BE49-F238E27FC236}">
              <a16:creationId xmlns:a16="http://schemas.microsoft.com/office/drawing/2014/main" id="{5F621566-D6E5-4862-8D7A-BFBF07FB9B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4487" y="46833182"/>
          <a:ext cx="251791" cy="14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373</xdr:row>
      <xdr:rowOff>4647</xdr:rowOff>
    </xdr:from>
    <xdr:to>
      <xdr:col>10</xdr:col>
      <xdr:colOff>0</xdr:colOff>
      <xdr:row>374</xdr:row>
      <xdr:rowOff>0</xdr:rowOff>
    </xdr:to>
    <xdr:pic>
      <xdr:nvPicPr>
        <xdr:cNvPr id="237" name="Picture 40" descr="UK2.jpg">
          <a:extLst>
            <a:ext uri="{FF2B5EF4-FFF2-40B4-BE49-F238E27FC236}">
              <a16:creationId xmlns:a16="http://schemas.microsoft.com/office/drawing/2014/main" id="{90C09C57-9266-4853-9189-8054056E55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976" y="18868793"/>
          <a:ext cx="246256" cy="167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510</xdr:row>
      <xdr:rowOff>6626</xdr:rowOff>
    </xdr:from>
    <xdr:to>
      <xdr:col>10</xdr:col>
      <xdr:colOff>0</xdr:colOff>
      <xdr:row>510</xdr:row>
      <xdr:rowOff>152345</xdr:rowOff>
    </xdr:to>
    <xdr:pic>
      <xdr:nvPicPr>
        <xdr:cNvPr id="239" name="Picture 40" descr="UK2.jpg">
          <a:extLst>
            <a:ext uri="{FF2B5EF4-FFF2-40B4-BE49-F238E27FC236}">
              <a16:creationId xmlns:a16="http://schemas.microsoft.com/office/drawing/2014/main" id="{BF2441CC-1E9D-42CC-ABF0-BA2B055ECA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4487" y="65127809"/>
          <a:ext cx="251791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553</xdr:row>
      <xdr:rowOff>6569</xdr:rowOff>
    </xdr:from>
    <xdr:to>
      <xdr:col>10</xdr:col>
      <xdr:colOff>0</xdr:colOff>
      <xdr:row>554</xdr:row>
      <xdr:rowOff>1202</xdr:rowOff>
    </xdr:to>
    <xdr:pic>
      <xdr:nvPicPr>
        <xdr:cNvPr id="241" name="Picture 40" descr="UK2.jpg">
          <a:extLst>
            <a:ext uri="{FF2B5EF4-FFF2-40B4-BE49-F238E27FC236}">
              <a16:creationId xmlns:a16="http://schemas.microsoft.com/office/drawing/2014/main" id="{3E0459D9-3AD4-4958-8A77-58AA03DA1C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655" y="25704362"/>
          <a:ext cx="249621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565</xdr:row>
      <xdr:rowOff>8504</xdr:rowOff>
    </xdr:from>
    <xdr:to>
      <xdr:col>10</xdr:col>
      <xdr:colOff>0</xdr:colOff>
      <xdr:row>566</xdr:row>
      <xdr:rowOff>0</xdr:rowOff>
    </xdr:to>
    <xdr:pic>
      <xdr:nvPicPr>
        <xdr:cNvPr id="134" name="Picture 40" descr="UK2.jpg">
          <a:extLst>
            <a:ext uri="{FF2B5EF4-FFF2-40B4-BE49-F238E27FC236}">
              <a16:creationId xmlns:a16="http://schemas.microsoft.com/office/drawing/2014/main" id="{24A19E1D-9D9B-4B91-84B4-FBE75EA69C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27266569"/>
          <a:ext cx="248478" cy="12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566</xdr:row>
      <xdr:rowOff>7326</xdr:rowOff>
    </xdr:from>
    <xdr:to>
      <xdr:col>10</xdr:col>
      <xdr:colOff>0</xdr:colOff>
      <xdr:row>567</xdr:row>
      <xdr:rowOff>1878</xdr:rowOff>
    </xdr:to>
    <xdr:pic>
      <xdr:nvPicPr>
        <xdr:cNvPr id="135" name="Picture 40" descr="UK2.jpg">
          <a:extLst>
            <a:ext uri="{FF2B5EF4-FFF2-40B4-BE49-F238E27FC236}">
              <a16:creationId xmlns:a16="http://schemas.microsoft.com/office/drawing/2014/main" id="{0DD99DD8-DF98-4199-AECF-07115478EA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27397913"/>
          <a:ext cx="248478" cy="12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568</xdr:row>
      <xdr:rowOff>7327</xdr:rowOff>
    </xdr:from>
    <xdr:to>
      <xdr:col>10</xdr:col>
      <xdr:colOff>0</xdr:colOff>
      <xdr:row>569</xdr:row>
      <xdr:rowOff>1879</xdr:rowOff>
    </xdr:to>
    <xdr:pic>
      <xdr:nvPicPr>
        <xdr:cNvPr id="136" name="Picture 40" descr="UK2.jpg">
          <a:extLst>
            <a:ext uri="{FF2B5EF4-FFF2-40B4-BE49-F238E27FC236}">
              <a16:creationId xmlns:a16="http://schemas.microsoft.com/office/drawing/2014/main" id="{C8CA7938-42A0-4D9B-A89B-3FEA9031EF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27662957"/>
          <a:ext cx="248478" cy="12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571</xdr:row>
      <xdr:rowOff>7327</xdr:rowOff>
    </xdr:from>
    <xdr:to>
      <xdr:col>10</xdr:col>
      <xdr:colOff>0</xdr:colOff>
      <xdr:row>571</xdr:row>
      <xdr:rowOff>131657</xdr:rowOff>
    </xdr:to>
    <xdr:pic>
      <xdr:nvPicPr>
        <xdr:cNvPr id="138" name="Picture 40" descr="UK2.jpg">
          <a:extLst>
            <a:ext uri="{FF2B5EF4-FFF2-40B4-BE49-F238E27FC236}">
              <a16:creationId xmlns:a16="http://schemas.microsoft.com/office/drawing/2014/main" id="{32BF7973-25E0-4738-86DC-6163564EAC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28060523"/>
          <a:ext cx="248478" cy="12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572</xdr:row>
      <xdr:rowOff>7327</xdr:rowOff>
    </xdr:from>
    <xdr:to>
      <xdr:col>10</xdr:col>
      <xdr:colOff>0</xdr:colOff>
      <xdr:row>572</xdr:row>
      <xdr:rowOff>131657</xdr:rowOff>
    </xdr:to>
    <xdr:pic>
      <xdr:nvPicPr>
        <xdr:cNvPr id="145" name="Picture 40" descr="UK2.jpg">
          <a:extLst>
            <a:ext uri="{FF2B5EF4-FFF2-40B4-BE49-F238E27FC236}">
              <a16:creationId xmlns:a16="http://schemas.microsoft.com/office/drawing/2014/main" id="{7A3A07AF-D5F0-4DA2-ADC2-62514C68E2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28193044"/>
          <a:ext cx="248478" cy="12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573</xdr:row>
      <xdr:rowOff>7327</xdr:rowOff>
    </xdr:from>
    <xdr:to>
      <xdr:col>10</xdr:col>
      <xdr:colOff>0</xdr:colOff>
      <xdr:row>573</xdr:row>
      <xdr:rowOff>131657</xdr:rowOff>
    </xdr:to>
    <xdr:pic>
      <xdr:nvPicPr>
        <xdr:cNvPr id="146" name="Picture 40" descr="UK2.jpg">
          <a:extLst>
            <a:ext uri="{FF2B5EF4-FFF2-40B4-BE49-F238E27FC236}">
              <a16:creationId xmlns:a16="http://schemas.microsoft.com/office/drawing/2014/main" id="{D5CADB28-6580-4383-BE78-2D0164E38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28325566"/>
          <a:ext cx="248478" cy="12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956</xdr:colOff>
      <xdr:row>196</xdr:row>
      <xdr:rowOff>12987</xdr:rowOff>
    </xdr:from>
    <xdr:to>
      <xdr:col>10</xdr:col>
      <xdr:colOff>956</xdr:colOff>
      <xdr:row>196</xdr:row>
      <xdr:rowOff>142874</xdr:rowOff>
    </xdr:to>
    <xdr:pic>
      <xdr:nvPicPr>
        <xdr:cNvPr id="154" name="Picture 40" descr="UK2.jpg">
          <a:extLst>
            <a:ext uri="{FF2B5EF4-FFF2-40B4-BE49-F238E27FC236}">
              <a16:creationId xmlns:a16="http://schemas.microsoft.com/office/drawing/2014/main" id="{1E454D9F-24B4-4D92-8755-E667037908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0195" y="14118270"/>
          <a:ext cx="248478" cy="12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</xdr:row>
      <xdr:rowOff>9525</xdr:rowOff>
    </xdr:from>
    <xdr:to>
      <xdr:col>10</xdr:col>
      <xdr:colOff>0</xdr:colOff>
      <xdr:row>34</xdr:row>
      <xdr:rowOff>2844</xdr:rowOff>
    </xdr:to>
    <xdr:pic>
      <xdr:nvPicPr>
        <xdr:cNvPr id="172" name="Picture 40" descr="UK2.jpg">
          <a:extLst>
            <a:ext uri="{FF2B5EF4-FFF2-40B4-BE49-F238E27FC236}">
              <a16:creationId xmlns:a16="http://schemas.microsoft.com/office/drawing/2014/main" id="{DE305B2E-70C5-4C55-AE50-21FBD70632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3543300"/>
          <a:ext cx="247650" cy="13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340</xdr:row>
      <xdr:rowOff>9525</xdr:rowOff>
    </xdr:from>
    <xdr:to>
      <xdr:col>10</xdr:col>
      <xdr:colOff>0</xdr:colOff>
      <xdr:row>341</xdr:row>
      <xdr:rowOff>2844</xdr:rowOff>
    </xdr:to>
    <xdr:pic>
      <xdr:nvPicPr>
        <xdr:cNvPr id="174" name="Picture 40" descr="UK2.jpg">
          <a:extLst>
            <a:ext uri="{FF2B5EF4-FFF2-40B4-BE49-F238E27FC236}">
              <a16:creationId xmlns:a16="http://schemas.microsoft.com/office/drawing/2014/main" id="{B12F605D-68AE-485D-AE1E-718570ACE7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1395650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288471</xdr:colOff>
      <xdr:row>342</xdr:row>
      <xdr:rowOff>4083</xdr:rowOff>
    </xdr:from>
    <xdr:to>
      <xdr:col>10</xdr:col>
      <xdr:colOff>0</xdr:colOff>
      <xdr:row>343</xdr:row>
      <xdr:rowOff>1</xdr:rowOff>
    </xdr:to>
    <xdr:pic>
      <xdr:nvPicPr>
        <xdr:cNvPr id="175" name="Picture 40" descr="UK2.jpg">
          <a:extLst>
            <a:ext uri="{FF2B5EF4-FFF2-40B4-BE49-F238E27FC236}">
              <a16:creationId xmlns:a16="http://schemas.microsoft.com/office/drawing/2014/main" id="{8AD33A4D-4A4A-4A57-BA4A-AF7E5F3CA2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671" y="31545440"/>
          <a:ext cx="250372" cy="148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288471</xdr:colOff>
      <xdr:row>345</xdr:row>
      <xdr:rowOff>4082</xdr:rowOff>
    </xdr:from>
    <xdr:to>
      <xdr:col>10</xdr:col>
      <xdr:colOff>0</xdr:colOff>
      <xdr:row>345</xdr:row>
      <xdr:rowOff>149801</xdr:rowOff>
    </xdr:to>
    <xdr:pic>
      <xdr:nvPicPr>
        <xdr:cNvPr id="176" name="Picture 40" descr="UK2.jpg">
          <a:extLst>
            <a:ext uri="{FF2B5EF4-FFF2-40B4-BE49-F238E27FC236}">
              <a16:creationId xmlns:a16="http://schemas.microsoft.com/office/drawing/2014/main" id="{6248572E-F465-4A07-98E0-9FC9F47860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671" y="32002639"/>
          <a:ext cx="250372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5953</xdr:colOff>
      <xdr:row>468</xdr:row>
      <xdr:rowOff>7327</xdr:rowOff>
    </xdr:from>
    <xdr:to>
      <xdr:col>10</xdr:col>
      <xdr:colOff>5953</xdr:colOff>
      <xdr:row>469</xdr:row>
      <xdr:rowOff>0</xdr:rowOff>
    </xdr:to>
    <xdr:pic>
      <xdr:nvPicPr>
        <xdr:cNvPr id="177" name="Picture 40" descr="UK2.jpg">
          <a:extLst>
            <a:ext uri="{FF2B5EF4-FFF2-40B4-BE49-F238E27FC236}">
              <a16:creationId xmlns:a16="http://schemas.microsoft.com/office/drawing/2014/main" id="{B58BB944-30F4-4D0F-9202-1DE8AE8AC4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7" y="23260233"/>
          <a:ext cx="250032" cy="13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285750</xdr:colOff>
      <xdr:row>488</xdr:row>
      <xdr:rowOff>3572</xdr:rowOff>
    </xdr:from>
    <xdr:to>
      <xdr:col>10</xdr:col>
      <xdr:colOff>0</xdr:colOff>
      <xdr:row>489</xdr:row>
      <xdr:rowOff>0</xdr:rowOff>
    </xdr:to>
    <xdr:pic>
      <xdr:nvPicPr>
        <xdr:cNvPr id="178" name="Picture 40" descr="UK2.jpg">
          <a:extLst>
            <a:ext uri="{FF2B5EF4-FFF2-40B4-BE49-F238E27FC236}">
              <a16:creationId xmlns:a16="http://schemas.microsoft.com/office/drawing/2014/main" id="{5DFD7516-2944-4E0B-9D45-F7D127B34C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734" y="25113853"/>
          <a:ext cx="250032" cy="13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491</xdr:row>
      <xdr:rowOff>11906</xdr:rowOff>
    </xdr:from>
    <xdr:to>
      <xdr:col>10</xdr:col>
      <xdr:colOff>0</xdr:colOff>
      <xdr:row>491</xdr:row>
      <xdr:rowOff>136922</xdr:rowOff>
    </xdr:to>
    <xdr:pic>
      <xdr:nvPicPr>
        <xdr:cNvPr id="179" name="Picture 40" descr="UK2.jpg">
          <a:extLst>
            <a:ext uri="{FF2B5EF4-FFF2-40B4-BE49-F238E27FC236}">
              <a16:creationId xmlns:a16="http://schemas.microsoft.com/office/drawing/2014/main" id="{B6116941-879C-4E25-B1F3-9FAB6E2267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7473672"/>
          <a:ext cx="250031" cy="125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504</xdr:row>
      <xdr:rowOff>7327</xdr:rowOff>
    </xdr:from>
    <xdr:to>
      <xdr:col>10</xdr:col>
      <xdr:colOff>0</xdr:colOff>
      <xdr:row>505</xdr:row>
      <xdr:rowOff>0</xdr:rowOff>
    </xdr:to>
    <xdr:pic>
      <xdr:nvPicPr>
        <xdr:cNvPr id="180" name="Picture 40" descr="UK2.jpg">
          <a:extLst>
            <a:ext uri="{FF2B5EF4-FFF2-40B4-BE49-F238E27FC236}">
              <a16:creationId xmlns:a16="http://schemas.microsoft.com/office/drawing/2014/main" id="{4586C960-59A4-416E-9C04-724DAA173C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865" y="22017404"/>
          <a:ext cx="249116" cy="139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285750</xdr:colOff>
      <xdr:row>507</xdr:row>
      <xdr:rowOff>3572</xdr:rowOff>
    </xdr:from>
    <xdr:to>
      <xdr:col>10</xdr:col>
      <xdr:colOff>0</xdr:colOff>
      <xdr:row>508</xdr:row>
      <xdr:rowOff>0</xdr:rowOff>
    </xdr:to>
    <xdr:pic>
      <xdr:nvPicPr>
        <xdr:cNvPr id="181" name="Picture 40" descr="UK2.jpg">
          <a:extLst>
            <a:ext uri="{FF2B5EF4-FFF2-40B4-BE49-F238E27FC236}">
              <a16:creationId xmlns:a16="http://schemas.microsoft.com/office/drawing/2014/main" id="{18D86146-672A-4DE1-A5A0-9230158B98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734" y="26971228"/>
          <a:ext cx="250032" cy="13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285750</xdr:colOff>
      <xdr:row>503</xdr:row>
      <xdr:rowOff>5954</xdr:rowOff>
    </xdr:from>
    <xdr:to>
      <xdr:col>10</xdr:col>
      <xdr:colOff>0</xdr:colOff>
      <xdr:row>504</xdr:row>
      <xdr:rowOff>1</xdr:rowOff>
    </xdr:to>
    <xdr:pic>
      <xdr:nvPicPr>
        <xdr:cNvPr id="183" name="Picture 40" descr="UK2.jpg">
          <a:extLst>
            <a:ext uri="{FF2B5EF4-FFF2-40B4-BE49-F238E27FC236}">
              <a16:creationId xmlns:a16="http://schemas.microsoft.com/office/drawing/2014/main" id="{F2965511-225E-4708-9A95-62643928BC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734" y="26402110"/>
          <a:ext cx="250032" cy="136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5953</xdr:colOff>
      <xdr:row>525</xdr:row>
      <xdr:rowOff>3572</xdr:rowOff>
    </xdr:from>
    <xdr:to>
      <xdr:col>10</xdr:col>
      <xdr:colOff>5953</xdr:colOff>
      <xdr:row>526</xdr:row>
      <xdr:rowOff>0</xdr:rowOff>
    </xdr:to>
    <xdr:pic>
      <xdr:nvPicPr>
        <xdr:cNvPr id="184" name="Picture 40" descr="UK2.jpg">
          <a:extLst>
            <a:ext uri="{FF2B5EF4-FFF2-40B4-BE49-F238E27FC236}">
              <a16:creationId xmlns:a16="http://schemas.microsoft.com/office/drawing/2014/main" id="{926D18E6-D4B1-4318-B39C-E1F34F860A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7" y="29542978"/>
          <a:ext cx="250032" cy="139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538</xdr:row>
      <xdr:rowOff>16095</xdr:rowOff>
    </xdr:from>
    <xdr:to>
      <xdr:col>10</xdr:col>
      <xdr:colOff>0</xdr:colOff>
      <xdr:row>538</xdr:row>
      <xdr:rowOff>124811</xdr:rowOff>
    </xdr:to>
    <xdr:pic>
      <xdr:nvPicPr>
        <xdr:cNvPr id="185" name="Picture 40" descr="UK2.jpg">
          <a:extLst>
            <a:ext uri="{FF2B5EF4-FFF2-40B4-BE49-F238E27FC236}">
              <a16:creationId xmlns:a16="http://schemas.microsoft.com/office/drawing/2014/main" id="{3854D615-0FF5-4D18-AEF9-F65AFB9171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1276" y="76235802"/>
          <a:ext cx="249621" cy="10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824</xdr:row>
      <xdr:rowOff>12232</xdr:rowOff>
    </xdr:from>
    <xdr:to>
      <xdr:col>9</xdr:col>
      <xdr:colOff>246784</xdr:colOff>
      <xdr:row>824</xdr:row>
      <xdr:rowOff>138546</xdr:rowOff>
    </xdr:to>
    <xdr:pic>
      <xdr:nvPicPr>
        <xdr:cNvPr id="186" name="Picture 40" descr="UK2.jpg">
          <a:extLst>
            <a:ext uri="{FF2B5EF4-FFF2-40B4-BE49-F238E27FC236}">
              <a16:creationId xmlns:a16="http://schemas.microsoft.com/office/drawing/2014/main" id="{036068BB-2C40-4D61-A69E-F19BC9D39B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44952914"/>
          <a:ext cx="246784" cy="126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124238</xdr:colOff>
      <xdr:row>0</xdr:row>
      <xdr:rowOff>187660</xdr:rowOff>
    </xdr:from>
    <xdr:to>
      <xdr:col>14</xdr:col>
      <xdr:colOff>317339</xdr:colOff>
      <xdr:row>3</xdr:row>
      <xdr:rowOff>231203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B009090-2716-455E-B696-0254FDE3E47C}"/>
            </a:ext>
          </a:extLst>
        </xdr:cNvPr>
        <xdr:cNvSpPr/>
      </xdr:nvSpPr>
      <xdr:spPr>
        <a:xfrm>
          <a:off x="5599042" y="187660"/>
          <a:ext cx="839145" cy="59847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11</xdr:col>
      <xdr:colOff>102577</xdr:colOff>
      <xdr:row>1</xdr:row>
      <xdr:rowOff>85529</xdr:rowOff>
    </xdr:from>
    <xdr:to>
      <xdr:col>14</xdr:col>
      <xdr:colOff>304811</xdr:colOff>
      <xdr:row>3</xdr:row>
      <xdr:rowOff>197069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66F5AD-F1DA-4C14-84D1-9ED7C87FF9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12" t="15244" r="43399" b="38522"/>
        <a:stretch/>
      </xdr:blipFill>
      <xdr:spPr>
        <a:xfrm>
          <a:off x="5712474" y="276029"/>
          <a:ext cx="714613" cy="472833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114</xdr:row>
      <xdr:rowOff>7327</xdr:rowOff>
    </xdr:from>
    <xdr:to>
      <xdr:col>10</xdr:col>
      <xdr:colOff>0</xdr:colOff>
      <xdr:row>115</xdr:row>
      <xdr:rowOff>0</xdr:rowOff>
    </xdr:to>
    <xdr:pic>
      <xdr:nvPicPr>
        <xdr:cNvPr id="161" name="Picture 40" descr="UK2.jpg">
          <a:extLst>
            <a:ext uri="{FF2B5EF4-FFF2-40B4-BE49-F238E27FC236}">
              <a16:creationId xmlns:a16="http://schemas.microsoft.com/office/drawing/2014/main" id="{CCA0B730-BCE8-40BC-ABF9-5A6B204DCA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865" y="6279173"/>
          <a:ext cx="249116" cy="16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349</xdr:row>
      <xdr:rowOff>7327</xdr:rowOff>
    </xdr:from>
    <xdr:to>
      <xdr:col>10</xdr:col>
      <xdr:colOff>0</xdr:colOff>
      <xdr:row>349</xdr:row>
      <xdr:rowOff>153046</xdr:rowOff>
    </xdr:to>
    <xdr:pic>
      <xdr:nvPicPr>
        <xdr:cNvPr id="159" name="Picture 40" descr="UK2.jpg">
          <a:extLst>
            <a:ext uri="{FF2B5EF4-FFF2-40B4-BE49-F238E27FC236}">
              <a16:creationId xmlns:a16="http://schemas.microsoft.com/office/drawing/2014/main" id="{24445D1A-F170-4C04-91F4-BEC3CB00DB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6618927"/>
          <a:ext cx="247650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</xdr:row>
      <xdr:rowOff>6569</xdr:rowOff>
    </xdr:from>
    <xdr:to>
      <xdr:col>10</xdr:col>
      <xdr:colOff>0</xdr:colOff>
      <xdr:row>59</xdr:row>
      <xdr:rowOff>149373</xdr:rowOff>
    </xdr:to>
    <xdr:pic>
      <xdr:nvPicPr>
        <xdr:cNvPr id="188" name="Picture 40" descr="UK2.jpg">
          <a:extLst>
            <a:ext uri="{FF2B5EF4-FFF2-40B4-BE49-F238E27FC236}">
              <a16:creationId xmlns:a16="http://schemas.microsoft.com/office/drawing/2014/main" id="{F9692704-C712-4E99-8A95-98352ED810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655" y="4092466"/>
          <a:ext cx="249621" cy="142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436</xdr:row>
      <xdr:rowOff>17318</xdr:rowOff>
    </xdr:from>
    <xdr:to>
      <xdr:col>9</xdr:col>
      <xdr:colOff>246784</xdr:colOff>
      <xdr:row>436</xdr:row>
      <xdr:rowOff>147204</xdr:rowOff>
    </xdr:to>
    <xdr:pic>
      <xdr:nvPicPr>
        <xdr:cNvPr id="189" name="Picture 40" descr="UK2.jpg">
          <a:extLst>
            <a:ext uri="{FF2B5EF4-FFF2-40B4-BE49-F238E27FC236}">
              <a16:creationId xmlns:a16="http://schemas.microsoft.com/office/drawing/2014/main" id="{502C6F46-D889-409F-B455-FE4382811C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5656992"/>
          <a:ext cx="246784" cy="129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437</xdr:row>
      <xdr:rowOff>18004</xdr:rowOff>
    </xdr:from>
    <xdr:to>
      <xdr:col>9</xdr:col>
      <xdr:colOff>246784</xdr:colOff>
      <xdr:row>437</xdr:row>
      <xdr:rowOff>134218</xdr:rowOff>
    </xdr:to>
    <xdr:pic>
      <xdr:nvPicPr>
        <xdr:cNvPr id="190" name="Picture 40" descr="UK2.jpg">
          <a:extLst>
            <a:ext uri="{FF2B5EF4-FFF2-40B4-BE49-F238E27FC236}">
              <a16:creationId xmlns:a16="http://schemas.microsoft.com/office/drawing/2014/main" id="{A3B64C3A-E852-4770-9DB5-C013FA8AEC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5806765"/>
          <a:ext cx="246784" cy="11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335</xdr:row>
      <xdr:rowOff>5954</xdr:rowOff>
    </xdr:from>
    <xdr:to>
      <xdr:col>9</xdr:col>
      <xdr:colOff>246784</xdr:colOff>
      <xdr:row>335</xdr:row>
      <xdr:rowOff>142875</xdr:rowOff>
    </xdr:to>
    <xdr:pic>
      <xdr:nvPicPr>
        <xdr:cNvPr id="195" name="Picture 40" descr="UK2.jpg">
          <a:extLst>
            <a:ext uri="{FF2B5EF4-FFF2-40B4-BE49-F238E27FC236}">
              <a16:creationId xmlns:a16="http://schemas.microsoft.com/office/drawing/2014/main" id="{C45EA460-EDB1-428B-B503-A0C01AD347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17272181"/>
          <a:ext cx="246784" cy="13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5953</xdr:colOff>
      <xdr:row>469</xdr:row>
      <xdr:rowOff>5953</xdr:rowOff>
    </xdr:from>
    <xdr:to>
      <xdr:col>10</xdr:col>
      <xdr:colOff>5953</xdr:colOff>
      <xdr:row>469</xdr:row>
      <xdr:rowOff>141501</xdr:rowOff>
    </xdr:to>
    <xdr:pic>
      <xdr:nvPicPr>
        <xdr:cNvPr id="196" name="Picture 40" descr="UK2.jpg">
          <a:extLst>
            <a:ext uri="{FF2B5EF4-FFF2-40B4-BE49-F238E27FC236}">
              <a16:creationId xmlns:a16="http://schemas.microsoft.com/office/drawing/2014/main" id="{81866A7C-E5D2-4E51-AE15-4AEF8951C3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7" y="23401734"/>
          <a:ext cx="250032" cy="13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517</xdr:row>
      <xdr:rowOff>17317</xdr:rowOff>
    </xdr:from>
    <xdr:to>
      <xdr:col>9</xdr:col>
      <xdr:colOff>246784</xdr:colOff>
      <xdr:row>517</xdr:row>
      <xdr:rowOff>138545</xdr:rowOff>
    </xdr:to>
    <xdr:pic>
      <xdr:nvPicPr>
        <xdr:cNvPr id="197" name="Picture 40" descr="UK2.jpg">
          <a:extLst>
            <a:ext uri="{FF2B5EF4-FFF2-40B4-BE49-F238E27FC236}">
              <a16:creationId xmlns:a16="http://schemas.microsoft.com/office/drawing/2014/main" id="{1BDBE4D3-AE60-4474-A1A5-1AD9A860AC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24223806"/>
          <a:ext cx="246784" cy="121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288471</xdr:colOff>
      <xdr:row>338</xdr:row>
      <xdr:rowOff>5443</xdr:rowOff>
    </xdr:from>
    <xdr:to>
      <xdr:col>10</xdr:col>
      <xdr:colOff>0</xdr:colOff>
      <xdr:row>339</xdr:row>
      <xdr:rowOff>2075</xdr:rowOff>
    </xdr:to>
    <xdr:pic>
      <xdr:nvPicPr>
        <xdr:cNvPr id="200" name="Picture 40" descr="UK2.jpg">
          <a:extLst>
            <a:ext uri="{FF2B5EF4-FFF2-40B4-BE49-F238E27FC236}">
              <a16:creationId xmlns:a16="http://schemas.microsoft.com/office/drawing/2014/main" id="{FF0B4EAC-F4DB-4D03-8EC4-2A871A8036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949" y="17531443"/>
          <a:ext cx="249899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2721</xdr:colOff>
      <xdr:row>343</xdr:row>
      <xdr:rowOff>12988</xdr:rowOff>
    </xdr:from>
    <xdr:to>
      <xdr:col>9</xdr:col>
      <xdr:colOff>246784</xdr:colOff>
      <xdr:row>343</xdr:row>
      <xdr:rowOff>148565</xdr:rowOff>
    </xdr:to>
    <xdr:pic>
      <xdr:nvPicPr>
        <xdr:cNvPr id="201" name="Picture 40" descr="UK2.jpg">
          <a:extLst>
            <a:ext uri="{FF2B5EF4-FFF2-40B4-BE49-F238E27FC236}">
              <a16:creationId xmlns:a16="http://schemas.microsoft.com/office/drawing/2014/main" id="{3E069F57-58C9-447E-B010-EC237E3BAF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5914" y="18036886"/>
          <a:ext cx="244063" cy="13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2721</xdr:colOff>
      <xdr:row>344</xdr:row>
      <xdr:rowOff>17318</xdr:rowOff>
    </xdr:from>
    <xdr:to>
      <xdr:col>9</xdr:col>
      <xdr:colOff>246784</xdr:colOff>
      <xdr:row>344</xdr:row>
      <xdr:rowOff>147204</xdr:rowOff>
    </xdr:to>
    <xdr:pic>
      <xdr:nvPicPr>
        <xdr:cNvPr id="208" name="Picture 40" descr="UK2.jpg">
          <a:extLst>
            <a:ext uri="{FF2B5EF4-FFF2-40B4-BE49-F238E27FC236}">
              <a16:creationId xmlns:a16="http://schemas.microsoft.com/office/drawing/2014/main" id="{906B92FD-D7F1-4844-B142-DED963F824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5914" y="18192750"/>
          <a:ext cx="244063" cy="129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175</xdr:row>
      <xdr:rowOff>7328</xdr:rowOff>
    </xdr:from>
    <xdr:to>
      <xdr:col>9</xdr:col>
      <xdr:colOff>245644</xdr:colOff>
      <xdr:row>175</xdr:row>
      <xdr:rowOff>135356</xdr:rowOff>
    </xdr:to>
    <xdr:pic>
      <xdr:nvPicPr>
        <xdr:cNvPr id="212" name="Picture 40" descr="UK2.jpg">
          <a:extLst>
            <a:ext uri="{FF2B5EF4-FFF2-40B4-BE49-F238E27FC236}">
              <a16:creationId xmlns:a16="http://schemas.microsoft.com/office/drawing/2014/main" id="{4FFFFA9E-1F7F-49E5-BFC4-CB276C6915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724" y="10454749"/>
          <a:ext cx="245644" cy="128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181</xdr:row>
      <xdr:rowOff>7327</xdr:rowOff>
    </xdr:from>
    <xdr:to>
      <xdr:col>10</xdr:col>
      <xdr:colOff>0</xdr:colOff>
      <xdr:row>182</xdr:row>
      <xdr:rowOff>0</xdr:rowOff>
    </xdr:to>
    <xdr:pic>
      <xdr:nvPicPr>
        <xdr:cNvPr id="213" name="Picture 40" descr="UK2.jpg">
          <a:extLst>
            <a:ext uri="{FF2B5EF4-FFF2-40B4-BE49-F238E27FC236}">
              <a16:creationId xmlns:a16="http://schemas.microsoft.com/office/drawing/2014/main" id="{1CA1A26F-DB38-4695-A898-362B9B6505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14452197"/>
          <a:ext cx="248478" cy="14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182</xdr:row>
      <xdr:rowOff>7327</xdr:rowOff>
    </xdr:from>
    <xdr:to>
      <xdr:col>10</xdr:col>
      <xdr:colOff>0</xdr:colOff>
      <xdr:row>182</xdr:row>
      <xdr:rowOff>149086</xdr:rowOff>
    </xdr:to>
    <xdr:pic>
      <xdr:nvPicPr>
        <xdr:cNvPr id="214" name="Picture 40" descr="UK2.jpg">
          <a:extLst>
            <a:ext uri="{FF2B5EF4-FFF2-40B4-BE49-F238E27FC236}">
              <a16:creationId xmlns:a16="http://schemas.microsoft.com/office/drawing/2014/main" id="{0B9D56E6-F0FC-4849-895C-149F793842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70" y="14601284"/>
          <a:ext cx="248478" cy="14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594</xdr:row>
      <xdr:rowOff>14654</xdr:rowOff>
    </xdr:from>
    <xdr:to>
      <xdr:col>10</xdr:col>
      <xdr:colOff>0</xdr:colOff>
      <xdr:row>594</xdr:row>
      <xdr:rowOff>131885</xdr:rowOff>
    </xdr:to>
    <xdr:pic>
      <xdr:nvPicPr>
        <xdr:cNvPr id="217" name="Picture 40" descr="UK2.jpg">
          <a:extLst>
            <a:ext uri="{FF2B5EF4-FFF2-40B4-BE49-F238E27FC236}">
              <a16:creationId xmlns:a16="http://schemas.microsoft.com/office/drawing/2014/main" id="{B92FED96-76EB-49C6-B75C-9DA734231F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096" y="32875904"/>
          <a:ext cx="249116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597</xdr:row>
      <xdr:rowOff>15988</xdr:rowOff>
    </xdr:from>
    <xdr:to>
      <xdr:col>9</xdr:col>
      <xdr:colOff>246784</xdr:colOff>
      <xdr:row>597</xdr:row>
      <xdr:rowOff>131885</xdr:rowOff>
    </xdr:to>
    <xdr:pic>
      <xdr:nvPicPr>
        <xdr:cNvPr id="218" name="Picture 40" descr="UK2.jpg">
          <a:extLst>
            <a:ext uri="{FF2B5EF4-FFF2-40B4-BE49-F238E27FC236}">
              <a16:creationId xmlns:a16="http://schemas.microsoft.com/office/drawing/2014/main" id="{EBEC111B-DFAA-4C5B-AA22-526BF33816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096" y="33023776"/>
          <a:ext cx="246784" cy="11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30378</xdr:colOff>
      <xdr:row>782</xdr:row>
      <xdr:rowOff>18586</xdr:rowOff>
    </xdr:from>
    <xdr:to>
      <xdr:col>8</xdr:col>
      <xdr:colOff>162620</xdr:colOff>
      <xdr:row>782</xdr:row>
      <xdr:rowOff>134235</xdr:rowOff>
    </xdr:to>
    <xdr:sp macro="" textlink="">
      <xdr:nvSpPr>
        <xdr:cNvPr id="162" name="5-Point Star 23">
          <a:extLst>
            <a:ext uri="{FF2B5EF4-FFF2-40B4-BE49-F238E27FC236}">
              <a16:creationId xmlns:a16="http://schemas.microsoft.com/office/drawing/2014/main" id="{47FDD2EF-3310-4146-8F4B-585646226955}"/>
            </a:ext>
          </a:extLst>
        </xdr:cNvPr>
        <xdr:cNvSpPr/>
      </xdr:nvSpPr>
      <xdr:spPr bwMode="auto">
        <a:xfrm>
          <a:off x="4853280" y="40409232"/>
          <a:ext cx="132242" cy="115649"/>
        </a:xfrm>
        <a:prstGeom prst="star5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GB"/>
        </a:p>
      </xdr:txBody>
    </xdr:sp>
    <xdr:clientData/>
  </xdr:twoCellAnchor>
  <xdr:twoCellAnchor>
    <xdr:from>
      <xdr:col>8</xdr:col>
      <xdr:colOff>173487</xdr:colOff>
      <xdr:row>782</xdr:row>
      <xdr:rowOff>17657</xdr:rowOff>
    </xdr:from>
    <xdr:to>
      <xdr:col>9</xdr:col>
      <xdr:colOff>17655</xdr:colOff>
      <xdr:row>782</xdr:row>
      <xdr:rowOff>133306</xdr:rowOff>
    </xdr:to>
    <xdr:sp macro="" textlink="">
      <xdr:nvSpPr>
        <xdr:cNvPr id="168" name="5-Point Star 23">
          <a:extLst>
            <a:ext uri="{FF2B5EF4-FFF2-40B4-BE49-F238E27FC236}">
              <a16:creationId xmlns:a16="http://schemas.microsoft.com/office/drawing/2014/main" id="{82F725C6-79D6-4E1E-840C-C0768810D9F2}"/>
            </a:ext>
          </a:extLst>
        </xdr:cNvPr>
        <xdr:cNvSpPr/>
      </xdr:nvSpPr>
      <xdr:spPr bwMode="auto">
        <a:xfrm>
          <a:off x="4996389" y="40408303"/>
          <a:ext cx="132242" cy="115649"/>
        </a:xfrm>
        <a:prstGeom prst="star5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GB"/>
        </a:p>
      </xdr:txBody>
    </xdr:sp>
    <xdr:clientData/>
  </xdr:twoCellAnchor>
  <xdr:twoCellAnchor>
    <xdr:from>
      <xdr:col>8</xdr:col>
      <xdr:colOff>27876</xdr:colOff>
      <xdr:row>783</xdr:row>
      <xdr:rowOff>19513</xdr:rowOff>
    </xdr:from>
    <xdr:to>
      <xdr:col>8</xdr:col>
      <xdr:colOff>160118</xdr:colOff>
      <xdr:row>783</xdr:row>
      <xdr:rowOff>135162</xdr:rowOff>
    </xdr:to>
    <xdr:sp macro="" textlink="">
      <xdr:nvSpPr>
        <xdr:cNvPr id="169" name="5-Point Star 23">
          <a:extLst>
            <a:ext uri="{FF2B5EF4-FFF2-40B4-BE49-F238E27FC236}">
              <a16:creationId xmlns:a16="http://schemas.microsoft.com/office/drawing/2014/main" id="{9382D993-6C47-4A4A-B2A8-B33A73510069}"/>
            </a:ext>
          </a:extLst>
        </xdr:cNvPr>
        <xdr:cNvSpPr/>
      </xdr:nvSpPr>
      <xdr:spPr bwMode="auto">
        <a:xfrm>
          <a:off x="4850778" y="40563489"/>
          <a:ext cx="132242" cy="115649"/>
        </a:xfrm>
        <a:prstGeom prst="star5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GB"/>
        </a:p>
      </xdr:txBody>
    </xdr:sp>
    <xdr:clientData/>
  </xdr:twoCellAnchor>
  <xdr:twoCellAnchor>
    <xdr:from>
      <xdr:col>8</xdr:col>
      <xdr:colOff>170985</xdr:colOff>
      <xdr:row>783</xdr:row>
      <xdr:rowOff>18584</xdr:rowOff>
    </xdr:from>
    <xdr:to>
      <xdr:col>9</xdr:col>
      <xdr:colOff>15153</xdr:colOff>
      <xdr:row>783</xdr:row>
      <xdr:rowOff>134233</xdr:rowOff>
    </xdr:to>
    <xdr:sp macro="" textlink="">
      <xdr:nvSpPr>
        <xdr:cNvPr id="171" name="5-Point Star 23">
          <a:extLst>
            <a:ext uri="{FF2B5EF4-FFF2-40B4-BE49-F238E27FC236}">
              <a16:creationId xmlns:a16="http://schemas.microsoft.com/office/drawing/2014/main" id="{811F214E-2892-4AC9-966C-17C199F38985}"/>
            </a:ext>
          </a:extLst>
        </xdr:cNvPr>
        <xdr:cNvSpPr/>
      </xdr:nvSpPr>
      <xdr:spPr bwMode="auto">
        <a:xfrm>
          <a:off x="4993887" y="40562560"/>
          <a:ext cx="132242" cy="115649"/>
        </a:xfrm>
        <a:prstGeom prst="star5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GB"/>
        </a:p>
      </xdr:txBody>
    </xdr:sp>
    <xdr:clientData/>
  </xdr:twoCellAnchor>
  <xdr:twoCellAnchor>
    <xdr:from>
      <xdr:col>9</xdr:col>
      <xdr:colOff>0</xdr:colOff>
      <xdr:row>51</xdr:row>
      <xdr:rowOff>10284</xdr:rowOff>
    </xdr:from>
    <xdr:to>
      <xdr:col>9</xdr:col>
      <xdr:colOff>246784</xdr:colOff>
      <xdr:row>51</xdr:row>
      <xdr:rowOff>142876</xdr:rowOff>
    </xdr:to>
    <xdr:pic>
      <xdr:nvPicPr>
        <xdr:cNvPr id="173" name="Picture 40" descr="UK2.jpg">
          <a:extLst>
            <a:ext uri="{FF2B5EF4-FFF2-40B4-BE49-F238E27FC236}">
              <a16:creationId xmlns:a16="http://schemas.microsoft.com/office/drawing/2014/main" id="{824A8837-4A30-454F-9111-BA3E4C8742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3413307"/>
          <a:ext cx="246784" cy="132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207</xdr:row>
      <xdr:rowOff>17317</xdr:rowOff>
    </xdr:from>
    <xdr:to>
      <xdr:col>9</xdr:col>
      <xdr:colOff>246784</xdr:colOff>
      <xdr:row>207</xdr:row>
      <xdr:rowOff>142874</xdr:rowOff>
    </xdr:to>
    <xdr:pic>
      <xdr:nvPicPr>
        <xdr:cNvPr id="182" name="Picture 40" descr="UK2.jpg">
          <a:extLst>
            <a:ext uri="{FF2B5EF4-FFF2-40B4-BE49-F238E27FC236}">
              <a16:creationId xmlns:a16="http://schemas.microsoft.com/office/drawing/2014/main" id="{88686647-F110-49EC-9171-8E74806DFC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12676908"/>
          <a:ext cx="246784" cy="12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552</xdr:row>
      <xdr:rowOff>12304</xdr:rowOff>
    </xdr:from>
    <xdr:to>
      <xdr:col>10</xdr:col>
      <xdr:colOff>1139</xdr:colOff>
      <xdr:row>552</xdr:row>
      <xdr:rowOff>142191</xdr:rowOff>
    </xdr:to>
    <xdr:pic>
      <xdr:nvPicPr>
        <xdr:cNvPr id="187" name="Picture 40" descr="UK2.jpg">
          <a:extLst>
            <a:ext uri="{FF2B5EF4-FFF2-40B4-BE49-F238E27FC236}">
              <a16:creationId xmlns:a16="http://schemas.microsoft.com/office/drawing/2014/main" id="{0844B0DB-A94E-4616-BD6E-BF8AB1D800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810" y="30039045"/>
          <a:ext cx="250760" cy="12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593</xdr:row>
      <xdr:rowOff>17610</xdr:rowOff>
    </xdr:from>
    <xdr:to>
      <xdr:col>9</xdr:col>
      <xdr:colOff>246784</xdr:colOff>
      <xdr:row>593</xdr:row>
      <xdr:rowOff>141544</xdr:rowOff>
    </xdr:to>
    <xdr:pic>
      <xdr:nvPicPr>
        <xdr:cNvPr id="193" name="Picture 40" descr="UK2.jpg">
          <a:extLst>
            <a:ext uri="{FF2B5EF4-FFF2-40B4-BE49-F238E27FC236}">
              <a16:creationId xmlns:a16="http://schemas.microsoft.com/office/drawing/2014/main" id="{C1FE54E7-8143-41F1-800F-4B56D0E62B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096" y="32732322"/>
          <a:ext cx="246784" cy="12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595</xdr:row>
      <xdr:rowOff>14613</xdr:rowOff>
    </xdr:from>
    <xdr:to>
      <xdr:col>9</xdr:col>
      <xdr:colOff>246784</xdr:colOff>
      <xdr:row>595</xdr:row>
      <xdr:rowOff>138547</xdr:rowOff>
    </xdr:to>
    <xdr:pic>
      <xdr:nvPicPr>
        <xdr:cNvPr id="199" name="Picture 40" descr="UK2.jpg">
          <a:extLst>
            <a:ext uri="{FF2B5EF4-FFF2-40B4-BE49-F238E27FC236}">
              <a16:creationId xmlns:a16="http://schemas.microsoft.com/office/drawing/2014/main" id="{343DBAEA-DD8F-446F-ACF4-1382685518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30139590"/>
          <a:ext cx="246784" cy="12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596</xdr:row>
      <xdr:rowOff>5953</xdr:rowOff>
    </xdr:from>
    <xdr:to>
      <xdr:col>9</xdr:col>
      <xdr:colOff>246784</xdr:colOff>
      <xdr:row>596</xdr:row>
      <xdr:rowOff>134216</xdr:rowOff>
    </xdr:to>
    <xdr:pic>
      <xdr:nvPicPr>
        <xdr:cNvPr id="209" name="Picture 40" descr="UK2.jpg">
          <a:extLst>
            <a:ext uri="{FF2B5EF4-FFF2-40B4-BE49-F238E27FC236}">
              <a16:creationId xmlns:a16="http://schemas.microsoft.com/office/drawing/2014/main" id="{5A31E306-8F02-4019-AE66-96455EC851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193" y="30273805"/>
          <a:ext cx="246784" cy="128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488156</xdr:colOff>
      <xdr:row>675</xdr:row>
      <xdr:rowOff>11906</xdr:rowOff>
    </xdr:from>
    <xdr:to>
      <xdr:col>6</xdr:col>
      <xdr:colOff>738187</xdr:colOff>
      <xdr:row>675</xdr:row>
      <xdr:rowOff>151413</xdr:rowOff>
    </xdr:to>
    <xdr:pic>
      <xdr:nvPicPr>
        <xdr:cNvPr id="210" name="Picture 40" descr="UK2.jpg">
          <a:extLst>
            <a:ext uri="{FF2B5EF4-FFF2-40B4-BE49-F238E27FC236}">
              <a16:creationId xmlns:a16="http://schemas.microsoft.com/office/drawing/2014/main" id="{E64C30F4-B664-40A2-B8B5-2DB3932EC0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8939390"/>
          <a:ext cx="250031" cy="139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13138</xdr:colOff>
      <xdr:row>609</xdr:row>
      <xdr:rowOff>10283</xdr:rowOff>
    </xdr:from>
    <xdr:to>
      <xdr:col>10</xdr:col>
      <xdr:colOff>10301</xdr:colOff>
      <xdr:row>609</xdr:row>
      <xdr:rowOff>134217</xdr:rowOff>
    </xdr:to>
    <xdr:pic>
      <xdr:nvPicPr>
        <xdr:cNvPr id="202" name="Picture 40" descr="UK2.jpg">
          <a:extLst>
            <a:ext uri="{FF2B5EF4-FFF2-40B4-BE49-F238E27FC236}">
              <a16:creationId xmlns:a16="http://schemas.microsoft.com/office/drawing/2014/main" id="{E6E90060-A7D9-40B3-847C-D07D2B7D6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948" y="33406904"/>
          <a:ext cx="246784" cy="12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13138</xdr:colOff>
      <xdr:row>18</xdr:row>
      <xdr:rowOff>0</xdr:rowOff>
    </xdr:from>
    <xdr:to>
      <xdr:col>9</xdr:col>
      <xdr:colOff>149938</xdr:colOff>
      <xdr:row>18</xdr:row>
      <xdr:rowOff>137948</xdr:rowOff>
    </xdr:to>
    <xdr:sp macro="" textlink="">
      <xdr:nvSpPr>
        <xdr:cNvPr id="224" name="Circle: Hollow 223">
          <a:extLst>
            <a:ext uri="{FF2B5EF4-FFF2-40B4-BE49-F238E27FC236}">
              <a16:creationId xmlns:a16="http://schemas.microsoft.com/office/drawing/2014/main" id="{58A6C585-7567-4D03-B18B-68A9476057E2}"/>
            </a:ext>
          </a:extLst>
        </xdr:cNvPr>
        <xdr:cNvSpPr/>
      </xdr:nvSpPr>
      <xdr:spPr>
        <a:xfrm>
          <a:off x="5137588" y="2914650"/>
          <a:ext cx="136800" cy="137948"/>
        </a:xfrm>
        <a:prstGeom prst="donu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86711</xdr:colOff>
      <xdr:row>18</xdr:row>
      <xdr:rowOff>0</xdr:rowOff>
    </xdr:from>
    <xdr:to>
      <xdr:col>12</xdr:col>
      <xdr:colOff>228600</xdr:colOff>
      <xdr:row>18</xdr:row>
      <xdr:rowOff>137948</xdr:rowOff>
    </xdr:to>
    <xdr:sp macro="" textlink="">
      <xdr:nvSpPr>
        <xdr:cNvPr id="225" name="Circle: Hollow 224">
          <a:extLst>
            <a:ext uri="{FF2B5EF4-FFF2-40B4-BE49-F238E27FC236}">
              <a16:creationId xmlns:a16="http://schemas.microsoft.com/office/drawing/2014/main" id="{93DB8201-DE6E-4633-8E8E-3AEC5EBC9ACE}"/>
            </a:ext>
          </a:extLst>
        </xdr:cNvPr>
        <xdr:cNvSpPr/>
      </xdr:nvSpPr>
      <xdr:spPr>
        <a:xfrm>
          <a:off x="5725511" y="2914650"/>
          <a:ext cx="141889" cy="137948"/>
        </a:xfrm>
        <a:prstGeom prst="donu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13138</xdr:colOff>
      <xdr:row>608</xdr:row>
      <xdr:rowOff>10283</xdr:rowOff>
    </xdr:from>
    <xdr:to>
      <xdr:col>10</xdr:col>
      <xdr:colOff>10301</xdr:colOff>
      <xdr:row>608</xdr:row>
      <xdr:rowOff>134217</xdr:rowOff>
    </xdr:to>
    <xdr:pic>
      <xdr:nvPicPr>
        <xdr:cNvPr id="170" name="Picture 40" descr="UK2.jpg">
          <a:extLst>
            <a:ext uri="{FF2B5EF4-FFF2-40B4-BE49-F238E27FC236}">
              <a16:creationId xmlns:a16="http://schemas.microsoft.com/office/drawing/2014/main" id="{2F8AA8C9-4222-46F0-944A-49CBC7A69A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0119" y="33948591"/>
          <a:ext cx="246278" cy="12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13138</xdr:colOff>
      <xdr:row>607</xdr:row>
      <xdr:rowOff>10283</xdr:rowOff>
    </xdr:from>
    <xdr:to>
      <xdr:col>10</xdr:col>
      <xdr:colOff>10301</xdr:colOff>
      <xdr:row>607</xdr:row>
      <xdr:rowOff>134217</xdr:rowOff>
    </xdr:to>
    <xdr:pic>
      <xdr:nvPicPr>
        <xdr:cNvPr id="191" name="Picture 40" descr="UK2.jpg">
          <a:extLst>
            <a:ext uri="{FF2B5EF4-FFF2-40B4-BE49-F238E27FC236}">
              <a16:creationId xmlns:a16="http://schemas.microsoft.com/office/drawing/2014/main" id="{25C6110B-5AD1-4990-8197-ADB06B7462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0119" y="33824033"/>
          <a:ext cx="246278" cy="11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13138</xdr:colOff>
      <xdr:row>605</xdr:row>
      <xdr:rowOff>10283</xdr:rowOff>
    </xdr:from>
    <xdr:to>
      <xdr:col>10</xdr:col>
      <xdr:colOff>10301</xdr:colOff>
      <xdr:row>605</xdr:row>
      <xdr:rowOff>134217</xdr:rowOff>
    </xdr:to>
    <xdr:pic>
      <xdr:nvPicPr>
        <xdr:cNvPr id="215" name="Picture 40" descr="UK2.jpg">
          <a:extLst>
            <a:ext uri="{FF2B5EF4-FFF2-40B4-BE49-F238E27FC236}">
              <a16:creationId xmlns:a16="http://schemas.microsoft.com/office/drawing/2014/main" id="{57F7920C-31EB-43AC-948D-0D310971B4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0119" y="33699475"/>
          <a:ext cx="246278" cy="11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6569</xdr:colOff>
      <xdr:row>604</xdr:row>
      <xdr:rowOff>10283</xdr:rowOff>
    </xdr:from>
    <xdr:to>
      <xdr:col>10</xdr:col>
      <xdr:colOff>3732</xdr:colOff>
      <xdr:row>604</xdr:row>
      <xdr:rowOff>124692</xdr:rowOff>
    </xdr:to>
    <xdr:pic>
      <xdr:nvPicPr>
        <xdr:cNvPr id="221" name="Picture 40" descr="UK2.jpg">
          <a:extLst>
            <a:ext uri="{FF2B5EF4-FFF2-40B4-BE49-F238E27FC236}">
              <a16:creationId xmlns:a16="http://schemas.microsoft.com/office/drawing/2014/main" id="{24868D9C-5D53-4FD3-9008-0C954E8470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5466" y="88757007"/>
          <a:ext cx="246783" cy="11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407</xdr:row>
      <xdr:rowOff>7327</xdr:rowOff>
    </xdr:from>
    <xdr:to>
      <xdr:col>10</xdr:col>
      <xdr:colOff>0</xdr:colOff>
      <xdr:row>408</xdr:row>
      <xdr:rowOff>2716</xdr:rowOff>
    </xdr:to>
    <xdr:pic>
      <xdr:nvPicPr>
        <xdr:cNvPr id="222" name="Picture 40" descr="UK2.jpg">
          <a:extLst>
            <a:ext uri="{FF2B5EF4-FFF2-40B4-BE49-F238E27FC236}">
              <a16:creationId xmlns:a16="http://schemas.microsoft.com/office/drawing/2014/main" id="{D439F7F4-39C2-48C6-A808-1145EC42CF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61406305"/>
          <a:ext cx="248478" cy="13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5013</xdr:colOff>
      <xdr:row>536</xdr:row>
      <xdr:rowOff>5953</xdr:rowOff>
    </xdr:from>
    <xdr:to>
      <xdr:col>10</xdr:col>
      <xdr:colOff>5013</xdr:colOff>
      <xdr:row>536</xdr:row>
      <xdr:rowOff>130342</xdr:rowOff>
    </xdr:to>
    <xdr:pic>
      <xdr:nvPicPr>
        <xdr:cNvPr id="223" name="Picture 40" descr="UK2.jpg">
          <a:extLst>
            <a:ext uri="{FF2B5EF4-FFF2-40B4-BE49-F238E27FC236}">
              <a16:creationId xmlns:a16="http://schemas.microsoft.com/office/drawing/2014/main" id="{FA31B479-16FE-41EA-B2E1-2DBF86C9AE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5732" y="74574797"/>
          <a:ext cx="250031" cy="124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283</xdr:row>
      <xdr:rowOff>11906</xdr:rowOff>
    </xdr:from>
    <xdr:to>
      <xdr:col>10</xdr:col>
      <xdr:colOff>0</xdr:colOff>
      <xdr:row>284</xdr:row>
      <xdr:rowOff>2844</xdr:rowOff>
    </xdr:to>
    <xdr:pic>
      <xdr:nvPicPr>
        <xdr:cNvPr id="220" name="Picture 40" descr="UK2.jpg">
          <a:extLst>
            <a:ext uri="{FF2B5EF4-FFF2-40B4-BE49-F238E27FC236}">
              <a16:creationId xmlns:a16="http://schemas.microsoft.com/office/drawing/2014/main" id="{73C00061-1DB8-4829-B8A6-A5751DA797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7686734"/>
          <a:ext cx="250031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320</xdr:row>
      <xdr:rowOff>11906</xdr:rowOff>
    </xdr:from>
    <xdr:to>
      <xdr:col>10</xdr:col>
      <xdr:colOff>0</xdr:colOff>
      <xdr:row>321</xdr:row>
      <xdr:rowOff>2844</xdr:rowOff>
    </xdr:to>
    <xdr:pic>
      <xdr:nvPicPr>
        <xdr:cNvPr id="228" name="Picture 40" descr="UK2.jpg">
          <a:extLst>
            <a:ext uri="{FF2B5EF4-FFF2-40B4-BE49-F238E27FC236}">
              <a16:creationId xmlns:a16="http://schemas.microsoft.com/office/drawing/2014/main" id="{398C2A10-FE69-4E51-9C54-4D21D7882C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9133344"/>
          <a:ext cx="250031" cy="1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543</xdr:row>
      <xdr:rowOff>13138</xdr:rowOff>
    </xdr:from>
    <xdr:to>
      <xdr:col>10</xdr:col>
      <xdr:colOff>0</xdr:colOff>
      <xdr:row>543</xdr:row>
      <xdr:rowOff>156886</xdr:rowOff>
    </xdr:to>
    <xdr:pic>
      <xdr:nvPicPr>
        <xdr:cNvPr id="229" name="Picture 40" descr="UK2.jpg">
          <a:extLst>
            <a:ext uri="{FF2B5EF4-FFF2-40B4-BE49-F238E27FC236}">
              <a16:creationId xmlns:a16="http://schemas.microsoft.com/office/drawing/2014/main" id="{2DC4C32A-878B-44E0-A443-E5B0D50B56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1276" y="76955431"/>
          <a:ext cx="249621" cy="14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12127</xdr:colOff>
      <xdr:row>793</xdr:row>
      <xdr:rowOff>26276</xdr:rowOff>
    </xdr:from>
    <xdr:to>
      <xdr:col>14</xdr:col>
      <xdr:colOff>29384</xdr:colOff>
      <xdr:row>793</xdr:row>
      <xdr:rowOff>144517</xdr:rowOff>
    </xdr:to>
    <xdr:pic>
      <xdr:nvPicPr>
        <xdr:cNvPr id="230" name="Picture 1">
          <a:extLst>
            <a:ext uri="{FF2B5EF4-FFF2-40B4-BE49-F238E27FC236}">
              <a16:creationId xmlns:a16="http://schemas.microsoft.com/office/drawing/2014/main" id="{1580C070-EC1A-4D74-A68D-6D13EDD1D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5866" y="41126651"/>
          <a:ext cx="129825" cy="118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142</xdr:row>
      <xdr:rowOff>7327</xdr:rowOff>
    </xdr:from>
    <xdr:to>
      <xdr:col>9</xdr:col>
      <xdr:colOff>246784</xdr:colOff>
      <xdr:row>142</xdr:row>
      <xdr:rowOff>145872</xdr:rowOff>
    </xdr:to>
    <xdr:pic>
      <xdr:nvPicPr>
        <xdr:cNvPr id="231" name="Picture 230" descr="UK2.jpg">
          <a:extLst>
            <a:ext uri="{FF2B5EF4-FFF2-40B4-BE49-F238E27FC236}">
              <a16:creationId xmlns:a16="http://schemas.microsoft.com/office/drawing/2014/main" id="{EAFD6152-507F-4EFF-906A-678D52DFED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096" y="21504519"/>
          <a:ext cx="246784" cy="13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272</xdr:row>
      <xdr:rowOff>14654</xdr:rowOff>
    </xdr:from>
    <xdr:to>
      <xdr:col>9</xdr:col>
      <xdr:colOff>246784</xdr:colOff>
      <xdr:row>272</xdr:row>
      <xdr:rowOff>153199</xdr:rowOff>
    </xdr:to>
    <xdr:pic>
      <xdr:nvPicPr>
        <xdr:cNvPr id="233" name="Picture 232" descr="UK2.jpg">
          <a:extLst>
            <a:ext uri="{FF2B5EF4-FFF2-40B4-BE49-F238E27FC236}">
              <a16:creationId xmlns:a16="http://schemas.microsoft.com/office/drawing/2014/main" id="{DB6484D7-105A-4363-87F0-61B92033F5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4096" y="39887769"/>
          <a:ext cx="246784" cy="13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6569</xdr:colOff>
      <xdr:row>606</xdr:row>
      <xdr:rowOff>10283</xdr:rowOff>
    </xdr:from>
    <xdr:to>
      <xdr:col>10</xdr:col>
      <xdr:colOff>3732</xdr:colOff>
      <xdr:row>606</xdr:row>
      <xdr:rowOff>124692</xdr:rowOff>
    </xdr:to>
    <xdr:pic>
      <xdr:nvPicPr>
        <xdr:cNvPr id="238" name="Picture 40" descr="UK2.jpg">
          <a:extLst>
            <a:ext uri="{FF2B5EF4-FFF2-40B4-BE49-F238E27FC236}">
              <a16:creationId xmlns:a16="http://schemas.microsoft.com/office/drawing/2014/main" id="{46F0DB14-A5F5-4D1C-A736-31417EA7BE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5466" y="88881817"/>
          <a:ext cx="246783" cy="11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174</xdr:row>
      <xdr:rowOff>10026</xdr:rowOff>
    </xdr:from>
    <xdr:to>
      <xdr:col>10</xdr:col>
      <xdr:colOff>0</xdr:colOff>
      <xdr:row>174</xdr:row>
      <xdr:rowOff>145381</xdr:rowOff>
    </xdr:to>
    <xdr:pic>
      <xdr:nvPicPr>
        <xdr:cNvPr id="244" name="Picture 40" descr="UK2.jpg">
          <a:extLst>
            <a:ext uri="{FF2B5EF4-FFF2-40B4-BE49-F238E27FC236}">
              <a16:creationId xmlns:a16="http://schemas.microsoft.com/office/drawing/2014/main" id="{6CD9B2D3-A4BA-4D9F-BA97-15738E2C5D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0329" y="16067171"/>
          <a:ext cx="245645" cy="13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7327</xdr:colOff>
      <xdr:row>587</xdr:row>
      <xdr:rowOff>6371</xdr:rowOff>
    </xdr:from>
    <xdr:to>
      <xdr:col>10</xdr:col>
      <xdr:colOff>7327</xdr:colOff>
      <xdr:row>587</xdr:row>
      <xdr:rowOff>134238</xdr:rowOff>
    </xdr:to>
    <xdr:pic>
      <xdr:nvPicPr>
        <xdr:cNvPr id="226" name="Picture 40" descr="UK2.jpg">
          <a:extLst>
            <a:ext uri="{FF2B5EF4-FFF2-40B4-BE49-F238E27FC236}">
              <a16:creationId xmlns:a16="http://schemas.microsoft.com/office/drawing/2014/main" id="{5CADC379-0CD5-4221-B7F6-1BF36A1014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4957" y="85101893"/>
          <a:ext cx="248479" cy="12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7327</xdr:colOff>
      <xdr:row>591</xdr:row>
      <xdr:rowOff>14654</xdr:rowOff>
    </xdr:from>
    <xdr:to>
      <xdr:col>10</xdr:col>
      <xdr:colOff>7327</xdr:colOff>
      <xdr:row>591</xdr:row>
      <xdr:rowOff>142521</xdr:rowOff>
    </xdr:to>
    <xdr:pic>
      <xdr:nvPicPr>
        <xdr:cNvPr id="234" name="Picture 40" descr="UK2.jpg">
          <a:extLst>
            <a:ext uri="{FF2B5EF4-FFF2-40B4-BE49-F238E27FC236}">
              <a16:creationId xmlns:a16="http://schemas.microsoft.com/office/drawing/2014/main" id="{3A38CE81-6C47-40B0-BD51-BD6E418339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1423" y="32480250"/>
          <a:ext cx="249116" cy="12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7327</xdr:colOff>
      <xdr:row>582</xdr:row>
      <xdr:rowOff>14654</xdr:rowOff>
    </xdr:from>
    <xdr:to>
      <xdr:col>10</xdr:col>
      <xdr:colOff>7327</xdr:colOff>
      <xdr:row>582</xdr:row>
      <xdr:rowOff>142521</xdr:rowOff>
    </xdr:to>
    <xdr:pic>
      <xdr:nvPicPr>
        <xdr:cNvPr id="249" name="Picture 40" descr="UK2.jpg">
          <a:extLst>
            <a:ext uri="{FF2B5EF4-FFF2-40B4-BE49-F238E27FC236}">
              <a16:creationId xmlns:a16="http://schemas.microsoft.com/office/drawing/2014/main" id="{2AEAD4C5-DE9E-4788-8317-E0709D029D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1423" y="33271558"/>
          <a:ext cx="249116" cy="12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7327</xdr:colOff>
      <xdr:row>583</xdr:row>
      <xdr:rowOff>14654</xdr:rowOff>
    </xdr:from>
    <xdr:to>
      <xdr:col>10</xdr:col>
      <xdr:colOff>7327</xdr:colOff>
      <xdr:row>583</xdr:row>
      <xdr:rowOff>142521</xdr:rowOff>
    </xdr:to>
    <xdr:pic>
      <xdr:nvPicPr>
        <xdr:cNvPr id="250" name="Picture 40" descr="UK2.jpg">
          <a:extLst>
            <a:ext uri="{FF2B5EF4-FFF2-40B4-BE49-F238E27FC236}">
              <a16:creationId xmlns:a16="http://schemas.microsoft.com/office/drawing/2014/main" id="{737B1BDF-C075-46EC-906D-2594827993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152" y="31656704"/>
          <a:ext cx="247650" cy="12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159</xdr:row>
      <xdr:rowOff>16968</xdr:rowOff>
    </xdr:from>
    <xdr:to>
      <xdr:col>9</xdr:col>
      <xdr:colOff>245644</xdr:colOff>
      <xdr:row>159</xdr:row>
      <xdr:rowOff>139786</xdr:rowOff>
    </xdr:to>
    <xdr:pic>
      <xdr:nvPicPr>
        <xdr:cNvPr id="216" name="Picture 40" descr="UK2.jpg">
          <a:extLst>
            <a:ext uri="{FF2B5EF4-FFF2-40B4-BE49-F238E27FC236}">
              <a16:creationId xmlns:a16="http://schemas.microsoft.com/office/drawing/2014/main" id="{AB799C4E-7B27-4D63-9D52-717B43F342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724" y="9406613"/>
          <a:ext cx="245644" cy="12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29308</xdr:colOff>
      <xdr:row>784</xdr:row>
      <xdr:rowOff>7327</xdr:rowOff>
    </xdr:from>
    <xdr:to>
      <xdr:col>8</xdr:col>
      <xdr:colOff>161550</xdr:colOff>
      <xdr:row>784</xdr:row>
      <xdr:rowOff>122976</xdr:rowOff>
    </xdr:to>
    <xdr:sp macro="" textlink="">
      <xdr:nvSpPr>
        <xdr:cNvPr id="247" name="5-Point Star 23">
          <a:extLst>
            <a:ext uri="{FF2B5EF4-FFF2-40B4-BE49-F238E27FC236}">
              <a16:creationId xmlns:a16="http://schemas.microsoft.com/office/drawing/2014/main" id="{FA1E1B06-9C0A-44A5-8CE7-C4514938E90A}"/>
            </a:ext>
          </a:extLst>
        </xdr:cNvPr>
        <xdr:cNvSpPr/>
      </xdr:nvSpPr>
      <xdr:spPr bwMode="auto">
        <a:xfrm>
          <a:off x="4967654" y="47485789"/>
          <a:ext cx="132242" cy="115649"/>
        </a:xfrm>
        <a:prstGeom prst="star5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GB"/>
        </a:p>
      </xdr:txBody>
    </xdr:sp>
    <xdr:clientData/>
  </xdr:twoCellAnchor>
  <xdr:twoCellAnchor>
    <xdr:from>
      <xdr:col>9</xdr:col>
      <xdr:colOff>7324</xdr:colOff>
      <xdr:row>179</xdr:row>
      <xdr:rowOff>14654</xdr:rowOff>
    </xdr:from>
    <xdr:to>
      <xdr:col>10</xdr:col>
      <xdr:colOff>7324</xdr:colOff>
      <xdr:row>179</xdr:row>
      <xdr:rowOff>150009</xdr:rowOff>
    </xdr:to>
    <xdr:pic>
      <xdr:nvPicPr>
        <xdr:cNvPr id="267" name="Picture 40" descr="UK2.jpg">
          <a:extLst>
            <a:ext uri="{FF2B5EF4-FFF2-40B4-BE49-F238E27FC236}">
              <a16:creationId xmlns:a16="http://schemas.microsoft.com/office/drawing/2014/main" id="{747B32DF-C801-4F13-99A1-05CC72061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555" y="33110366"/>
          <a:ext cx="249115" cy="13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7327</xdr:colOff>
      <xdr:row>666</xdr:row>
      <xdr:rowOff>14654</xdr:rowOff>
    </xdr:from>
    <xdr:to>
      <xdr:col>14</xdr:col>
      <xdr:colOff>42496</xdr:colOff>
      <xdr:row>667</xdr:row>
      <xdr:rowOff>504</xdr:rowOff>
    </xdr:to>
    <xdr:pic>
      <xdr:nvPicPr>
        <xdr:cNvPr id="271" name="Picture 1">
          <a:extLst>
            <a:ext uri="{FF2B5EF4-FFF2-40B4-BE49-F238E27FC236}">
              <a16:creationId xmlns:a16="http://schemas.microsoft.com/office/drawing/2014/main" id="{02AA1798-4E38-4DD5-B2CD-A3693FDCF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1066" y="34733279"/>
          <a:ext cx="147737" cy="1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214</xdr:row>
      <xdr:rowOff>16565</xdr:rowOff>
    </xdr:from>
    <xdr:to>
      <xdr:col>9</xdr:col>
      <xdr:colOff>246784</xdr:colOff>
      <xdr:row>214</xdr:row>
      <xdr:rowOff>138921</xdr:rowOff>
    </xdr:to>
    <xdr:pic>
      <xdr:nvPicPr>
        <xdr:cNvPr id="273" name="Picture 40" descr="UK2.jpg">
          <a:extLst>
            <a:ext uri="{FF2B5EF4-FFF2-40B4-BE49-F238E27FC236}">
              <a16:creationId xmlns:a16="http://schemas.microsoft.com/office/drawing/2014/main" id="{62874E8C-6191-4C69-8EA9-0C94F28058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9" y="16233913"/>
          <a:ext cx="246784" cy="12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385</xdr:row>
      <xdr:rowOff>16566</xdr:rowOff>
    </xdr:from>
    <xdr:to>
      <xdr:col>10</xdr:col>
      <xdr:colOff>0</xdr:colOff>
      <xdr:row>385</xdr:row>
      <xdr:rowOff>148077</xdr:rowOff>
    </xdr:to>
    <xdr:pic>
      <xdr:nvPicPr>
        <xdr:cNvPr id="251" name="Picture 40" descr="UK2.jpg">
          <a:extLst>
            <a:ext uri="{FF2B5EF4-FFF2-40B4-BE49-F238E27FC236}">
              <a16:creationId xmlns:a16="http://schemas.microsoft.com/office/drawing/2014/main" id="{85BD1046-C5AC-49C3-A1A3-B99D9B486F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6" y="58185327"/>
          <a:ext cx="248478" cy="13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375</xdr:row>
      <xdr:rowOff>16566</xdr:rowOff>
    </xdr:from>
    <xdr:to>
      <xdr:col>14</xdr:col>
      <xdr:colOff>25326</xdr:colOff>
      <xdr:row>376</xdr:row>
      <xdr:rowOff>878</xdr:rowOff>
    </xdr:to>
    <xdr:pic>
      <xdr:nvPicPr>
        <xdr:cNvPr id="265" name="Picture 1">
          <a:extLst>
            <a:ext uri="{FF2B5EF4-FFF2-40B4-BE49-F238E27FC236}">
              <a16:creationId xmlns:a16="http://schemas.microsoft.com/office/drawing/2014/main" id="{F8D65188-46D7-4F1D-B2F5-C004A0912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7555704"/>
          <a:ext cx="136999" cy="135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52</xdr:row>
      <xdr:rowOff>8843</xdr:rowOff>
    </xdr:from>
    <xdr:to>
      <xdr:col>14</xdr:col>
      <xdr:colOff>24052</xdr:colOff>
      <xdr:row>53</xdr:row>
      <xdr:rowOff>2521</xdr:rowOff>
    </xdr:to>
    <xdr:pic>
      <xdr:nvPicPr>
        <xdr:cNvPr id="246" name="Picture 1">
          <a:extLst>
            <a:ext uri="{FF2B5EF4-FFF2-40B4-BE49-F238E27FC236}">
              <a16:creationId xmlns:a16="http://schemas.microsoft.com/office/drawing/2014/main" id="{CC974333-348F-4C2F-9264-CE53BC448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5185188"/>
          <a:ext cx="135725" cy="13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7964</xdr:colOff>
      <xdr:row>663</xdr:row>
      <xdr:rowOff>14654</xdr:rowOff>
    </xdr:from>
    <xdr:to>
      <xdr:col>14</xdr:col>
      <xdr:colOff>44407</xdr:colOff>
      <xdr:row>664</xdr:row>
      <xdr:rowOff>1</xdr:rowOff>
    </xdr:to>
    <xdr:pic>
      <xdr:nvPicPr>
        <xdr:cNvPr id="277" name="Picture 1">
          <a:extLst>
            <a:ext uri="{FF2B5EF4-FFF2-40B4-BE49-F238E27FC236}">
              <a16:creationId xmlns:a16="http://schemas.microsoft.com/office/drawing/2014/main" id="{62A4B3BA-0438-4417-9E02-008993DAE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1703" y="34304654"/>
          <a:ext cx="149011" cy="128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677</xdr:row>
      <xdr:rowOff>7327</xdr:rowOff>
    </xdr:from>
    <xdr:to>
      <xdr:col>14</xdr:col>
      <xdr:colOff>35169</xdr:colOff>
      <xdr:row>677</xdr:row>
      <xdr:rowOff>139717</xdr:rowOff>
    </xdr:to>
    <xdr:pic>
      <xdr:nvPicPr>
        <xdr:cNvPr id="279" name="Picture 1">
          <a:extLst>
            <a:ext uri="{FF2B5EF4-FFF2-40B4-BE49-F238E27FC236}">
              <a16:creationId xmlns:a16="http://schemas.microsoft.com/office/drawing/2014/main" id="{AE22063C-6F7A-40A8-8837-E2BE3A09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739" y="35604850"/>
          <a:ext cx="147737" cy="13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895</xdr:colOff>
      <xdr:row>679</xdr:row>
      <xdr:rowOff>14654</xdr:rowOff>
    </xdr:from>
    <xdr:to>
      <xdr:col>14</xdr:col>
      <xdr:colOff>35169</xdr:colOff>
      <xdr:row>680</xdr:row>
      <xdr:rowOff>0</xdr:rowOff>
    </xdr:to>
    <xdr:pic>
      <xdr:nvPicPr>
        <xdr:cNvPr id="280" name="Picture 1">
          <a:extLst>
            <a:ext uri="{FF2B5EF4-FFF2-40B4-BE49-F238E27FC236}">
              <a16:creationId xmlns:a16="http://schemas.microsoft.com/office/drawing/2014/main" id="{73C00714-17FE-4C26-A6D0-882F8F77B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634" y="35755052"/>
          <a:ext cx="146842" cy="12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895</xdr:colOff>
      <xdr:row>694</xdr:row>
      <xdr:rowOff>7327</xdr:rowOff>
    </xdr:from>
    <xdr:to>
      <xdr:col>14</xdr:col>
      <xdr:colOff>35169</xdr:colOff>
      <xdr:row>694</xdr:row>
      <xdr:rowOff>139717</xdr:rowOff>
    </xdr:to>
    <xdr:pic>
      <xdr:nvPicPr>
        <xdr:cNvPr id="281" name="Picture 1">
          <a:extLst>
            <a:ext uri="{FF2B5EF4-FFF2-40B4-BE49-F238E27FC236}">
              <a16:creationId xmlns:a16="http://schemas.microsoft.com/office/drawing/2014/main" id="{671E72B6-3EBC-4F83-B133-E6D0CAAD3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634" y="36033475"/>
          <a:ext cx="146842" cy="13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10852</xdr:colOff>
      <xdr:row>760</xdr:row>
      <xdr:rowOff>21981</xdr:rowOff>
    </xdr:from>
    <xdr:to>
      <xdr:col>14</xdr:col>
      <xdr:colOff>23825</xdr:colOff>
      <xdr:row>760</xdr:row>
      <xdr:rowOff>140222</xdr:rowOff>
    </xdr:to>
    <xdr:pic>
      <xdr:nvPicPr>
        <xdr:cNvPr id="283" name="Picture 1">
          <a:extLst>
            <a:ext uri="{FF2B5EF4-FFF2-40B4-BE49-F238E27FC236}">
              <a16:creationId xmlns:a16="http://schemas.microsoft.com/office/drawing/2014/main" id="{B6D51A42-52C5-4F83-A248-AEAAD5D91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591" y="38974901"/>
          <a:ext cx="125541" cy="118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288</xdr:row>
      <xdr:rowOff>18257</xdr:rowOff>
    </xdr:from>
    <xdr:to>
      <xdr:col>14</xdr:col>
      <xdr:colOff>13138</xdr:colOff>
      <xdr:row>288</xdr:row>
      <xdr:rowOff>139090</xdr:rowOff>
    </xdr:to>
    <xdr:pic>
      <xdr:nvPicPr>
        <xdr:cNvPr id="278" name="Picture 1">
          <a:extLst>
            <a:ext uri="{FF2B5EF4-FFF2-40B4-BE49-F238E27FC236}">
              <a16:creationId xmlns:a16="http://schemas.microsoft.com/office/drawing/2014/main" id="{603E2D79-4385-4DF9-A785-BD8D6BA6D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4699895"/>
          <a:ext cx="124811" cy="12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377</xdr:row>
      <xdr:rowOff>16566</xdr:rowOff>
    </xdr:from>
    <xdr:to>
      <xdr:col>14</xdr:col>
      <xdr:colOff>25326</xdr:colOff>
      <xdr:row>377</xdr:row>
      <xdr:rowOff>149049</xdr:rowOff>
    </xdr:to>
    <xdr:pic>
      <xdr:nvPicPr>
        <xdr:cNvPr id="286" name="Picture 1">
          <a:extLst>
            <a:ext uri="{FF2B5EF4-FFF2-40B4-BE49-F238E27FC236}">
              <a16:creationId xmlns:a16="http://schemas.microsoft.com/office/drawing/2014/main" id="{809601E2-6C2F-4025-8502-B39551080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7851307"/>
          <a:ext cx="136999" cy="132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433</xdr:row>
      <xdr:rowOff>9997</xdr:rowOff>
    </xdr:from>
    <xdr:to>
      <xdr:col>14</xdr:col>
      <xdr:colOff>25326</xdr:colOff>
      <xdr:row>433</xdr:row>
      <xdr:rowOff>137948</xdr:rowOff>
    </xdr:to>
    <xdr:pic>
      <xdr:nvPicPr>
        <xdr:cNvPr id="289" name="Picture 1">
          <a:extLst>
            <a:ext uri="{FF2B5EF4-FFF2-40B4-BE49-F238E27FC236}">
              <a16:creationId xmlns:a16="http://schemas.microsoft.com/office/drawing/2014/main" id="{160F0E35-8AF8-47C3-A517-0F2C048A9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20787635"/>
          <a:ext cx="136999" cy="12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482</xdr:row>
      <xdr:rowOff>16566</xdr:rowOff>
    </xdr:from>
    <xdr:to>
      <xdr:col>14</xdr:col>
      <xdr:colOff>25326</xdr:colOff>
      <xdr:row>483</xdr:row>
      <xdr:rowOff>2</xdr:rowOff>
    </xdr:to>
    <xdr:pic>
      <xdr:nvPicPr>
        <xdr:cNvPr id="290" name="Picture 1">
          <a:extLst>
            <a:ext uri="{FF2B5EF4-FFF2-40B4-BE49-F238E27FC236}">
              <a16:creationId xmlns:a16="http://schemas.microsoft.com/office/drawing/2014/main" id="{CA136713-2545-4249-A6C5-A3E0F9597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739" y="23357146"/>
          <a:ext cx="137894" cy="126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801</xdr:row>
      <xdr:rowOff>17320</xdr:rowOff>
    </xdr:from>
    <xdr:to>
      <xdr:col>14</xdr:col>
      <xdr:colOff>35169</xdr:colOff>
      <xdr:row>801</xdr:row>
      <xdr:rowOff>144426</xdr:rowOff>
    </xdr:to>
    <xdr:pic>
      <xdr:nvPicPr>
        <xdr:cNvPr id="292" name="Picture 1">
          <a:extLst>
            <a:ext uri="{FF2B5EF4-FFF2-40B4-BE49-F238E27FC236}">
              <a16:creationId xmlns:a16="http://schemas.microsoft.com/office/drawing/2014/main" id="{104B1C84-D15C-4D80-B96B-6772EE4DF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739" y="42018240"/>
          <a:ext cx="147737" cy="12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895</xdr:colOff>
      <xdr:row>803</xdr:row>
      <xdr:rowOff>16566</xdr:rowOff>
    </xdr:from>
    <xdr:to>
      <xdr:col>14</xdr:col>
      <xdr:colOff>35169</xdr:colOff>
      <xdr:row>803</xdr:row>
      <xdr:rowOff>143672</xdr:rowOff>
    </xdr:to>
    <xdr:pic>
      <xdr:nvPicPr>
        <xdr:cNvPr id="294" name="Picture 1">
          <a:extLst>
            <a:ext uri="{FF2B5EF4-FFF2-40B4-BE49-F238E27FC236}">
              <a16:creationId xmlns:a16="http://schemas.microsoft.com/office/drawing/2014/main" id="{D0FCE980-CD57-47CD-9B89-51657AC8C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634" y="42320555"/>
          <a:ext cx="146842" cy="12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802</xdr:row>
      <xdr:rowOff>16566</xdr:rowOff>
    </xdr:from>
    <xdr:to>
      <xdr:col>14</xdr:col>
      <xdr:colOff>35169</xdr:colOff>
      <xdr:row>802</xdr:row>
      <xdr:rowOff>143672</xdr:rowOff>
    </xdr:to>
    <xdr:pic>
      <xdr:nvPicPr>
        <xdr:cNvPr id="295" name="Picture 1">
          <a:extLst>
            <a:ext uri="{FF2B5EF4-FFF2-40B4-BE49-F238E27FC236}">
              <a16:creationId xmlns:a16="http://schemas.microsoft.com/office/drawing/2014/main" id="{3EB2B2E8-B064-4049-9B45-2869A3B08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739" y="42169021"/>
          <a:ext cx="147737" cy="12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31</xdr:row>
      <xdr:rowOff>13138</xdr:rowOff>
    </xdr:from>
    <xdr:to>
      <xdr:col>14</xdr:col>
      <xdr:colOff>25326</xdr:colOff>
      <xdr:row>31</xdr:row>
      <xdr:rowOff>138999</xdr:rowOff>
    </xdr:to>
    <xdr:pic>
      <xdr:nvPicPr>
        <xdr:cNvPr id="252" name="Picture 1">
          <a:extLst>
            <a:ext uri="{FF2B5EF4-FFF2-40B4-BE49-F238E27FC236}">
              <a16:creationId xmlns:a16="http://schemas.microsoft.com/office/drawing/2014/main" id="{4EB88BD5-6361-45F8-9410-7A238E03D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4322379"/>
          <a:ext cx="136999" cy="12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895</xdr:colOff>
      <xdr:row>472</xdr:row>
      <xdr:rowOff>8283</xdr:rowOff>
    </xdr:from>
    <xdr:to>
      <xdr:col>14</xdr:col>
      <xdr:colOff>25326</xdr:colOff>
      <xdr:row>472</xdr:row>
      <xdr:rowOff>132521</xdr:rowOff>
    </xdr:to>
    <xdr:pic>
      <xdr:nvPicPr>
        <xdr:cNvPr id="266" name="Picture 1">
          <a:extLst>
            <a:ext uri="{FF2B5EF4-FFF2-40B4-BE49-F238E27FC236}">
              <a16:creationId xmlns:a16="http://schemas.microsoft.com/office/drawing/2014/main" id="{013B5315-EB61-44F4-8A4C-CEF3212C8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634" y="23063113"/>
          <a:ext cx="136999" cy="124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436</xdr:row>
      <xdr:rowOff>14720</xdr:rowOff>
    </xdr:from>
    <xdr:to>
      <xdr:col>14</xdr:col>
      <xdr:colOff>25326</xdr:colOff>
      <xdr:row>436</xdr:row>
      <xdr:rowOff>141029</xdr:rowOff>
    </xdr:to>
    <xdr:pic>
      <xdr:nvPicPr>
        <xdr:cNvPr id="296" name="Picture 1">
          <a:extLst>
            <a:ext uri="{FF2B5EF4-FFF2-40B4-BE49-F238E27FC236}">
              <a16:creationId xmlns:a16="http://schemas.microsoft.com/office/drawing/2014/main" id="{1D274EA7-3CC7-4401-8C63-48251AE5A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739" y="20982709"/>
          <a:ext cx="137894" cy="126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360</xdr:row>
      <xdr:rowOff>19050</xdr:rowOff>
    </xdr:from>
    <xdr:to>
      <xdr:col>14</xdr:col>
      <xdr:colOff>25326</xdr:colOff>
      <xdr:row>360</xdr:row>
      <xdr:rowOff>145359</xdr:rowOff>
    </xdr:to>
    <xdr:pic>
      <xdr:nvPicPr>
        <xdr:cNvPr id="298" name="Picture 1">
          <a:extLst>
            <a:ext uri="{FF2B5EF4-FFF2-40B4-BE49-F238E27FC236}">
              <a16:creationId xmlns:a16="http://schemas.microsoft.com/office/drawing/2014/main" id="{42360149-438E-49F3-BEF6-3B3EEF20D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6815895"/>
          <a:ext cx="136999" cy="126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895</xdr:colOff>
      <xdr:row>513</xdr:row>
      <xdr:rowOff>14654</xdr:rowOff>
    </xdr:from>
    <xdr:to>
      <xdr:col>14</xdr:col>
      <xdr:colOff>25326</xdr:colOff>
      <xdr:row>514</xdr:row>
      <xdr:rowOff>0</xdr:rowOff>
    </xdr:to>
    <xdr:pic>
      <xdr:nvPicPr>
        <xdr:cNvPr id="300" name="Picture 1">
          <a:extLst>
            <a:ext uri="{FF2B5EF4-FFF2-40B4-BE49-F238E27FC236}">
              <a16:creationId xmlns:a16="http://schemas.microsoft.com/office/drawing/2014/main" id="{2D7CA9CA-4D06-46AD-B362-A237792A1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634" y="25481040"/>
          <a:ext cx="136999" cy="12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273</xdr:row>
      <xdr:rowOff>13138</xdr:rowOff>
    </xdr:from>
    <xdr:to>
      <xdr:col>14</xdr:col>
      <xdr:colOff>25326</xdr:colOff>
      <xdr:row>274</xdr:row>
      <xdr:rowOff>0</xdr:rowOff>
    </xdr:to>
    <xdr:pic>
      <xdr:nvPicPr>
        <xdr:cNvPr id="302" name="Picture 1">
          <a:extLst>
            <a:ext uri="{FF2B5EF4-FFF2-40B4-BE49-F238E27FC236}">
              <a16:creationId xmlns:a16="http://schemas.microsoft.com/office/drawing/2014/main" id="{1A3EFEC4-6D87-4B77-85DE-B49B65634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3538638"/>
          <a:ext cx="136999" cy="131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262758</xdr:colOff>
      <xdr:row>324</xdr:row>
      <xdr:rowOff>13138</xdr:rowOff>
    </xdr:from>
    <xdr:to>
      <xdr:col>14</xdr:col>
      <xdr:colOff>18757</xdr:colOff>
      <xdr:row>325</xdr:row>
      <xdr:rowOff>0</xdr:rowOff>
    </xdr:to>
    <xdr:pic>
      <xdr:nvPicPr>
        <xdr:cNvPr id="303" name="Picture 1">
          <a:extLst>
            <a:ext uri="{FF2B5EF4-FFF2-40B4-BE49-F238E27FC236}">
              <a16:creationId xmlns:a16="http://schemas.microsoft.com/office/drawing/2014/main" id="{C410FB14-63D8-46C7-936B-0A2025694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034" y="14839293"/>
          <a:ext cx="136999" cy="13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359</xdr:row>
      <xdr:rowOff>13138</xdr:rowOff>
    </xdr:from>
    <xdr:to>
      <xdr:col>14</xdr:col>
      <xdr:colOff>25326</xdr:colOff>
      <xdr:row>359</xdr:row>
      <xdr:rowOff>147658</xdr:rowOff>
    </xdr:to>
    <xdr:pic>
      <xdr:nvPicPr>
        <xdr:cNvPr id="305" name="Picture 1">
          <a:extLst>
            <a:ext uri="{FF2B5EF4-FFF2-40B4-BE49-F238E27FC236}">
              <a16:creationId xmlns:a16="http://schemas.microsoft.com/office/drawing/2014/main" id="{E99B6D38-0112-42F0-8522-2EB92DF14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6658897"/>
          <a:ext cx="136999" cy="13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895</xdr:colOff>
      <xdr:row>434</xdr:row>
      <xdr:rowOff>0</xdr:rowOff>
    </xdr:from>
    <xdr:to>
      <xdr:col>14</xdr:col>
      <xdr:colOff>39414</xdr:colOff>
      <xdr:row>435</xdr:row>
      <xdr:rowOff>138545</xdr:rowOff>
    </xdr:to>
    <xdr:pic>
      <xdr:nvPicPr>
        <xdr:cNvPr id="306" name="Picture 1">
          <a:extLst>
            <a:ext uri="{FF2B5EF4-FFF2-40B4-BE49-F238E27FC236}">
              <a16:creationId xmlns:a16="http://schemas.microsoft.com/office/drawing/2014/main" id="{B7A20B7C-68F4-4B5E-8FE5-B1D281FE4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634" y="20825114"/>
          <a:ext cx="151087" cy="13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7327</xdr:colOff>
      <xdr:row>665</xdr:row>
      <xdr:rowOff>14654</xdr:rowOff>
    </xdr:from>
    <xdr:ext cx="146842" cy="130367"/>
    <xdr:pic>
      <xdr:nvPicPr>
        <xdr:cNvPr id="307" name="Picture 1">
          <a:extLst>
            <a:ext uri="{FF2B5EF4-FFF2-40B4-BE49-F238E27FC236}">
              <a16:creationId xmlns:a16="http://schemas.microsoft.com/office/drawing/2014/main" id="{6856E26E-DE53-4772-AB6F-12377E4D0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1066" y="34590404"/>
          <a:ext cx="146842" cy="130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7327</xdr:colOff>
      <xdr:row>585</xdr:row>
      <xdr:rowOff>6371</xdr:rowOff>
    </xdr:from>
    <xdr:to>
      <xdr:col>10</xdr:col>
      <xdr:colOff>7327</xdr:colOff>
      <xdr:row>585</xdr:row>
      <xdr:rowOff>124240</xdr:rowOff>
    </xdr:to>
    <xdr:pic>
      <xdr:nvPicPr>
        <xdr:cNvPr id="240" name="Picture 40" descr="UK2.jpg">
          <a:extLst>
            <a:ext uri="{FF2B5EF4-FFF2-40B4-BE49-F238E27FC236}">
              <a16:creationId xmlns:a16="http://schemas.microsoft.com/office/drawing/2014/main" id="{965474C2-04AB-412F-B792-7736DE1B9E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4957" y="84853414"/>
          <a:ext cx="248479" cy="11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8283</xdr:colOff>
      <xdr:row>664</xdr:row>
      <xdr:rowOff>8283</xdr:rowOff>
    </xdr:from>
    <xdr:ext cx="146842" cy="130367"/>
    <xdr:pic>
      <xdr:nvPicPr>
        <xdr:cNvPr id="242" name="Picture 1">
          <a:extLst>
            <a:ext uri="{FF2B5EF4-FFF2-40B4-BE49-F238E27FC236}">
              <a16:creationId xmlns:a16="http://schemas.microsoft.com/office/drawing/2014/main" id="{CEDE5A86-A183-4CD7-AD2C-835F1BC75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022" y="34441158"/>
          <a:ext cx="146842" cy="130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8283</xdr:colOff>
      <xdr:row>586</xdr:row>
      <xdr:rowOff>8284</xdr:rowOff>
    </xdr:from>
    <xdr:to>
      <xdr:col>10</xdr:col>
      <xdr:colOff>8283</xdr:colOff>
      <xdr:row>587</xdr:row>
      <xdr:rowOff>3629</xdr:rowOff>
    </xdr:to>
    <xdr:pic>
      <xdr:nvPicPr>
        <xdr:cNvPr id="245" name="Picture 40" descr="UK2.jpg">
          <a:extLst>
            <a:ext uri="{FF2B5EF4-FFF2-40B4-BE49-F238E27FC236}">
              <a16:creationId xmlns:a16="http://schemas.microsoft.com/office/drawing/2014/main" id="{D9E0357B-6A6B-436B-B604-5970AC556D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13" y="84987849"/>
          <a:ext cx="248479" cy="13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365</xdr:row>
      <xdr:rowOff>8283</xdr:rowOff>
    </xdr:from>
    <xdr:to>
      <xdr:col>14</xdr:col>
      <xdr:colOff>21042</xdr:colOff>
      <xdr:row>366</xdr:row>
      <xdr:rowOff>0</xdr:rowOff>
    </xdr:to>
    <xdr:pic>
      <xdr:nvPicPr>
        <xdr:cNvPr id="248" name="Picture 1">
          <a:extLst>
            <a:ext uri="{FF2B5EF4-FFF2-40B4-BE49-F238E27FC236}">
              <a16:creationId xmlns:a16="http://schemas.microsoft.com/office/drawing/2014/main" id="{F30099FB-D829-42C6-A4B5-A990A5D28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7251817"/>
          <a:ext cx="132715" cy="13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8283</xdr:colOff>
      <xdr:row>743</xdr:row>
      <xdr:rowOff>16566</xdr:rowOff>
    </xdr:from>
    <xdr:to>
      <xdr:col>14</xdr:col>
      <xdr:colOff>21256</xdr:colOff>
      <xdr:row>743</xdr:row>
      <xdr:rowOff>134807</xdr:rowOff>
    </xdr:to>
    <xdr:pic>
      <xdr:nvPicPr>
        <xdr:cNvPr id="253" name="Picture 1">
          <a:extLst>
            <a:ext uri="{FF2B5EF4-FFF2-40B4-BE49-F238E27FC236}">
              <a16:creationId xmlns:a16="http://schemas.microsoft.com/office/drawing/2014/main" id="{C02ABA0E-9057-4013-BCA9-2427D84C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022" y="38540861"/>
          <a:ext cx="125541" cy="118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71973</xdr:colOff>
      <xdr:row>1206</xdr:row>
      <xdr:rowOff>77960</xdr:rowOff>
    </xdr:from>
    <xdr:to>
      <xdr:col>12</xdr:col>
      <xdr:colOff>68381</xdr:colOff>
      <xdr:row>1207</xdr:row>
      <xdr:rowOff>5701</xdr:rowOff>
    </xdr:to>
    <xdr:pic>
      <xdr:nvPicPr>
        <xdr:cNvPr id="254" name="Picture 1">
          <a:extLst>
            <a:ext uri="{FF2B5EF4-FFF2-40B4-BE49-F238E27FC236}">
              <a16:creationId xmlns:a16="http://schemas.microsoft.com/office/drawing/2014/main" id="{CD9F8ADE-2475-453F-B259-D740F5699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12265895"/>
          <a:ext cx="128930" cy="118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91851</xdr:colOff>
      <xdr:row>1207</xdr:row>
      <xdr:rowOff>39860</xdr:rowOff>
    </xdr:from>
    <xdr:to>
      <xdr:col>12</xdr:col>
      <xdr:colOff>220781</xdr:colOff>
      <xdr:row>1207</xdr:row>
      <xdr:rowOff>158101</xdr:rowOff>
    </xdr:to>
    <xdr:pic>
      <xdr:nvPicPr>
        <xdr:cNvPr id="255" name="Picture 1">
          <a:extLst>
            <a:ext uri="{FF2B5EF4-FFF2-40B4-BE49-F238E27FC236}">
              <a16:creationId xmlns:a16="http://schemas.microsoft.com/office/drawing/2014/main" id="{2D64D679-0B02-47BC-A030-DA7F5D9B5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3003" y="112418295"/>
          <a:ext cx="128930" cy="118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14852</xdr:colOff>
      <xdr:row>764</xdr:row>
      <xdr:rowOff>16566</xdr:rowOff>
    </xdr:from>
    <xdr:to>
      <xdr:col>14</xdr:col>
      <xdr:colOff>27825</xdr:colOff>
      <xdr:row>764</xdr:row>
      <xdr:rowOff>134807</xdr:rowOff>
    </xdr:to>
    <xdr:pic>
      <xdr:nvPicPr>
        <xdr:cNvPr id="256" name="Picture 1">
          <a:extLst>
            <a:ext uri="{FF2B5EF4-FFF2-40B4-BE49-F238E27FC236}">
              <a16:creationId xmlns:a16="http://schemas.microsoft.com/office/drawing/2014/main" id="{BE1A9A6D-CE7E-4FA2-A777-1CD3F4172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591" y="39112361"/>
          <a:ext cx="125541" cy="118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13138</xdr:colOff>
      <xdr:row>794</xdr:row>
      <xdr:rowOff>19707</xdr:rowOff>
    </xdr:from>
    <xdr:to>
      <xdr:col>14</xdr:col>
      <xdr:colOff>30395</xdr:colOff>
      <xdr:row>794</xdr:row>
      <xdr:rowOff>137948</xdr:rowOff>
    </xdr:to>
    <xdr:pic>
      <xdr:nvPicPr>
        <xdr:cNvPr id="257" name="Picture 1">
          <a:extLst>
            <a:ext uri="{FF2B5EF4-FFF2-40B4-BE49-F238E27FC236}">
              <a16:creationId xmlns:a16="http://schemas.microsoft.com/office/drawing/2014/main" id="{97EFC14B-A9E0-469D-B50D-A14CED9A0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877" y="41271616"/>
          <a:ext cx="129825" cy="118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277</xdr:row>
      <xdr:rowOff>6569</xdr:rowOff>
    </xdr:from>
    <xdr:to>
      <xdr:col>14</xdr:col>
      <xdr:colOff>25326</xdr:colOff>
      <xdr:row>277</xdr:row>
      <xdr:rowOff>137948</xdr:rowOff>
    </xdr:to>
    <xdr:pic>
      <xdr:nvPicPr>
        <xdr:cNvPr id="258" name="Picture 1">
          <a:extLst>
            <a:ext uri="{FF2B5EF4-FFF2-40B4-BE49-F238E27FC236}">
              <a16:creationId xmlns:a16="http://schemas.microsoft.com/office/drawing/2014/main" id="{1A876971-BA53-4B21-BE52-C5E7DB78A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3676586"/>
          <a:ext cx="136999" cy="131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278</xdr:row>
      <xdr:rowOff>6569</xdr:rowOff>
    </xdr:from>
    <xdr:to>
      <xdr:col>14</xdr:col>
      <xdr:colOff>25326</xdr:colOff>
      <xdr:row>278</xdr:row>
      <xdr:rowOff>137948</xdr:rowOff>
    </xdr:to>
    <xdr:pic>
      <xdr:nvPicPr>
        <xdr:cNvPr id="259" name="Picture 1">
          <a:extLst>
            <a:ext uri="{FF2B5EF4-FFF2-40B4-BE49-F238E27FC236}">
              <a16:creationId xmlns:a16="http://schemas.microsoft.com/office/drawing/2014/main" id="{21EC6C8A-7270-46C0-86DB-3606345A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3821103"/>
          <a:ext cx="136999" cy="131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279</xdr:row>
      <xdr:rowOff>6569</xdr:rowOff>
    </xdr:from>
    <xdr:to>
      <xdr:col>14</xdr:col>
      <xdr:colOff>25326</xdr:colOff>
      <xdr:row>279</xdr:row>
      <xdr:rowOff>137948</xdr:rowOff>
    </xdr:to>
    <xdr:pic>
      <xdr:nvPicPr>
        <xdr:cNvPr id="260" name="Picture 1">
          <a:extLst>
            <a:ext uri="{FF2B5EF4-FFF2-40B4-BE49-F238E27FC236}">
              <a16:creationId xmlns:a16="http://schemas.microsoft.com/office/drawing/2014/main" id="{629C842B-374A-42DC-8AC6-6934EC264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3965621"/>
          <a:ext cx="136999" cy="131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280</xdr:row>
      <xdr:rowOff>6569</xdr:rowOff>
    </xdr:from>
    <xdr:to>
      <xdr:col>14</xdr:col>
      <xdr:colOff>25326</xdr:colOff>
      <xdr:row>280</xdr:row>
      <xdr:rowOff>137948</xdr:rowOff>
    </xdr:to>
    <xdr:pic>
      <xdr:nvPicPr>
        <xdr:cNvPr id="261" name="Picture 1">
          <a:extLst>
            <a:ext uri="{FF2B5EF4-FFF2-40B4-BE49-F238E27FC236}">
              <a16:creationId xmlns:a16="http://schemas.microsoft.com/office/drawing/2014/main" id="{FD2F700C-1A8F-468E-8C69-3807B097A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4110138"/>
          <a:ext cx="136999" cy="131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281</xdr:row>
      <xdr:rowOff>6569</xdr:rowOff>
    </xdr:from>
    <xdr:to>
      <xdr:col>14</xdr:col>
      <xdr:colOff>25326</xdr:colOff>
      <xdr:row>281</xdr:row>
      <xdr:rowOff>137948</xdr:rowOff>
    </xdr:to>
    <xdr:pic>
      <xdr:nvPicPr>
        <xdr:cNvPr id="262" name="Picture 1">
          <a:extLst>
            <a:ext uri="{FF2B5EF4-FFF2-40B4-BE49-F238E27FC236}">
              <a16:creationId xmlns:a16="http://schemas.microsoft.com/office/drawing/2014/main" id="{CB2BDDA5-FA6C-4767-A433-9808BCF1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4254655"/>
          <a:ext cx="136999" cy="131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269327</xdr:colOff>
      <xdr:row>282</xdr:row>
      <xdr:rowOff>6569</xdr:rowOff>
    </xdr:from>
    <xdr:to>
      <xdr:col>14</xdr:col>
      <xdr:colOff>25326</xdr:colOff>
      <xdr:row>282</xdr:row>
      <xdr:rowOff>137948</xdr:rowOff>
    </xdr:to>
    <xdr:pic>
      <xdr:nvPicPr>
        <xdr:cNvPr id="263" name="Picture 1">
          <a:extLst>
            <a:ext uri="{FF2B5EF4-FFF2-40B4-BE49-F238E27FC236}">
              <a16:creationId xmlns:a16="http://schemas.microsoft.com/office/drawing/2014/main" id="{6858142A-A055-4880-9CD4-52BEAF2E3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603" y="14399172"/>
          <a:ext cx="136999" cy="131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0F54-C959-49B8-93CD-7005E93CB733}">
  <sheetPr codeName="Sheet1"/>
  <dimension ref="A1:BN888"/>
  <sheetViews>
    <sheetView showGridLines="0" tabSelected="1" topLeftCell="B1" zoomScale="130" zoomScaleNormal="130" zoomScaleSheetLayoutView="190" workbookViewId="0">
      <pane ySplit="1" topLeftCell="A2" activePane="bottomLeft" state="frozen"/>
      <selection activeCell="B1" sqref="B1"/>
      <selection pane="bottomLeft" activeCell="E4" sqref="E4:K4"/>
    </sheetView>
  </sheetViews>
  <sheetFormatPr defaultColWidth="9.140625" defaultRowHeight="15" x14ac:dyDescent="0.25"/>
  <cols>
    <col min="1" max="1" width="5" style="121" hidden="1" customWidth="1"/>
    <col min="2" max="2" width="6.140625" style="61" customWidth="1"/>
    <col min="3" max="3" width="3.140625" style="61" customWidth="1"/>
    <col min="4" max="4" width="12.28515625" style="61" customWidth="1"/>
    <col min="5" max="5" width="5.85546875" style="61" customWidth="1"/>
    <col min="6" max="6" width="6.85546875" style="61" customWidth="1"/>
    <col min="7" max="7" width="11.140625" style="61" customWidth="1"/>
    <col min="8" max="8" width="28.7109375" style="61" customWidth="1"/>
    <col min="9" max="9" width="4.28515625" style="61" customWidth="1"/>
    <col min="10" max="10" width="3.7109375" style="191" customWidth="1"/>
    <col min="11" max="12" width="2" style="61" customWidth="1"/>
    <col min="13" max="13" width="4" style="71" customWidth="1"/>
    <col min="14" max="14" width="1.7109375" style="61" customWidth="1"/>
    <col min="15" max="15" width="5" style="61" customWidth="1"/>
    <col min="16" max="16" width="16.28515625" style="60" customWidth="1"/>
    <col min="17" max="17" width="8.42578125" style="60" customWidth="1"/>
    <col min="18" max="18" width="13.85546875" style="60" customWidth="1"/>
    <col min="19" max="19" width="5.7109375" style="60" customWidth="1"/>
    <col min="20" max="20" width="9" style="60" customWidth="1"/>
    <col min="21" max="21" width="12.42578125" style="60" customWidth="1"/>
    <col min="22" max="22" width="9.5703125" style="60" customWidth="1"/>
    <col min="23" max="23" width="9.140625" style="60"/>
    <col min="24" max="29" width="9.140625" style="253"/>
    <col min="30" max="30" width="9.140625" style="253" bestFit="1" customWidth="1"/>
    <col min="31" max="31" width="4.5703125" style="253" bestFit="1" customWidth="1"/>
    <col min="32" max="32" width="9.140625" style="253"/>
    <col min="33" max="33" width="4.5703125" style="253" bestFit="1" customWidth="1"/>
    <col min="34" max="34" width="9.140625" style="253"/>
    <col min="35" max="35" width="9.140625" style="253" bestFit="1" customWidth="1"/>
    <col min="36" max="36" width="3.42578125" style="253" bestFit="1" customWidth="1"/>
    <col min="37" max="37" width="3.42578125" style="253" customWidth="1"/>
    <col min="38" max="38" width="6.5703125" style="253" bestFit="1" customWidth="1"/>
    <col min="39" max="39" width="6.5703125" style="253" customWidth="1"/>
    <col min="40" max="40" width="10" style="253" bestFit="1" customWidth="1"/>
    <col min="41" max="41" width="3.42578125" style="253" customWidth="1"/>
    <col min="42" max="42" width="5.42578125" style="253" customWidth="1"/>
    <col min="43" max="43" width="6.85546875" style="253" customWidth="1"/>
    <col min="44" max="44" width="9.140625" style="253"/>
    <col min="45" max="45" width="6.42578125" style="253" customWidth="1"/>
    <col min="46" max="47" width="9.140625" style="253"/>
    <col min="48" max="49" width="4.42578125" style="253" customWidth="1"/>
    <col min="50" max="50" width="3" style="253" bestFit="1" customWidth="1"/>
    <col min="51" max="51" width="2.28515625" style="253" bestFit="1" customWidth="1"/>
    <col min="52" max="52" width="9.140625" style="253"/>
    <col min="53" max="53" width="4.85546875" style="253" customWidth="1"/>
    <col min="54" max="54" width="4.7109375" style="253" customWidth="1"/>
    <col min="55" max="58" width="9.140625" style="253"/>
    <col min="59" max="60" width="5" style="253" customWidth="1"/>
    <col min="61" max="64" width="9.140625" style="60"/>
    <col min="65" max="16384" width="9.140625" style="61"/>
  </cols>
  <sheetData>
    <row r="1" spans="1:66" x14ac:dyDescent="0.25">
      <c r="B1" s="550" t="str">
        <f>"Trolley"&amp;IF(R3&gt;2,Q9," 1")&amp;": "&amp;IF(R3=1,Q6,100)&amp;"% Full"&amp;IF(R3&gt;1,", Trolley "&amp;IF(R3=1,2,R3)&amp;": "&amp;IF(R3=1,0,Q7)&amp;"% Full","")</f>
        <v>Trolley 1: 0% Full</v>
      </c>
      <c r="O1" s="763" t="str">
        <f>IF(E4="","Please don't forget to enter your centre name","")</f>
        <v>Please don't forget to enter your centre name</v>
      </c>
    </row>
    <row r="2" spans="1:66" ht="15" customHeight="1" x14ac:dyDescent="0.25">
      <c r="B2" s="1031" t="s">
        <v>816</v>
      </c>
      <c r="C2" s="1031"/>
      <c r="D2" s="1031"/>
      <c r="E2" s="1031"/>
      <c r="F2" s="1031"/>
      <c r="G2" s="1031"/>
      <c r="H2" s="1031"/>
      <c r="I2" s="1031"/>
      <c r="J2" s="1031"/>
      <c r="K2" s="1031"/>
      <c r="L2" s="70"/>
      <c r="M2" s="70"/>
      <c r="N2" s="70"/>
      <c r="O2" s="70"/>
      <c r="P2" s="842"/>
      <c r="Q2" s="541"/>
      <c r="R2" s="541"/>
      <c r="S2" s="541"/>
      <c r="T2" s="541"/>
      <c r="U2" s="541"/>
      <c r="V2" s="541"/>
      <c r="W2" s="541"/>
      <c r="X2" s="541" t="s">
        <v>1124</v>
      </c>
      <c r="Y2" s="541" t="s">
        <v>1124</v>
      </c>
      <c r="Z2" s="541"/>
      <c r="AA2" s="541" t="s">
        <v>1143</v>
      </c>
      <c r="AB2" s="843">
        <f>AB3-AA3</f>
        <v>0</v>
      </c>
      <c r="AC2" s="541" t="s">
        <v>1144</v>
      </c>
      <c r="AD2" s="541" t="s">
        <v>1145</v>
      </c>
      <c r="AE2" s="748" t="s">
        <v>1151</v>
      </c>
      <c r="AF2" s="748" t="s">
        <v>1148</v>
      </c>
      <c r="AG2" s="748" t="s">
        <v>1152</v>
      </c>
      <c r="AH2" s="748" t="s">
        <v>1153</v>
      </c>
      <c r="AI2" s="748" t="s">
        <v>1148</v>
      </c>
      <c r="AJ2" s="748"/>
      <c r="AK2" s="748"/>
      <c r="AL2" s="748"/>
      <c r="AM2" s="748"/>
      <c r="AN2" s="748" t="s">
        <v>1163</v>
      </c>
      <c r="AO2" s="1027" t="s">
        <v>1148</v>
      </c>
      <c r="AP2" s="1027"/>
      <c r="AQ2" s="748" t="s">
        <v>1154</v>
      </c>
      <c r="AR2" s="748" t="s">
        <v>1148</v>
      </c>
      <c r="AS2" s="748" t="s">
        <v>1155</v>
      </c>
      <c r="AT2" s="748" t="s">
        <v>1156</v>
      </c>
      <c r="AU2" s="748" t="s">
        <v>1148</v>
      </c>
      <c r="AV2" s="748"/>
      <c r="AW2" s="748"/>
      <c r="AX2" s="748"/>
      <c r="AY2" s="748"/>
      <c r="AZ2" s="748" t="s">
        <v>1164</v>
      </c>
      <c r="BA2" s="1027" t="s">
        <v>1148</v>
      </c>
      <c r="BB2" s="1027"/>
      <c r="BC2" s="748" t="s">
        <v>1157</v>
      </c>
      <c r="BD2" s="748" t="s">
        <v>1148</v>
      </c>
      <c r="BE2" s="748" t="s">
        <v>1158</v>
      </c>
      <c r="BF2" s="748" t="s">
        <v>1159</v>
      </c>
      <c r="BG2" s="1027" t="s">
        <v>1148</v>
      </c>
      <c r="BH2" s="1027"/>
      <c r="BM2" s="121"/>
      <c r="BN2" s="121"/>
    </row>
    <row r="3" spans="1:66" ht="13.5" customHeight="1" x14ac:dyDescent="0.25">
      <c r="A3" s="198"/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70"/>
      <c r="M3" s="70"/>
      <c r="N3" s="70"/>
      <c r="O3" s="70"/>
      <c r="P3" s="844"/>
      <c r="Q3" s="845" t="s">
        <v>1137</v>
      </c>
      <c r="R3" s="846">
        <f>IF(AO15=0,1,IF(BA15=0,2,IF(BG15=0,3,4)))</f>
        <v>1</v>
      </c>
      <c r="S3" s="541"/>
      <c r="T3" s="541"/>
      <c r="U3" s="845" t="s">
        <v>1160</v>
      </c>
      <c r="V3" s="541">
        <f>IF(BF16&gt;0,BF17,IF(AZ16&gt;0,AQ16-AZ15,AE16-AH15))</f>
        <v>180</v>
      </c>
      <c r="W3" s="541"/>
      <c r="X3" s="847" t="s">
        <v>1138</v>
      </c>
      <c r="Y3" s="541">
        <v>25</v>
      </c>
      <c r="Z3" s="843">
        <f>SUMIFS(W$23:W$1241,U$23:U$1241,$Y3)</f>
        <v>0</v>
      </c>
      <c r="AA3" s="541">
        <f t="shared" ref="AA3:AA4" si="0">IF(AB3&gt;0.001,ROUNDUP(AB3,0),0)</f>
        <v>0</v>
      </c>
      <c r="AB3" s="843">
        <f>AB4+Z3-AA4</f>
        <v>0</v>
      </c>
      <c r="AC3" s="541">
        <f>$Y3*AA3</f>
        <v>0</v>
      </c>
      <c r="AD3" s="541">
        <f>IF(SUM(AD4:AD$11)=0,IF(AC3&gt;0,$Y3,0),0)</f>
        <v>0</v>
      </c>
      <c r="AE3" s="541">
        <f>IF((IF(SUM(AE4:AE$11)=0,IF(AA3&gt;0,1,0),0)+IF(AC3&lt;AE15,AA3,0))&gt;AA3,AA3,IF(SUM(AE4:AE$11)=0,IF(AA3&gt;0,1,0),0)+IF(AC3&lt;AE15,AA3,0))</f>
        <v>0</v>
      </c>
      <c r="AF3" s="541">
        <f t="shared" ref="AF3:AF11" si="1">AA3-AE3</f>
        <v>0</v>
      </c>
      <c r="AG3" s="541">
        <f>IF(AF3&gt;0,ROUNDDOWN(AG$15/$Y3,0),0)</f>
        <v>0</v>
      </c>
      <c r="AH3" s="541">
        <f>AG3+AE3</f>
        <v>0</v>
      </c>
      <c r="AI3" s="748">
        <f t="shared" ref="AI3:AI11" si="2">(AA3-AH3)</f>
        <v>0</v>
      </c>
      <c r="AJ3" s="541">
        <v>0</v>
      </c>
      <c r="AK3" s="541">
        <f>AJ3</f>
        <v>0</v>
      </c>
      <c r="AL3" s="541">
        <f>IF(AND(AH$17&gt;0,AI16&gt;0,AH3&gt;0),-1,0)</f>
        <v>0</v>
      </c>
      <c r="AM3" s="541">
        <f>IF(AND(SUM(AM4:AM$11)=0,AH$17&gt;0,AI$16&gt;0),IF(AH$17+1&gt;AK3,1,0),0)</f>
        <v>0</v>
      </c>
      <c r="AN3" s="541">
        <f>AH3+AL3+AM3</f>
        <v>0</v>
      </c>
      <c r="AO3" s="541">
        <f t="shared" ref="AO3:AO11" si="3">AA3-AN3</f>
        <v>0</v>
      </c>
      <c r="AP3" s="541">
        <f t="shared" ref="AP3:AP11" si="4">(AA3-AN3)*$Y3</f>
        <v>0</v>
      </c>
      <c r="AQ3" s="541">
        <f>IF(AP$15&lt;AQ$15,AO3,IF(SUM(AQ4:AQ$11)=0,IF(AO3&gt;0,1,0),0)+IF(SUM(AP$3:AP3)&lt;AQ$15,AO3-IF(AND(SUM(AQ4:AQ$11)=0,AO3&gt;0),1,0),0))</f>
        <v>0</v>
      </c>
      <c r="AR3" s="541">
        <f>AO3-AQ3</f>
        <v>0</v>
      </c>
      <c r="AS3" s="541">
        <f>IF(AR3&gt;0,ROUNDDOWN(AS$15/$Y3,0),0)</f>
        <v>0</v>
      </c>
      <c r="AT3" s="541">
        <f>AS3+AQ3</f>
        <v>0</v>
      </c>
      <c r="AU3" s="541">
        <f>AO3-AT3</f>
        <v>0</v>
      </c>
      <c r="AV3" s="541">
        <v>0</v>
      </c>
      <c r="AW3" s="541">
        <f>AV3</f>
        <v>0</v>
      </c>
      <c r="AX3" s="541">
        <f>IF(AND(AT$17&gt;0,AU16&gt;0,AT3&gt;0),-1,0)</f>
        <v>0</v>
      </c>
      <c r="AY3" s="541">
        <f>IF(AND(SUM(AY4:AY$11)=0,AT$17&gt;0,AU$16&gt;0),IF(AT$17+1&gt;AW3,1,0),0)</f>
        <v>0</v>
      </c>
      <c r="AZ3" s="541">
        <f>AT3+AX3+AY3</f>
        <v>0</v>
      </c>
      <c r="BA3" s="541">
        <f>AO3-AZ3</f>
        <v>0</v>
      </c>
      <c r="BB3" s="541">
        <f>BA3*$Y3</f>
        <v>0</v>
      </c>
      <c r="BC3" s="541">
        <f>IF(BB$15&lt;BC$15,BA3,IF(SUM(BC4:BC$11)=0,IF(BA3&gt;0,1,0),0)+IF(SUM(BB$3:BB3)&lt;BC$15,BA3-IF(AND(SUM(BC4:BC$11)=0,BA3&gt;0),1,0),0))</f>
        <v>0</v>
      </c>
      <c r="BD3" s="541">
        <f>BA3-BC3</f>
        <v>0</v>
      </c>
      <c r="BE3" s="541">
        <f>IF(BD3&gt;0,ROUNDDOWN(BE$15/$Y3,0),0)</f>
        <v>0</v>
      </c>
      <c r="BF3" s="541">
        <f t="shared" ref="BF3:BF11" si="5">BE3+BC3</f>
        <v>0</v>
      </c>
      <c r="BG3" s="541">
        <f>BA3-BF3</f>
        <v>0</v>
      </c>
      <c r="BH3" s="541">
        <f>BG3*$Y3</f>
        <v>0</v>
      </c>
      <c r="BM3" s="121"/>
      <c r="BN3" s="121"/>
    </row>
    <row r="4" spans="1:66" ht="19.5" customHeight="1" x14ac:dyDescent="0.25">
      <c r="B4" s="234" t="s">
        <v>817</v>
      </c>
      <c r="C4" s="214"/>
      <c r="D4" s="215"/>
      <c r="E4" s="1034"/>
      <c r="F4" s="1034"/>
      <c r="G4" s="1034"/>
      <c r="H4" s="1034"/>
      <c r="I4" s="1034"/>
      <c r="J4" s="1034"/>
      <c r="K4" s="1034"/>
      <c r="L4" s="216"/>
      <c r="M4" s="216"/>
      <c r="N4" s="217"/>
      <c r="O4" s="218"/>
      <c r="P4" s="848"/>
      <c r="Q4" s="845" t="s">
        <v>1141</v>
      </c>
      <c r="R4" s="849">
        <f>AA15</f>
        <v>0</v>
      </c>
      <c r="S4" s="541"/>
      <c r="T4" s="541"/>
      <c r="U4" s="845" t="s">
        <v>1161</v>
      </c>
      <c r="V4" s="845" t="str">
        <f>IF(ROUNDDOWN(V3/Y3,0)=0,0,IF(ROUNDDOWN(V3/Y11,0)=0,"up to ",ROUNDDOWN(V3/Y11,0)&amp;" - ")&amp;ROUNDDOWN(V3/Y3,0))</f>
        <v>3 - 7</v>
      </c>
      <c r="W4" s="541"/>
      <c r="X4" s="847" t="s">
        <v>1138</v>
      </c>
      <c r="Y4" s="541">
        <v>30</v>
      </c>
      <c r="Z4" s="843">
        <f>SUMIFS(W$23:W$1241,U$23:U$1241,Y4)</f>
        <v>0</v>
      </c>
      <c r="AA4" s="541">
        <f t="shared" si="0"/>
        <v>0</v>
      </c>
      <c r="AB4" s="843">
        <f>AB5+Z4-AA5</f>
        <v>0</v>
      </c>
      <c r="AC4" s="541">
        <f>Y4*AA4</f>
        <v>0</v>
      </c>
      <c r="AD4" s="541">
        <f>IF(SUM(AD5:AD$11)=0,IF(AC4&gt;0,Y4,0),0)</f>
        <v>0</v>
      </c>
      <c r="AE4" s="541">
        <f>IF((IF(SUM(AE5:AE$11)=0,IF(AA4&gt;0,1,0),0)+IF(SUM(AC$3:AC4)&lt;AE$15,AA4,0))&gt;AA4,AA4,IF(SUM(AE5:AE$11)=0,IF(AA4&gt;0,1,0),0)+IF(SUM(AC$3:AC4)&lt;AE$15,AA4,0))</f>
        <v>0</v>
      </c>
      <c r="AF4" s="541">
        <f t="shared" si="1"/>
        <v>0</v>
      </c>
      <c r="AG4" s="541">
        <f>IF(SUM(AG$3:AG3)&gt;0,0,IF(AF4&gt;0,ROUNDDOWN(AG$15/Y4,0),0))</f>
        <v>0</v>
      </c>
      <c r="AH4" s="541">
        <f t="shared" ref="AH4:AH11" si="6">AG4+AE4</f>
        <v>0</v>
      </c>
      <c r="AI4" s="748">
        <f t="shared" si="2"/>
        <v>0</v>
      </c>
      <c r="AJ4" s="541">
        <f>IF(AH3&gt;0,IF(AH3=0,0,5),0)</f>
        <v>0</v>
      </c>
      <c r="AK4" s="541" t="str">
        <f>IF(AI4&gt;0,AJ4,"")</f>
        <v/>
      </c>
      <c r="AL4" s="541">
        <f>IF(AI$16&gt;0,-IF(OR(COUNTIF(AL$3:AL3,"&lt;0")&gt;0,AH$17=0),0,IF(AH4&gt;0,1,0)),0)</f>
        <v>0</v>
      </c>
      <c r="AM4" s="541">
        <f>IF(AND(SUM(AM5:AM$11)=0,AH$17&gt;0,AI$16&gt;0),IF(AH$17+1&gt;AK4,1,0),0)</f>
        <v>0</v>
      </c>
      <c r="AN4" s="541">
        <f t="shared" ref="AN4:AN11" si="7">AH4+AL4+AM4</f>
        <v>0</v>
      </c>
      <c r="AO4" s="541">
        <f t="shared" si="3"/>
        <v>0</v>
      </c>
      <c r="AP4" s="541">
        <f t="shared" si="4"/>
        <v>0</v>
      </c>
      <c r="AQ4" s="541">
        <f>IF(AP$15&lt;AQ$15,AO4,IF(SUM(AQ5:AQ$11)=0,IF(AO4&gt;0,1,0),0)+IF(SUM(AP$3:AP4)&lt;AQ$15,AO4-IF(AND(SUM(AQ5:AQ$11)=0,AO4&gt;0),1,0),0))</f>
        <v>0</v>
      </c>
      <c r="AR4" s="541">
        <f t="shared" ref="AR4:AR11" si="8">AO4-AQ4</f>
        <v>0</v>
      </c>
      <c r="AS4" s="541">
        <f>IF(SUM(AS$3:AS3)&gt;0,0,IF(AR4&gt;0,ROUNDDOWN(AS$15/$Y4,0),0))</f>
        <v>0</v>
      </c>
      <c r="AT4" s="541">
        <f t="shared" ref="AT4:AT10" si="9">AS4+AQ4</f>
        <v>0</v>
      </c>
      <c r="AU4" s="541">
        <f t="shared" ref="AU4:AU11" si="10">AO4-AT4</f>
        <v>0</v>
      </c>
      <c r="AV4" s="541">
        <f>IF(AT3&gt;0,IF(AT3=0,0,5),0)</f>
        <v>0</v>
      </c>
      <c r="AW4" s="541" t="str">
        <f>IF(AU4&gt;0,AV4,"")</f>
        <v/>
      </c>
      <c r="AX4" s="541">
        <f>IF(AU$16&gt;0,-IF(OR(COUNTIF(AX$3:AX3,"&lt;0")&gt;0,AT$17=0),0,IF(AT4&gt;0,1,0)),0)</f>
        <v>0</v>
      </c>
      <c r="AY4" s="541">
        <f>IF(AND(SUM(AY5:AY$11)=0,AT$17&gt;0,AU$16&gt;0),IF(AT$17+1&gt;AW4,1,0),0)</f>
        <v>0</v>
      </c>
      <c r="AZ4" s="541">
        <f t="shared" ref="AZ4:AZ11" si="11">AT4+AX4+AY4</f>
        <v>0</v>
      </c>
      <c r="BA4" s="541">
        <f>AO4-AZ4</f>
        <v>0</v>
      </c>
      <c r="BB4" s="541">
        <f t="shared" ref="BB4:BB11" si="12">BA4*$Y4</f>
        <v>0</v>
      </c>
      <c r="BC4" s="541">
        <f>IF(BB$15&lt;BC$15,BA4,IF(SUM(BC5:BC$11)=0,IF(BA4&gt;0,1,0),0)+IF(SUM(BB$3:BB4)&lt;BC$15,BA4-IF(AND(SUM(BC5:BC$11)=0,BA4&gt;0),1,0),0))</f>
        <v>0</v>
      </c>
      <c r="BD4" s="541">
        <f t="shared" ref="BD4:BD11" si="13">BA4-BC4</f>
        <v>0</v>
      </c>
      <c r="BE4" s="541">
        <f>IF(SUM(BE$3:BE3)&gt;0,0,IF(BD4&gt;0,ROUNDDOWN(BE$15/$Y4,0),0))</f>
        <v>0</v>
      </c>
      <c r="BF4" s="541">
        <f t="shared" si="5"/>
        <v>0</v>
      </c>
      <c r="BG4" s="541">
        <f t="shared" ref="BG4:BG11" si="14">BA4-BF4</f>
        <v>0</v>
      </c>
      <c r="BH4" s="541">
        <f t="shared" ref="BH4:BH11" si="15">BG4*$Y4</f>
        <v>0</v>
      </c>
      <c r="BM4" s="121"/>
      <c r="BN4" s="121"/>
    </row>
    <row r="5" spans="1:66" ht="20.25" x14ac:dyDescent="0.25">
      <c r="B5" s="234" t="s">
        <v>818</v>
      </c>
      <c r="C5" s="219"/>
      <c r="D5" s="220"/>
      <c r="E5" s="1042"/>
      <c r="F5" s="1042"/>
      <c r="G5" s="1042"/>
      <c r="H5" s="237" t="s">
        <v>819</v>
      </c>
      <c r="I5" s="1035"/>
      <c r="J5" s="1035"/>
      <c r="K5" s="1035"/>
      <c r="L5" s="1035"/>
      <c r="M5" s="1035"/>
      <c r="N5" s="1035"/>
      <c r="O5" s="1035"/>
      <c r="P5" s="848"/>
      <c r="Q5" s="845"/>
      <c r="R5" s="850"/>
      <c r="S5" s="541"/>
      <c r="T5" s="541">
        <f>IF(BF16&gt;0,BF16,IF(AZ16&gt;0,AZ16,AN16))</f>
        <v>0</v>
      </c>
      <c r="U5" s="541"/>
      <c r="V5" s="851">
        <f>ROUNDDOWN(IF(BF16&gt;0,BF17,IF(AZ16&gt;0,AZ17,AN17))/25,0)</f>
        <v>7</v>
      </c>
      <c r="W5" s="541"/>
      <c r="X5" s="847" t="s">
        <v>1139</v>
      </c>
      <c r="Y5" s="541">
        <v>35</v>
      </c>
      <c r="Z5" s="843">
        <f>SUMIFS(W$23:W$1241,U$23:U$1241,Y5)</f>
        <v>0</v>
      </c>
      <c r="AA5" s="541">
        <f>IF(AB5&gt;0.001,ROUNDUP(AB5,0),0)</f>
        <v>0</v>
      </c>
      <c r="AB5" s="843">
        <f>AB6+Z5-AA6</f>
        <v>0</v>
      </c>
      <c r="AC5" s="541">
        <f>Y5*AA5</f>
        <v>0</v>
      </c>
      <c r="AD5" s="541">
        <f>IF(SUM(AD6:AD$11)=0,IF(AC5&gt;0,Y5,0),0)</f>
        <v>0</v>
      </c>
      <c r="AE5" s="541">
        <f>IF((IF(SUM(AE6:AE$11)=0,IF(AA5&gt;0,1,0),0)+IF(SUM(AC$3:AC5)&lt;AE$15,AA5,0))&gt;AA5,AA5,IF(SUM(AE6:AE$11)=0,IF(AA5&gt;0,1,0),0)+IF(SUM(AC$3:AC5)&lt;AE$15,AA5,0))</f>
        <v>0</v>
      </c>
      <c r="AF5" s="541">
        <f t="shared" si="1"/>
        <v>0</v>
      </c>
      <c r="AG5" s="541">
        <f>IF(SUM(AG$3:AG4)&gt;0,0,IF(AF5&gt;0,ROUNDDOWN(AG$15/Y5,0),0))</f>
        <v>0</v>
      </c>
      <c r="AH5" s="541">
        <f t="shared" si="6"/>
        <v>0</v>
      </c>
      <c r="AI5" s="748">
        <f t="shared" si="2"/>
        <v>0</v>
      </c>
      <c r="AJ5" s="541">
        <f>IF(SUM(AH$3:AH4)&gt;0,AJ4+5,0)</f>
        <v>0</v>
      </c>
      <c r="AK5" s="541" t="str">
        <f>IF(AI5&gt;0,AJ5,"")</f>
        <v/>
      </c>
      <c r="AL5" s="541">
        <f>IF(AI$16&gt;0,-IF(OR(COUNTIF(AL$3:AL4,"&lt;0")&gt;0,AH$17=0),0,IF(AH5&gt;0,1,0)),0)</f>
        <v>0</v>
      </c>
      <c r="AM5" s="541">
        <f>IF(AND(SUM(AM6:AM$11)=0,AH$17&gt;0,AI$16&gt;0),IF(AH$17+1&gt;AK5,1,0),0)</f>
        <v>0</v>
      </c>
      <c r="AN5" s="541">
        <f t="shared" si="7"/>
        <v>0</v>
      </c>
      <c r="AO5" s="541">
        <f t="shared" si="3"/>
        <v>0</v>
      </c>
      <c r="AP5" s="541">
        <f t="shared" si="4"/>
        <v>0</v>
      </c>
      <c r="AQ5" s="541">
        <f>IF(AP$15&lt;AQ$15,AO5,IF(SUM(AQ6:AQ$11)=0,IF(AO5&gt;0,1,0),0)+IF(SUM(AP$3:AP5)&lt;AQ$15,AO5-IF(AND(SUM(AQ6:AQ$11)=0,AO5&gt;0),1,0),0))</f>
        <v>0</v>
      </c>
      <c r="AR5" s="541">
        <f t="shared" si="8"/>
        <v>0</v>
      </c>
      <c r="AS5" s="541">
        <f>IF(SUM(AS$3:AS4)&gt;0,0,IF(AR5&gt;0,ROUNDDOWN(AS$15/$Y5,0),0))</f>
        <v>0</v>
      </c>
      <c r="AT5" s="541">
        <f t="shared" si="9"/>
        <v>0</v>
      </c>
      <c r="AU5" s="541">
        <f t="shared" si="10"/>
        <v>0</v>
      </c>
      <c r="AV5" s="541">
        <f>IF(SUM(AT$3:AT4)&gt;0,AV4+5,0)</f>
        <v>0</v>
      </c>
      <c r="AW5" s="541" t="str">
        <f t="shared" ref="AW5:AW11" si="16">IF(AU5&gt;0,AV5,"")</f>
        <v/>
      </c>
      <c r="AX5" s="541">
        <f>IF(AU$16&gt;0,-IF(OR(COUNTIF(AX$3:AX4,"&lt;0")&gt;0,AT$17=0),0,IF(AT5&gt;0,1,0)),0)</f>
        <v>0</v>
      </c>
      <c r="AY5" s="541">
        <f>IF(AND(SUM(AY6:AY$11)=0,AT$17&gt;0,AU$16&gt;0),IF(AT$17+1&gt;AW5,1,0),0)</f>
        <v>0</v>
      </c>
      <c r="AZ5" s="541">
        <f t="shared" si="11"/>
        <v>0</v>
      </c>
      <c r="BA5" s="541">
        <f t="shared" ref="BA5:BA11" si="17">AO5-AZ5</f>
        <v>0</v>
      </c>
      <c r="BB5" s="541">
        <f t="shared" si="12"/>
        <v>0</v>
      </c>
      <c r="BC5" s="541">
        <f>IF(BB$15&lt;BC$15,BA5,IF(SUM(BC6:BC$11)=0,IF(BA5&gt;0,1,0),0)+IF(SUM(BB$3:BB5)&lt;BC$15,BA5-IF(AND(SUM(BC6:BC$11)=0,BA5&gt;0),1,0),0))</f>
        <v>0</v>
      </c>
      <c r="BD5" s="541">
        <f t="shared" si="13"/>
        <v>0</v>
      </c>
      <c r="BE5" s="541">
        <f>IF(SUM(BE$3:BE4)&gt;0,0,IF(BD5&gt;0,ROUNDDOWN(BE$15/$Y5,0),0))</f>
        <v>0</v>
      </c>
      <c r="BF5" s="541">
        <f t="shared" si="5"/>
        <v>0</v>
      </c>
      <c r="BG5" s="541">
        <f t="shared" si="14"/>
        <v>0</v>
      </c>
      <c r="BH5" s="541">
        <f t="shared" si="15"/>
        <v>0</v>
      </c>
      <c r="BM5" s="121"/>
      <c r="BN5" s="121"/>
    </row>
    <row r="6" spans="1:66" x14ac:dyDescent="0.25">
      <c r="A6" s="196"/>
      <c r="B6" s="1036" t="s">
        <v>1449</v>
      </c>
      <c r="C6" s="1036"/>
      <c r="D6" s="1036"/>
      <c r="E6" s="222"/>
      <c r="F6" s="222"/>
      <c r="G6" s="221" t="s">
        <v>1448</v>
      </c>
      <c r="H6" s="221"/>
      <c r="I6" s="222"/>
      <c r="J6" s="223"/>
      <c r="K6" s="222"/>
      <c r="L6" s="222"/>
      <c r="M6" s="222"/>
      <c r="N6" s="222"/>
      <c r="O6" s="224" t="s">
        <v>1092</v>
      </c>
      <c r="P6" s="852"/>
      <c r="Q6" s="853">
        <f>IF(R3=1,ROUND((V9+V10)*100,0),100)</f>
        <v>0</v>
      </c>
      <c r="R6" s="845"/>
      <c r="S6" s="541"/>
      <c r="T6" s="541">
        <f>AB2/-1</f>
        <v>0</v>
      </c>
      <c r="U6" s="541"/>
      <c r="V6" s="541">
        <f>IF(SUM(BF3:BF11)&gt;0,SUM(BF3:BF11),IF(SUM(AZ3:AZ11)&gt;0,SUM(AZ3:AZ11),SUM(AN3:AN11)))</f>
        <v>0</v>
      </c>
      <c r="W6" s="541"/>
      <c r="X6" s="847" t="s">
        <v>1139</v>
      </c>
      <c r="Y6" s="541">
        <v>40</v>
      </c>
      <c r="Z6" s="843">
        <f>SUMIFS(W$23:W$1241,U$23:U$1241,Y6)</f>
        <v>0</v>
      </c>
      <c r="AA6" s="541">
        <f t="shared" ref="AA6:AA7" si="18">IF(AB6&gt;0.001,ROUNDUP(AB6,0),0)</f>
        <v>0</v>
      </c>
      <c r="AB6" s="843">
        <f t="shared" ref="AB6" si="19">AB7+Z6-AA7</f>
        <v>0</v>
      </c>
      <c r="AC6" s="541">
        <f>Y6*AA6</f>
        <v>0</v>
      </c>
      <c r="AD6" s="541">
        <f>IF(SUM(AD7:AD$11)=0,IF(AC6&gt;0,Y6,0),0)</f>
        <v>0</v>
      </c>
      <c r="AE6" s="541">
        <f>IF((IF(SUM(AE7:AE$11)=0,IF(AA6&gt;0,1,0),0)+IF(SUM(AC$3:AC6)&lt;AE$15,AA6,0))&gt;AA6,AA6,IF(SUM(AE7:AE$11)=0,IF(AA6&gt;0,1,0),0)+IF(SUM(AC$3:AC6)&lt;AE$15,AA6,0))</f>
        <v>0</v>
      </c>
      <c r="AF6" s="541">
        <f t="shared" si="1"/>
        <v>0</v>
      </c>
      <c r="AG6" s="541">
        <f>IF(SUM(AG$3:AG5)&gt;0,0,IF(AF6&gt;0,ROUNDDOWN(AG$15/Y6,0),0))</f>
        <v>0</v>
      </c>
      <c r="AH6" s="541">
        <f t="shared" si="6"/>
        <v>0</v>
      </c>
      <c r="AI6" s="748">
        <f t="shared" si="2"/>
        <v>0</v>
      </c>
      <c r="AJ6" s="541">
        <f>IF(SUM(AH$3:AH5)&gt;0,AJ5+5,0)</f>
        <v>0</v>
      </c>
      <c r="AK6" s="541" t="str">
        <f t="shared" ref="AK6:AK11" si="20">IF(AI6&gt;0,AJ6,"")</f>
        <v/>
      </c>
      <c r="AL6" s="541">
        <f>IF(AI$16&gt;0,-IF(OR(COUNTIF(AL$3:AL5,"&lt;0")&gt;0,AH$17=0),0,IF(AH6&gt;0,1,0)),0)</f>
        <v>0</v>
      </c>
      <c r="AM6" s="541">
        <f>IF(AND(SUM(AM7:AM$11)=0,AH$17&gt;0,AI$16&gt;0),IF(AH$17+1&gt;AK6,1,0),0)</f>
        <v>0</v>
      </c>
      <c r="AN6" s="541">
        <f t="shared" si="7"/>
        <v>0</v>
      </c>
      <c r="AO6" s="541">
        <f t="shared" si="3"/>
        <v>0</v>
      </c>
      <c r="AP6" s="541">
        <f t="shared" si="4"/>
        <v>0</v>
      </c>
      <c r="AQ6" s="541">
        <f>IF(AP$15&lt;AQ$15,AO6,IF(SUM(AQ7:AQ$11)=0,IF(AO6&gt;0,1,0),0)+IF(SUM(AP$3:AP6)&lt;AQ$15,AO6-IF(AND(SUM(AQ7:AQ$11)=0,AO6&gt;0),1,0),0))</f>
        <v>0</v>
      </c>
      <c r="AR6" s="541">
        <f t="shared" si="8"/>
        <v>0</v>
      </c>
      <c r="AS6" s="541">
        <f>IF(SUM(AS$3:AS5)&gt;0,0,IF(AR6&gt;0,ROUNDDOWN(AS$15/$Y6,0),0))</f>
        <v>0</v>
      </c>
      <c r="AT6" s="541">
        <f t="shared" si="9"/>
        <v>0</v>
      </c>
      <c r="AU6" s="541">
        <f t="shared" si="10"/>
        <v>0</v>
      </c>
      <c r="AV6" s="541">
        <f>IF(SUM(AT$3:AT5)&gt;0,AV5+5,0)</f>
        <v>0</v>
      </c>
      <c r="AW6" s="541" t="str">
        <f t="shared" si="16"/>
        <v/>
      </c>
      <c r="AX6" s="541">
        <f>IF(AU$16&gt;0,-IF(OR(COUNTIF(AX$3:AX5,"&lt;0")&gt;0,AT$17=0),0,IF(AT6&gt;0,1,0)),0)</f>
        <v>0</v>
      </c>
      <c r="AY6" s="541">
        <f>IF(AND(SUM(AY7:AY$11)=0,AT$17&gt;0,AU$16&gt;0),IF(AT$17+1&gt;AW6,1,0),0)</f>
        <v>0</v>
      </c>
      <c r="AZ6" s="541">
        <f t="shared" si="11"/>
        <v>0</v>
      </c>
      <c r="BA6" s="541">
        <f t="shared" si="17"/>
        <v>0</v>
      </c>
      <c r="BB6" s="541">
        <f>BA6*$Y6</f>
        <v>0</v>
      </c>
      <c r="BC6" s="541">
        <f>IF(BB$15&lt;BC$15,BA6,IF(SUM(BC7:BC$11)=0,IF(BA6&gt;0,1,0),0)+IF(SUM(BB$3:BB6)&lt;BC$15,BA6-IF(AND(SUM(BC7:BC$11)=0,BA6&gt;0),1,0),0))</f>
        <v>0</v>
      </c>
      <c r="BD6" s="541">
        <f t="shared" si="13"/>
        <v>0</v>
      </c>
      <c r="BE6" s="541">
        <f>IF(SUM(BE$3:BE5)&gt;0,0,IF(BD6&gt;0,ROUNDDOWN(BE$15/$Y6,0),0))</f>
        <v>0</v>
      </c>
      <c r="BF6" s="541">
        <f t="shared" si="5"/>
        <v>0</v>
      </c>
      <c r="BG6" s="541">
        <f t="shared" si="14"/>
        <v>0</v>
      </c>
      <c r="BH6" s="541">
        <f t="shared" si="15"/>
        <v>0</v>
      </c>
      <c r="BM6" s="121"/>
      <c r="BN6" s="121"/>
    </row>
    <row r="7" spans="1:66" ht="12" customHeight="1" x14ac:dyDescent="0.25">
      <c r="B7" s="225"/>
      <c r="C7" s="226"/>
      <c r="D7" s="225" t="s">
        <v>821</v>
      </c>
      <c r="E7" s="226"/>
      <c r="F7" s="226"/>
      <c r="G7" s="226"/>
      <c r="H7" s="226"/>
      <c r="I7" s="226"/>
      <c r="J7" s="227"/>
      <c r="K7" s="226"/>
      <c r="L7" s="226"/>
      <c r="M7" s="226"/>
      <c r="N7" s="226"/>
      <c r="O7" s="226"/>
      <c r="P7" s="854"/>
      <c r="Q7" s="541">
        <f>IF(R3&gt;1,ROUND((V9+V10)*100,0),0)</f>
        <v>0</v>
      </c>
      <c r="R7" s="541"/>
      <c r="S7" s="541"/>
      <c r="T7" s="541"/>
      <c r="U7" s="541"/>
      <c r="V7" s="855">
        <f>V5+V6</f>
        <v>7</v>
      </c>
      <c r="W7" s="541"/>
      <c r="X7" s="847" t="s">
        <v>1139</v>
      </c>
      <c r="Y7" s="541">
        <v>45</v>
      </c>
      <c r="Z7" s="843">
        <f>SUMIFS(W$23:W$1241,U$23:U$1241,Y7)</f>
        <v>0</v>
      </c>
      <c r="AA7" s="541">
        <f t="shared" si="18"/>
        <v>0</v>
      </c>
      <c r="AB7" s="843">
        <f>AB9+Z7-AA9</f>
        <v>0</v>
      </c>
      <c r="AC7" s="541">
        <f>Y7*AA7</f>
        <v>0</v>
      </c>
      <c r="AD7" s="541">
        <f>IF(SUM(AD9:AD$11)=0,IF(AC7&gt;0,Y7,0),0)</f>
        <v>0</v>
      </c>
      <c r="AE7" s="541">
        <f>IF((IF(SUM(AE9:AE$11)=0,IF(AA7&gt;0,1,0),0)+IF(SUM(AC$3:AC7)&lt;AE$15,AA7,0))&gt;AA7,AA7,IF(SUM(AE9:AE$11)=0,IF(AA7&gt;0,1,0),0)+IF(SUM(AC$3:AC7)&lt;AE$15,AA7,0))</f>
        <v>0</v>
      </c>
      <c r="AF7" s="541">
        <f t="shared" si="1"/>
        <v>0</v>
      </c>
      <c r="AG7" s="541">
        <f>IF(SUM(AG$3:AG6)&gt;0,0,IF(AF7&gt;0,ROUNDDOWN(AG$15/Y7,0),0))</f>
        <v>0</v>
      </c>
      <c r="AH7" s="541">
        <f t="shared" si="6"/>
        <v>0</v>
      </c>
      <c r="AI7" s="748">
        <f t="shared" si="2"/>
        <v>0</v>
      </c>
      <c r="AJ7" s="541">
        <f>IF(SUM(AH$3:AH6)&gt;0,AJ6+5,0)</f>
        <v>0</v>
      </c>
      <c r="AK7" s="541" t="str">
        <f t="shared" si="20"/>
        <v/>
      </c>
      <c r="AL7" s="541">
        <f>IF(AI$16&gt;0,-IF(OR(COUNTIF(AL$3:AL6,"&lt;0")&gt;0,AH$17=0),0,IF(AH7&gt;0,1,0)),0)</f>
        <v>0</v>
      </c>
      <c r="AM7" s="541">
        <f>IF(AND(SUM(AM9:AM$11)=0,AH$17&gt;0,AI$16&gt;0),IF(AH$17+1&gt;AK7,1,0),0)</f>
        <v>0</v>
      </c>
      <c r="AN7" s="541">
        <f t="shared" si="7"/>
        <v>0</v>
      </c>
      <c r="AO7" s="541">
        <f t="shared" si="3"/>
        <v>0</v>
      </c>
      <c r="AP7" s="541">
        <f t="shared" si="4"/>
        <v>0</v>
      </c>
      <c r="AQ7" s="541">
        <f>IF(AP$15&lt;AQ$15,AO7,IF(SUM(AQ9:AQ$11)=0,IF(AO7&gt;0,1,0),0)+IF(SUM(AP$3:AP7)&lt;AQ$15,AO7-IF(AND(SUM(AQ9:AQ$11)=0,AO7&gt;0),1,0),0))</f>
        <v>0</v>
      </c>
      <c r="AR7" s="541">
        <f t="shared" si="8"/>
        <v>0</v>
      </c>
      <c r="AS7" s="541">
        <f>IF(SUM(AS$3:AS6)&gt;0,0,IF(AR7&gt;0,ROUNDDOWN(AS$15/$Y7,0),0))</f>
        <v>0</v>
      </c>
      <c r="AT7" s="541">
        <f t="shared" si="9"/>
        <v>0</v>
      </c>
      <c r="AU7" s="541">
        <f t="shared" si="10"/>
        <v>0</v>
      </c>
      <c r="AV7" s="541">
        <f>IF(SUM(AT$3:AT6)&gt;0,AV6+5,0)</f>
        <v>0</v>
      </c>
      <c r="AW7" s="541" t="str">
        <f t="shared" si="16"/>
        <v/>
      </c>
      <c r="AX7" s="541">
        <f>IF(AU$16&gt;0,-IF(OR(COUNTIF(AX$3:AX6,"&lt;0")&gt;0,AT$17=0),0,IF(AT7&gt;0,1,0)),0)</f>
        <v>0</v>
      </c>
      <c r="AY7" s="541">
        <f>IF(AND(SUM(AY9:AY$11)=0,AT$17&gt;0,AU$16&gt;0),IF(AT$17+1&gt;AW7,1,0),0)</f>
        <v>0</v>
      </c>
      <c r="AZ7" s="541">
        <f t="shared" si="11"/>
        <v>0</v>
      </c>
      <c r="BA7" s="541">
        <f t="shared" si="17"/>
        <v>0</v>
      </c>
      <c r="BB7" s="541">
        <f t="shared" si="12"/>
        <v>0</v>
      </c>
      <c r="BC7" s="541">
        <f>IF(BB$15&lt;BC$15,BA7,IF(SUM(BC9:BC$11)=0,IF(BA7&gt;0,1,0),0)+IF(SUM(BB$3:BB7)&lt;BC$15,BA7-IF(AND(SUM(BC9:BC$11)=0,BA7&gt;0),1,0),0))</f>
        <v>0</v>
      </c>
      <c r="BD7" s="541">
        <f t="shared" si="13"/>
        <v>0</v>
      </c>
      <c r="BE7" s="541">
        <f>IF(SUM(BE$3:BE6)&gt;0,0,IF(BD7&gt;0,ROUNDDOWN(BE$15/$Y7,0),0))</f>
        <v>0</v>
      </c>
      <c r="BF7" s="541">
        <f t="shared" si="5"/>
        <v>0</v>
      </c>
      <c r="BG7" s="541">
        <f t="shared" si="14"/>
        <v>0</v>
      </c>
      <c r="BH7" s="541">
        <f t="shared" si="15"/>
        <v>0</v>
      </c>
      <c r="BM7" s="121"/>
      <c r="BN7" s="121"/>
    </row>
    <row r="8" spans="1:66" ht="8.25" customHeight="1" x14ac:dyDescent="0.25">
      <c r="B8" s="225"/>
      <c r="C8" s="226"/>
      <c r="D8" s="225"/>
      <c r="E8" s="226"/>
      <c r="F8" s="226"/>
      <c r="G8" s="226"/>
      <c r="H8" s="226"/>
      <c r="I8" s="226"/>
      <c r="J8" s="227"/>
      <c r="K8" s="226"/>
      <c r="L8" s="226"/>
      <c r="M8" s="226"/>
      <c r="N8" s="226"/>
      <c r="O8" s="226"/>
      <c r="P8" s="854"/>
      <c r="Q8" s="541">
        <f>ROUND((V9+V10)*100,0)</f>
        <v>0</v>
      </c>
      <c r="R8" s="541"/>
      <c r="S8" s="541"/>
      <c r="T8" s="541"/>
      <c r="U8" s="541"/>
      <c r="V8" s="855"/>
      <c r="W8" s="541"/>
      <c r="X8" s="847"/>
      <c r="Y8" s="541"/>
      <c r="Z8" s="843"/>
      <c r="AA8" s="541"/>
      <c r="AB8" s="843"/>
      <c r="AC8" s="541"/>
      <c r="AD8" s="541"/>
      <c r="AE8" s="541"/>
      <c r="AF8" s="541"/>
      <c r="AG8" s="541"/>
      <c r="AH8" s="541"/>
      <c r="AI8" s="748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M8" s="121"/>
      <c r="BN8" s="121"/>
    </row>
    <row r="9" spans="1:66" ht="15" customHeight="1" x14ac:dyDescent="0.25">
      <c r="B9" s="228"/>
      <c r="C9" s="229" t="s">
        <v>1120</v>
      </c>
      <c r="D9" s="230"/>
      <c r="E9" s="230"/>
      <c r="F9" s="230"/>
      <c r="G9" s="230"/>
      <c r="H9" s="230"/>
      <c r="I9" s="230"/>
      <c r="J9" s="227"/>
      <c r="K9" s="230"/>
      <c r="L9" s="230"/>
      <c r="M9" s="230"/>
      <c r="N9" s="230"/>
      <c r="O9" s="230"/>
      <c r="P9" s="856"/>
      <c r="Q9" s="541" t="str">
        <f>"s 1 - "&amp;R3-1</f>
        <v>s 1 - 0</v>
      </c>
      <c r="R9" s="541"/>
      <c r="S9" s="541"/>
      <c r="T9" s="541"/>
      <c r="U9" s="541"/>
      <c r="V9" s="857">
        <f>(V6-1)/V7</f>
        <v>-0.14285714285714285</v>
      </c>
      <c r="W9" s="541"/>
      <c r="X9" s="847" t="s">
        <v>1140</v>
      </c>
      <c r="Y9" s="541">
        <v>50</v>
      </c>
      <c r="Z9" s="843">
        <f>SUMIFS(W$23:W$1241,U$23:U$1241,Y9)</f>
        <v>0</v>
      </c>
      <c r="AA9" s="541">
        <f>IF(AB9&gt;0.001,ROUNDUP(AB9,0),0)</f>
        <v>0</v>
      </c>
      <c r="AB9" s="843">
        <f>AB10+Z9-AA10</f>
        <v>0</v>
      </c>
      <c r="AC9" s="541">
        <f>Y9*AA9</f>
        <v>0</v>
      </c>
      <c r="AD9" s="541">
        <f>IF(SUM(AD10:AD$11)=0,IF(AC9&gt;0,Y9,0),0)</f>
        <v>0</v>
      </c>
      <c r="AE9" s="541">
        <f>IF((IF(SUM(AE10:AE$11)=0,IF(AA9&gt;0,1,0),0)+IF(SUM(AC$3:AC9)&lt;AE$15,AA9,0))&gt;AA9,AA9,IF(SUM(AE10:AE$11)=0,IF(AA9&gt;0,1,0),0)+IF(SUM(AC$3:AC9)&lt;AE$15,AA9,0))</f>
        <v>0</v>
      </c>
      <c r="AF9" s="541">
        <f t="shared" si="1"/>
        <v>0</v>
      </c>
      <c r="AG9" s="541">
        <f>IF(SUM(AG$3:AG7)&gt;0,0,IF(AF9&gt;0,ROUNDDOWN(AG$15/Y9,0),0))</f>
        <v>0</v>
      </c>
      <c r="AH9" s="541">
        <f t="shared" si="6"/>
        <v>0</v>
      </c>
      <c r="AI9" s="748">
        <f t="shared" si="2"/>
        <v>0</v>
      </c>
      <c r="AJ9" s="541">
        <f>IF(SUM(AH$3:AH7)&gt;0,AJ7+5,0)</f>
        <v>0</v>
      </c>
      <c r="AK9" s="541" t="str">
        <f t="shared" si="20"/>
        <v/>
      </c>
      <c r="AL9" s="541">
        <f>IF(AI$16&gt;0,-IF(OR(COUNTIF(AL$3:AL7,"&lt;0")&gt;0,AH$17=0),0,IF(AH9&gt;0,1,0)),0)</f>
        <v>0</v>
      </c>
      <c r="AM9" s="541">
        <f>IF(AND(SUM(AM10:AM$11)=0,AH$17&gt;0,AI$16&gt;0),IF(AH$17+1&gt;AK9,1,0),0)</f>
        <v>0</v>
      </c>
      <c r="AN9" s="541">
        <f t="shared" si="7"/>
        <v>0</v>
      </c>
      <c r="AO9" s="541">
        <f t="shared" si="3"/>
        <v>0</v>
      </c>
      <c r="AP9" s="541">
        <f t="shared" si="4"/>
        <v>0</v>
      </c>
      <c r="AQ9" s="541">
        <f>IF(AP$15&lt;AQ$15,AO9,IF(SUM(AQ10:AQ$11)=0,IF(AO9&gt;0,1,0),0)+IF(SUM(AP$3:AP9)&lt;AQ$15,AO9-IF(AND(SUM(AQ10:AQ$11)=0,AO9&gt;0),1,0),0))</f>
        <v>0</v>
      </c>
      <c r="AR9" s="541">
        <f t="shared" si="8"/>
        <v>0</v>
      </c>
      <c r="AS9" s="541">
        <f>IF(SUM(AS$3:AS7)&gt;0,0,IF(AR9&gt;0,ROUNDDOWN(AS$15/$Y9,0),0))</f>
        <v>0</v>
      </c>
      <c r="AT9" s="541">
        <f t="shared" si="9"/>
        <v>0</v>
      </c>
      <c r="AU9" s="541">
        <f t="shared" si="10"/>
        <v>0</v>
      </c>
      <c r="AV9" s="541">
        <f>IF(SUM(AT$3:AT7)&gt;0,AV7+5,0)</f>
        <v>0</v>
      </c>
      <c r="AW9" s="541" t="str">
        <f t="shared" si="16"/>
        <v/>
      </c>
      <c r="AX9" s="541">
        <f>IF(AU$16&gt;0,-IF(OR(COUNTIF(AX$3:AX7,"&lt;0")&gt;0,AT$17=0),0,IF(AT9&gt;0,1,0)),0)</f>
        <v>0</v>
      </c>
      <c r="AY9" s="541">
        <f>IF(AND(SUM(AY10:AY$11)=0,AT$17&gt;0,AU$16&gt;0),IF(AT$17+1&gt;AW9,1,0),0)</f>
        <v>0</v>
      </c>
      <c r="AZ9" s="541">
        <f t="shared" si="11"/>
        <v>0</v>
      </c>
      <c r="BA9" s="541">
        <f t="shared" si="17"/>
        <v>0</v>
      </c>
      <c r="BB9" s="541">
        <f t="shared" si="12"/>
        <v>0</v>
      </c>
      <c r="BC9" s="541">
        <f>IF(BB$15&lt;BC$15,BA9,IF(SUM(BC10:BC$11)=0,IF(BA9&gt;0,1,0),0)+IF(SUM(BB$3:BB9)&lt;BC$15,BA9-IF(AND(SUM(BC10:BC$11)=0,BA9&gt;0),1,0),0))</f>
        <v>0</v>
      </c>
      <c r="BD9" s="541">
        <f t="shared" si="13"/>
        <v>0</v>
      </c>
      <c r="BE9" s="541">
        <f>IF(SUM(BE$3:BE7)&gt;0,0,IF(BD9&gt;0,ROUNDDOWN(BE$15/$Y9,0),0))</f>
        <v>0</v>
      </c>
      <c r="BF9" s="541">
        <f t="shared" si="5"/>
        <v>0</v>
      </c>
      <c r="BG9" s="541">
        <f t="shared" si="14"/>
        <v>0</v>
      </c>
      <c r="BH9" s="541">
        <f t="shared" si="15"/>
        <v>0</v>
      </c>
      <c r="BM9" s="121"/>
      <c r="BN9" s="121"/>
    </row>
    <row r="10" spans="1:66" ht="13.5" customHeight="1" x14ac:dyDescent="0.25">
      <c r="B10" s="54"/>
      <c r="C10" s="54"/>
      <c r="D10" s="235" t="s">
        <v>820</v>
      </c>
      <c r="E10" s="54"/>
      <c r="F10" s="54"/>
      <c r="G10" s="54"/>
      <c r="H10" s="54"/>
      <c r="I10" s="54"/>
      <c r="J10" s="54"/>
      <c r="K10" s="54"/>
      <c r="L10" s="54"/>
      <c r="M10" s="55"/>
      <c r="N10" s="54"/>
      <c r="O10" s="54"/>
      <c r="P10" s="858"/>
      <c r="Q10" s="541"/>
      <c r="R10" s="541"/>
      <c r="S10" s="541"/>
      <c r="T10" s="541"/>
      <c r="U10" s="541"/>
      <c r="V10" s="843">
        <f>(IF(AB2=0,1,IF(AB2&gt;0,AB2-ROUNDDOWN(AB2,0),1-ABS(AB2-ROUNDDOWN(AB2,0)))))/V7</f>
        <v>0.14285714285714285</v>
      </c>
      <c r="W10" s="541"/>
      <c r="X10" s="847" t="s">
        <v>1140</v>
      </c>
      <c r="Y10" s="541">
        <v>55</v>
      </c>
      <c r="Z10" s="843">
        <f>SUMIFS(W$23:W$1241,U$23:U$1241,Y10)</f>
        <v>0</v>
      </c>
      <c r="AA10" s="541">
        <f>IF(AB10&gt;0.001,ROUNDUP(AB10,0),0)</f>
        <v>0</v>
      </c>
      <c r="AB10" s="843">
        <f>AB11+Z10</f>
        <v>0</v>
      </c>
      <c r="AC10" s="541">
        <f t="shared" ref="AC10:AC11" si="21">Y10*AA10</f>
        <v>0</v>
      </c>
      <c r="AD10" s="541">
        <f>IF(AD11=0,IF(AC10&gt;0,Y10,0),0)</f>
        <v>0</v>
      </c>
      <c r="AE10" s="541">
        <f>IF((IF(SUM(AE11:AE$11)=0,IF(AA10&gt;0,1,0),0)+IF(SUM(AC$3:AC10)&lt;AE$15,AA10,0))&gt;AA10,AA10,IF(SUM(AE11:AE$11)=0,IF(AA10&gt;0,1,0),0)+IF(SUM(AC$3:AC10)&lt;AE$15,AA10,0))</f>
        <v>0</v>
      </c>
      <c r="AF10" s="541">
        <f t="shared" si="1"/>
        <v>0</v>
      </c>
      <c r="AG10" s="541">
        <f>IF(SUM(AG$3:AG9)&gt;0,0,IF(AF10&gt;0,ROUNDDOWN(AG$15/Y10,0),0))</f>
        <v>0</v>
      </c>
      <c r="AH10" s="541">
        <f t="shared" si="6"/>
        <v>0</v>
      </c>
      <c r="AI10" s="748">
        <f t="shared" si="2"/>
        <v>0</v>
      </c>
      <c r="AJ10" s="541">
        <f>IF(SUM(AH$3:AH9)&gt;0,AJ9+5,0)</f>
        <v>0</v>
      </c>
      <c r="AK10" s="541" t="str">
        <f t="shared" si="20"/>
        <v/>
      </c>
      <c r="AL10" s="541">
        <f>IF(AI$16&gt;0,-IF(OR(COUNTIF(AL$3:AL9,"&lt;0")&gt;0,AH$17=0),0,IF(AH10&gt;0,1,0)),0)</f>
        <v>0</v>
      </c>
      <c r="AM10" s="541">
        <f>IF(AND(SUM(AM11:AM$11)=0,AH$17&gt;0,AI$16&gt;0),IF(AH$17+1&gt;AK10,1,0),0)</f>
        <v>0</v>
      </c>
      <c r="AN10" s="541">
        <f t="shared" si="7"/>
        <v>0</v>
      </c>
      <c r="AO10" s="541">
        <f t="shared" si="3"/>
        <v>0</v>
      </c>
      <c r="AP10" s="541">
        <f t="shared" si="4"/>
        <v>0</v>
      </c>
      <c r="AQ10" s="541">
        <f>IF(AP$15&lt;AQ$15,AO10,IF(SUM(AQ11:AQ$11)=0,IF(AO10&gt;0,1,0),0)+IF(SUM(AP$3:AP10)&lt;AQ$15,AO10-IF(AND(SUM(AQ11:AQ$11)=0,AO10&gt;0),1,0),0))</f>
        <v>0</v>
      </c>
      <c r="AR10" s="541">
        <f t="shared" si="8"/>
        <v>0</v>
      </c>
      <c r="AS10" s="541">
        <f>IF(SUM(AS$3:AS9)&gt;0,0,IF(AR10&gt;0,ROUNDDOWN(AS$15/$Y10,0),0))</f>
        <v>0</v>
      </c>
      <c r="AT10" s="541">
        <f t="shared" si="9"/>
        <v>0</v>
      </c>
      <c r="AU10" s="541">
        <f t="shared" si="10"/>
        <v>0</v>
      </c>
      <c r="AV10" s="541">
        <f>IF(SUM(AT$3:AT9)&gt;0,AV9+5,0)</f>
        <v>0</v>
      </c>
      <c r="AW10" s="541" t="str">
        <f t="shared" si="16"/>
        <v/>
      </c>
      <c r="AX10" s="541">
        <f>IF(AU$16&gt;0,-IF(OR(COUNTIF(AX$3:AX9,"&lt;0")&gt;0,AT$17=0),0,IF(AT10&gt;0,1,0)),0)</f>
        <v>0</v>
      </c>
      <c r="AY10" s="541">
        <f>IF(AND(SUM(AY11:AY$11)=0,AT$17&gt;0,AU$16&gt;0),IF(AT$17+1&gt;AW10,1,0),0)</f>
        <v>0</v>
      </c>
      <c r="AZ10" s="541">
        <f t="shared" si="11"/>
        <v>0</v>
      </c>
      <c r="BA10" s="541">
        <f t="shared" si="17"/>
        <v>0</v>
      </c>
      <c r="BB10" s="541">
        <f t="shared" si="12"/>
        <v>0</v>
      </c>
      <c r="BC10" s="541">
        <f>IF(BB$15&lt;BC$15,BA10,IF(SUM(BC11:BC$11)=0,IF(BA10&gt;0,1,0),0)+IF(SUM(BB$3:BB10)&lt;BC$15,BA10-IF(AND(SUM(BC11:BC$11)=0,BA10&gt;0),1,0),0))</f>
        <v>0</v>
      </c>
      <c r="BD10" s="541">
        <f t="shared" si="13"/>
        <v>0</v>
      </c>
      <c r="BE10" s="541">
        <f>IF(SUM(BE$3:BE9)&gt;0,0,IF(BD10&gt;0,ROUNDDOWN(BE$15/$Y10,0),0))</f>
        <v>0</v>
      </c>
      <c r="BF10" s="541">
        <f t="shared" si="5"/>
        <v>0</v>
      </c>
      <c r="BG10" s="541">
        <f t="shared" si="14"/>
        <v>0</v>
      </c>
      <c r="BH10" s="541">
        <f t="shared" si="15"/>
        <v>0</v>
      </c>
      <c r="BM10" s="121"/>
      <c r="BN10" s="121"/>
    </row>
    <row r="11" spans="1:66" ht="13.5" customHeight="1" x14ac:dyDescent="0.25">
      <c r="B11" s="231"/>
      <c r="C11" s="231"/>
      <c r="D11" s="236" t="s">
        <v>932</v>
      </c>
      <c r="E11" s="231"/>
      <c r="F11" s="231"/>
      <c r="G11" s="232"/>
      <c r="H11" s="215"/>
      <c r="I11" s="215"/>
      <c r="J11" s="215"/>
      <c r="K11" s="215"/>
      <c r="L11" s="215"/>
      <c r="M11" s="233"/>
      <c r="N11" s="215"/>
      <c r="O11" s="215"/>
      <c r="P11" s="541"/>
      <c r="Q11" s="541"/>
      <c r="R11" s="541"/>
      <c r="S11" s="748"/>
      <c r="T11" s="748"/>
      <c r="U11" s="748"/>
      <c r="V11" s="857">
        <f>IF(R3&gt;1,1,0)/V7</f>
        <v>0</v>
      </c>
      <c r="W11" s="541"/>
      <c r="X11" s="847" t="s">
        <v>1140</v>
      </c>
      <c r="Y11" s="541">
        <v>60</v>
      </c>
      <c r="Z11" s="843">
        <f>SUMIFS(W$23:W$1241,U$23:U$1241,Y11)</f>
        <v>0</v>
      </c>
      <c r="AA11" s="859">
        <f>ROUNDUP(Z11,0)</f>
        <v>0</v>
      </c>
      <c r="AB11" s="843">
        <f>Z11-AA11</f>
        <v>0</v>
      </c>
      <c r="AC11" s="541">
        <f t="shared" si="21"/>
        <v>0</v>
      </c>
      <c r="AD11" s="541">
        <f>IF(AC11&gt;0,Y11,0)</f>
        <v>0</v>
      </c>
      <c r="AE11" s="541">
        <f>IF(AA11&gt;0,1,0)</f>
        <v>0</v>
      </c>
      <c r="AF11" s="541">
        <f t="shared" si="1"/>
        <v>0</v>
      </c>
      <c r="AG11" s="541">
        <f>IF(SUM(AG$3:AG10)&gt;0,0,IF(AF11&gt;0,ROUNDDOWN(AG$15/Y11,0),0))</f>
        <v>0</v>
      </c>
      <c r="AH11" s="541">
        <f t="shared" si="6"/>
        <v>0</v>
      </c>
      <c r="AI11" s="748">
        <f t="shared" si="2"/>
        <v>0</v>
      </c>
      <c r="AJ11" s="541">
        <f>IF(SUM(AH$3:AH10)&gt;0,AJ10+5,0)</f>
        <v>0</v>
      </c>
      <c r="AK11" s="541" t="str">
        <f t="shared" si="20"/>
        <v/>
      </c>
      <c r="AL11" s="541">
        <f>IF(AI$16&gt;0,-IF(OR(COUNTIF(AL$3:AL10,"&lt;0")&gt;0,AH$17=0),0,IF(AH11&gt;0,1,0)),0)</f>
        <v>0</v>
      </c>
      <c r="AM11" s="541">
        <f>IF(AND(AH$17+1&gt;AK11,AH17&gt;0,AI16&gt;0),1,0)</f>
        <v>0</v>
      </c>
      <c r="AN11" s="541">
        <f t="shared" si="7"/>
        <v>0</v>
      </c>
      <c r="AO11" s="541">
        <f t="shared" si="3"/>
        <v>0</v>
      </c>
      <c r="AP11" s="541">
        <f t="shared" si="4"/>
        <v>0</v>
      </c>
      <c r="AQ11" s="541">
        <f>IF(AP15&lt;AQ15,AO11,IF(AO11&gt;0,1,0))</f>
        <v>0</v>
      </c>
      <c r="AR11" s="541">
        <f t="shared" si="8"/>
        <v>0</v>
      </c>
      <c r="AS11" s="541">
        <f>IF(SUM(AS$3:AS10)&gt;0,0,IF(AR11&gt;0,ROUNDDOWN(AS$15/$Y11,0),0))</f>
        <v>0</v>
      </c>
      <c r="AT11" s="541">
        <f>AS11+AQ11</f>
        <v>0</v>
      </c>
      <c r="AU11" s="541">
        <f t="shared" si="10"/>
        <v>0</v>
      </c>
      <c r="AV11" s="541">
        <f>IF(SUM(AT$3:AT10)&gt;0,AV10+5,0)</f>
        <v>0</v>
      </c>
      <c r="AW11" s="541" t="str">
        <f t="shared" si="16"/>
        <v/>
      </c>
      <c r="AX11" s="541">
        <f>IF(AU$16&gt;0,-IF(OR(COUNTIF(AX$3:AX10,"&lt;0")&gt;0,AT$17=0),0,IF(AT11&gt;0,1,0)),0)</f>
        <v>0</v>
      </c>
      <c r="AY11" s="541">
        <f>IF(AND(AT$17+1&gt;AW11,AT17&gt;0,AU16&gt;0),1,0)</f>
        <v>0</v>
      </c>
      <c r="AZ11" s="541">
        <f t="shared" si="11"/>
        <v>0</v>
      </c>
      <c r="BA11" s="541">
        <f t="shared" si="17"/>
        <v>0</v>
      </c>
      <c r="BB11" s="541">
        <f t="shared" si="12"/>
        <v>0</v>
      </c>
      <c r="BC11" s="541">
        <f>IF(BB15&lt;BC15,BA11,IF(BA11&gt;0,1,0))</f>
        <v>0</v>
      </c>
      <c r="BD11" s="541">
        <f t="shared" si="13"/>
        <v>0</v>
      </c>
      <c r="BE11" s="541">
        <f>IF(SUM(BE$3:BE10)&gt;0,0,IF(BD11&gt;0,ROUNDDOWN(BE$15/$Y11,0),0))</f>
        <v>0</v>
      </c>
      <c r="BF11" s="541">
        <f t="shared" si="5"/>
        <v>0</v>
      </c>
      <c r="BG11" s="541">
        <f t="shared" si="14"/>
        <v>0</v>
      </c>
      <c r="BH11" s="541">
        <f t="shared" si="15"/>
        <v>0</v>
      </c>
      <c r="BM11" s="121"/>
      <c r="BN11" s="121"/>
    </row>
    <row r="12" spans="1:66" ht="17.25" customHeight="1" x14ac:dyDescent="0.25">
      <c r="B12" s="1028" t="s">
        <v>1319</v>
      </c>
      <c r="C12" s="1029"/>
      <c r="D12" s="1029"/>
      <c r="E12" s="1029"/>
      <c r="F12" s="1029"/>
      <c r="G12" s="1029"/>
      <c r="H12" s="1029"/>
      <c r="I12" s="1029"/>
      <c r="J12" s="1029"/>
      <c r="K12" s="1029"/>
      <c r="L12" s="1029"/>
      <c r="M12" s="1029"/>
      <c r="N12" s="1029"/>
      <c r="O12" s="1030"/>
      <c r="P12" s="541"/>
      <c r="Q12" s="541"/>
      <c r="R12" s="541"/>
      <c r="S12" s="748"/>
      <c r="T12" s="748"/>
      <c r="U12" s="748"/>
      <c r="V12" s="541"/>
      <c r="W12" s="541"/>
      <c r="X12" s="847"/>
      <c r="Y12" s="541"/>
      <c r="Z12" s="843"/>
      <c r="AA12" s="859"/>
      <c r="AB12" s="843"/>
      <c r="AC12" s="541"/>
      <c r="AD12" s="541"/>
      <c r="AE12" s="541"/>
      <c r="AF12" s="541"/>
      <c r="AG12" s="541"/>
      <c r="AH12" s="541"/>
      <c r="AI12" s="748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M12" s="121"/>
      <c r="BN12" s="121"/>
    </row>
    <row r="13" spans="1:66" ht="15" customHeight="1" x14ac:dyDescent="0.25">
      <c r="B13" s="548" t="s">
        <v>1303</v>
      </c>
      <c r="C13" s="231"/>
      <c r="D13" s="236"/>
      <c r="E13" s="231"/>
      <c r="F13" s="231"/>
      <c r="G13" s="232"/>
      <c r="H13" s="215"/>
      <c r="I13" s="215"/>
      <c r="J13" s="1035" t="str">
        <f>"Trolley "&amp;R3</f>
        <v>Trolley 1</v>
      </c>
      <c r="K13" s="1035"/>
      <c r="L13" s="1035"/>
      <c r="M13" s="1035"/>
      <c r="N13" s="215"/>
      <c r="O13" s="215"/>
      <c r="P13" s="541"/>
      <c r="Q13" s="541"/>
      <c r="R13" s="541"/>
      <c r="S13" s="748"/>
      <c r="T13" s="748"/>
      <c r="U13" s="748"/>
      <c r="V13" s="541"/>
      <c r="W13" s="541"/>
      <c r="X13" s="847"/>
      <c r="Y13" s="541"/>
      <c r="Z13" s="843"/>
      <c r="AA13" s="859"/>
      <c r="AB13" s="843"/>
      <c r="AC13" s="541"/>
      <c r="AD13" s="541"/>
      <c r="AE13" s="541"/>
      <c r="AF13" s="541"/>
      <c r="AG13" s="541"/>
      <c r="AH13" s="541"/>
      <c r="AI13" s="748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M13" s="121"/>
      <c r="BN13" s="121"/>
    </row>
    <row r="14" spans="1:66" ht="12" customHeight="1" x14ac:dyDescent="0.15">
      <c r="B14" s="549" t="s">
        <v>1304</v>
      </c>
      <c r="C14" s="513"/>
      <c r="D14" s="547"/>
      <c r="E14" s="510"/>
      <c r="F14" s="493"/>
      <c r="G14" s="492"/>
      <c r="H14" s="492"/>
      <c r="I14" s="546"/>
      <c r="J14" s="1131">
        <f>N14-0.8</f>
        <v>-0.8</v>
      </c>
      <c r="K14" s="1132"/>
      <c r="L14" s="1132"/>
      <c r="M14" s="1133"/>
      <c r="N14" s="1125"/>
      <c r="O14" s="1126"/>
      <c r="P14" s="541"/>
      <c r="Q14" s="543"/>
      <c r="R14" s="541"/>
      <c r="S14" s="748"/>
      <c r="T14" s="748"/>
      <c r="U14" s="748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748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M14" s="121"/>
      <c r="BN14" s="121"/>
    </row>
    <row r="15" spans="1:66" ht="12" customHeight="1" x14ac:dyDescent="0.15">
      <c r="B15" s="549" t="s">
        <v>1305</v>
      </c>
      <c r="C15" s="513"/>
      <c r="D15" s="547"/>
      <c r="E15" s="510"/>
      <c r="F15" s="493"/>
      <c r="G15" s="492"/>
      <c r="H15" s="492"/>
      <c r="I15" s="513"/>
      <c r="J15" s="1131">
        <f>N14-0.6</f>
        <v>-0.6</v>
      </c>
      <c r="K15" s="1132"/>
      <c r="L15" s="1132"/>
      <c r="M15" s="1133"/>
      <c r="N15" s="1125"/>
      <c r="O15" s="1126"/>
      <c r="P15" s="541"/>
      <c r="Q15" s="541"/>
      <c r="R15" s="541"/>
      <c r="S15" s="748"/>
      <c r="T15" s="748"/>
      <c r="U15" s="748"/>
      <c r="V15" s="541"/>
      <c r="W15" s="541"/>
      <c r="X15" s="541"/>
      <c r="Y15" s="541"/>
      <c r="Z15" s="843">
        <f>SUM(Z3:Z14)</f>
        <v>0</v>
      </c>
      <c r="AA15" s="859">
        <f>SUM(AA3:AA14)</f>
        <v>0</v>
      </c>
      <c r="AB15" s="843">
        <f>AB3-AA3</f>
        <v>0</v>
      </c>
      <c r="AC15" s="541">
        <f>SUM(AC3:AC14)</f>
        <v>0</v>
      </c>
      <c r="AD15" s="541">
        <f>SUM(AD3:AD14)</f>
        <v>0</v>
      </c>
      <c r="AE15" s="541">
        <v>155</v>
      </c>
      <c r="AF15" s="541"/>
      <c r="AG15" s="541">
        <f>AE16-AE3*Y3-AE4*Y4-AE5*Y5-AE6*Y6-AE7*Y7-AE9*Y9-AE10*Y10-AE11*Y11</f>
        <v>180</v>
      </c>
      <c r="AH15" s="541">
        <f>AH3*Y3+AH4*Y4+AH5*Y5+AH6*Y6+AH7*Y7+AH9*Y9+AH10*Y10+AH11*Y11</f>
        <v>0</v>
      </c>
      <c r="AI15" s="748">
        <f>SUM(AI3:AI14)</f>
        <v>0</v>
      </c>
      <c r="AJ15" s="541"/>
      <c r="AK15" s="541"/>
      <c r="AL15" s="541"/>
      <c r="AM15" s="541"/>
      <c r="AN15" s="541">
        <f>AN3*$Y3+AN4*$Y4+AN5*$Y5+AN6*$Y6+AN7*$Y7+AN9*$Y9+AN10*$Y10+AN11*$Y11</f>
        <v>0</v>
      </c>
      <c r="AO15" s="748">
        <f>SUM(AO3:AO14)</f>
        <v>0</v>
      </c>
      <c r="AP15" s="541">
        <f>SUM(AP3:AP14)</f>
        <v>0</v>
      </c>
      <c r="AQ15" s="541">
        <v>155</v>
      </c>
      <c r="AR15" s="541"/>
      <c r="AS15" s="541">
        <f>AQ16-AQ3*Y3-AQ4*Y4-AQ5*Y5-AQ6*Y6-AQ7*Y7-AQ9*Y9-AQ10*Y10-AQ11*Y11</f>
        <v>180</v>
      </c>
      <c r="AT15" s="541">
        <f>AT3*$Y3+AT4*$Y4+AT5*$Y5+AT6*$Y6+AT7*$Y7+AT9*$Y9+AT10*$Y10+AT11*$Y11</f>
        <v>0</v>
      </c>
      <c r="AU15" s="541">
        <f>SUM(AU3:AU14)</f>
        <v>0</v>
      </c>
      <c r="AV15" s="541"/>
      <c r="AW15" s="541"/>
      <c r="AX15" s="541"/>
      <c r="AY15" s="541"/>
      <c r="AZ15" s="541">
        <f>AZ3*$Y3+AZ4*$Y4+AZ5*$Y5+AZ6*$Y6+AZ7*$Y7+AZ9*$Y9+AZ10*$Y10+AZ11*$Y11</f>
        <v>0</v>
      </c>
      <c r="BA15" s="541">
        <f>SUM(BA3:BA14)</f>
        <v>0</v>
      </c>
      <c r="BB15" s="541">
        <f>SUM(BB3:BB14)</f>
        <v>0</v>
      </c>
      <c r="BC15" s="541">
        <v>155</v>
      </c>
      <c r="BD15" s="541"/>
      <c r="BE15" s="541">
        <f>BC16-BC3*Y3-BC4*Y4-BC5*Y5-BC6*Y6-BC7*Y7-BC9*Y9-BC10*Y10-BC11*Y11</f>
        <v>180</v>
      </c>
      <c r="BF15" s="541">
        <f>BF3*$Y3+BF4*$Y4+BF5*$Y5+BF6*$Y6+BF7*$Y7+BF9*$Y9+BF10*$Y10+BF11*$Y11</f>
        <v>0</v>
      </c>
      <c r="BG15" s="541">
        <f>SUM(BG3:BG14)</f>
        <v>0</v>
      </c>
      <c r="BH15" s="541">
        <f>SUM(BH3:BH14)</f>
        <v>0</v>
      </c>
      <c r="BM15" s="121"/>
      <c r="BN15" s="121"/>
    </row>
    <row r="16" spans="1:66" ht="12" customHeight="1" thickBot="1" x14ac:dyDescent="0.2">
      <c r="B16" s="1129" t="s">
        <v>1306</v>
      </c>
      <c r="C16" s="1129"/>
      <c r="D16" s="1129"/>
      <c r="E16" s="1129"/>
      <c r="F16" s="1129"/>
      <c r="G16" s="1129"/>
      <c r="H16" s="1129"/>
      <c r="I16" s="513"/>
      <c r="J16" s="1131">
        <f>N14-0.4</f>
        <v>-0.4</v>
      </c>
      <c r="K16" s="1132"/>
      <c r="L16" s="1132"/>
      <c r="M16" s="1133"/>
      <c r="N16" s="1127" t="s">
        <v>1302</v>
      </c>
      <c r="O16" s="1128"/>
      <c r="P16" s="541"/>
      <c r="Q16" s="541"/>
      <c r="R16" s="541"/>
      <c r="S16" s="748"/>
      <c r="T16" s="748"/>
      <c r="U16" s="748"/>
      <c r="V16" s="541"/>
      <c r="W16" s="541"/>
      <c r="X16" s="541"/>
      <c r="Y16" s="541" t="s">
        <v>1146</v>
      </c>
      <c r="Z16" s="541">
        <v>155</v>
      </c>
      <c r="AA16" s="541"/>
      <c r="AB16" s="541"/>
      <c r="AC16" s="541">
        <f>AC15-AD15</f>
        <v>0</v>
      </c>
      <c r="AD16" s="541"/>
      <c r="AE16" s="541">
        <f>AE15+IF(AE11&gt;0,$Y11,IF(AE10&gt;0,$Y10,IF(AE9&gt;0,$Y9,IF(AE7&gt;0,$Y7,IF(AE6&gt;0,$Y6,IF(AE5&gt;0,$Y5,IF(AE4&gt;0,$Y4,$Y3)))))))</f>
        <v>180</v>
      </c>
      <c r="AF16" s="541"/>
      <c r="AG16" s="845" t="s">
        <v>1162</v>
      </c>
      <c r="AH16" s="847">
        <f>AH15/AE16</f>
        <v>0</v>
      </c>
      <c r="AI16" s="748">
        <f>IF(AND(AI15&gt;0,AK17&gt;0),1,0)</f>
        <v>0</v>
      </c>
      <c r="AJ16" s="541"/>
      <c r="AK16" s="541">
        <f>COUNTIF(AK3:AK11,AH17)</f>
        <v>0</v>
      </c>
      <c r="AL16" s="541"/>
      <c r="AM16" s="541"/>
      <c r="AN16" s="847">
        <f>AN15/AE16</f>
        <v>0</v>
      </c>
      <c r="AO16" s="541"/>
      <c r="AP16" s="541"/>
      <c r="AQ16" s="541">
        <f>AQ15+IF(AQ11&gt;0,$Y11,IF(AQ10&gt;0,$Y10,IF(AQ9&gt;0,$Y9,IF(AQ7&gt;0,$Y7,IF(AQ6&gt;0,$Y6,IF(AQ5&gt;0,$Y5,IF(AQ4&gt;0,$Y4,$Y3)))))))</f>
        <v>180</v>
      </c>
      <c r="AR16" s="541"/>
      <c r="AS16" s="845" t="s">
        <v>1162</v>
      </c>
      <c r="AT16" s="847">
        <f>AT15/AQ16</f>
        <v>0</v>
      </c>
      <c r="AU16" s="748">
        <f>IF(AND(AU15&gt;0,AW17&gt;0),1,0)</f>
        <v>0</v>
      </c>
      <c r="AV16" s="541"/>
      <c r="AW16" s="541">
        <f>COUNTIF(AW3:AW11,AT17)</f>
        <v>0</v>
      </c>
      <c r="AX16" s="541"/>
      <c r="AY16" s="541"/>
      <c r="AZ16" s="847">
        <f>AZ15/AQ16</f>
        <v>0</v>
      </c>
      <c r="BA16" s="541"/>
      <c r="BB16" s="541"/>
      <c r="BC16" s="541">
        <f>BC15+IF(BC11&gt;0,$Y11,IF(BC10&gt;0,$Y10,IF(BC9&gt;0,$Y9,IF(BC7&gt;0,$Y7,IF(BC6&gt;0,$Y6,IF(BC5&gt;0,$Y5,IF(BC4&gt;0,$Y4,$Y3)))))))</f>
        <v>180</v>
      </c>
      <c r="BD16" s="541"/>
      <c r="BE16" s="845" t="s">
        <v>1162</v>
      </c>
      <c r="BF16" s="847">
        <f>BF15/BC16</f>
        <v>0</v>
      </c>
      <c r="BG16" s="541"/>
      <c r="BH16" s="541"/>
      <c r="BM16" s="121"/>
      <c r="BN16" s="121"/>
    </row>
    <row r="17" spans="1:66" ht="12" customHeight="1" x14ac:dyDescent="0.15">
      <c r="B17" s="1130"/>
      <c r="C17" s="1130"/>
      <c r="D17" s="1130"/>
      <c r="E17" s="1130"/>
      <c r="F17" s="1130"/>
      <c r="G17" s="1130"/>
      <c r="H17" s="1130"/>
      <c r="I17" s="513"/>
      <c r="J17" s="1131">
        <f>N14-0.2</f>
        <v>-0.2</v>
      </c>
      <c r="K17" s="1132"/>
      <c r="L17" s="1132"/>
      <c r="M17" s="1133"/>
      <c r="N17" s="1127"/>
      <c r="O17" s="1128"/>
      <c r="P17" s="541"/>
      <c r="Q17" s="541"/>
      <c r="R17" s="541"/>
      <c r="S17" s="748"/>
      <c r="T17" s="748"/>
      <c r="U17" s="748"/>
      <c r="V17" s="541"/>
      <c r="W17" s="541"/>
      <c r="X17" s="541"/>
      <c r="Y17" s="541"/>
      <c r="Z17" s="541"/>
      <c r="AA17" s="541"/>
      <c r="AB17" s="541">
        <f>ROUNDDOWN(AB15*-5,0)+ROUNDDOWN(V3/U23,0)*5</f>
        <v>25</v>
      </c>
      <c r="AC17" s="541" t="s">
        <v>1149</v>
      </c>
      <c r="AD17" s="541"/>
      <c r="AE17" s="541"/>
      <c r="AF17" s="541"/>
      <c r="AG17" s="845" t="s">
        <v>1144</v>
      </c>
      <c r="AH17" s="851">
        <f>AE16-AH15</f>
        <v>180</v>
      </c>
      <c r="AI17" s="541"/>
      <c r="AJ17" s="541"/>
      <c r="AK17" s="541">
        <f>IF(COUNTIF(AK3:AK14,"&gt;0")&gt;0,1,0)</f>
        <v>0</v>
      </c>
      <c r="AL17" s="541"/>
      <c r="AM17" s="541"/>
      <c r="AN17" s="851">
        <f>AE16-AN15</f>
        <v>180</v>
      </c>
      <c r="AO17" s="541"/>
      <c r="AP17" s="541"/>
      <c r="AQ17" s="541"/>
      <c r="AR17" s="541"/>
      <c r="AS17" s="845" t="s">
        <v>1144</v>
      </c>
      <c r="AT17" s="851">
        <f>AQ16-AT15</f>
        <v>180</v>
      </c>
      <c r="AU17" s="541"/>
      <c r="AV17" s="541"/>
      <c r="AW17" s="541">
        <f>IF(COUNTIF(AW3:AW14,"&gt;0")&gt;0,1,0)</f>
        <v>0</v>
      </c>
      <c r="AX17" s="541"/>
      <c r="AY17" s="541"/>
      <c r="AZ17" s="851">
        <f>AQ16-AZ15</f>
        <v>180</v>
      </c>
      <c r="BA17" s="541"/>
      <c r="BB17" s="541"/>
      <c r="BC17" s="541"/>
      <c r="BD17" s="541"/>
      <c r="BE17" s="845" t="s">
        <v>1144</v>
      </c>
      <c r="BF17" s="851">
        <f>BC16-BF15</f>
        <v>180</v>
      </c>
      <c r="BG17" s="541"/>
      <c r="BH17" s="541"/>
      <c r="BM17" s="121"/>
      <c r="BN17" s="121"/>
    </row>
    <row r="18" spans="1:66" ht="12" customHeight="1" thickBot="1" x14ac:dyDescent="0.2">
      <c r="I18" s="101"/>
      <c r="J18" s="1039">
        <f>N14</f>
        <v>0</v>
      </c>
      <c r="K18" s="1040"/>
      <c r="L18" s="1040"/>
      <c r="M18" s="1041"/>
      <c r="N18" s="544"/>
      <c r="O18" s="545"/>
      <c r="P18" s="541"/>
      <c r="Q18" s="541"/>
      <c r="R18" s="541"/>
      <c r="S18" s="748"/>
      <c r="T18" s="748"/>
      <c r="U18" s="748"/>
      <c r="V18" s="541"/>
      <c r="W18" s="541"/>
      <c r="X18" s="541"/>
      <c r="Y18" s="541"/>
      <c r="Z18" s="541"/>
      <c r="AA18" s="541"/>
      <c r="AB18" s="541">
        <f>IF((ROUND(AB15*24,0)*-1+ROUNDDOWN(V3/U355,0)*24)&lt;6,0,ROUND(AB15*24,0)*-1+ROUNDDOWN(V3/U355,0)*24)</f>
        <v>72</v>
      </c>
      <c r="AC18" s="541" t="s">
        <v>1150</v>
      </c>
      <c r="AD18" s="541"/>
      <c r="AE18" s="541"/>
      <c r="AF18" s="541"/>
      <c r="AG18" s="845"/>
      <c r="AH18" s="851"/>
      <c r="AI18" s="541"/>
      <c r="AJ18" s="541"/>
      <c r="AK18" s="541"/>
      <c r="AL18" s="541"/>
      <c r="AM18" s="541"/>
      <c r="AN18" s="851"/>
      <c r="AO18" s="541"/>
      <c r="AP18" s="541"/>
      <c r="AQ18" s="541"/>
      <c r="AR18" s="541"/>
      <c r="AS18" s="845"/>
      <c r="AT18" s="851"/>
      <c r="AU18" s="541"/>
      <c r="AV18" s="541"/>
      <c r="AW18" s="541"/>
      <c r="AX18" s="541"/>
      <c r="AY18" s="541"/>
      <c r="AZ18" s="851"/>
      <c r="BA18" s="541"/>
      <c r="BB18" s="541"/>
      <c r="BC18" s="541"/>
      <c r="BD18" s="541"/>
      <c r="BE18" s="845"/>
      <c r="BF18" s="851"/>
      <c r="BG18" s="541"/>
      <c r="BH18" s="541"/>
      <c r="BM18" s="121"/>
      <c r="BN18" s="121"/>
    </row>
    <row r="19" spans="1:66" ht="12" customHeight="1" x14ac:dyDescent="0.25">
      <c r="I19" s="191"/>
      <c r="J19"/>
      <c r="P19" s="541"/>
      <c r="Q19" s="541"/>
      <c r="R19" s="541"/>
      <c r="S19" s="748"/>
      <c r="T19" s="748"/>
      <c r="U19" s="748"/>
      <c r="V19" s="541"/>
      <c r="W19" s="541"/>
      <c r="X19" s="541"/>
      <c r="BM19" s="121"/>
      <c r="BN19" s="121"/>
    </row>
    <row r="20" spans="1:66" ht="6" customHeight="1" thickBot="1" x14ac:dyDescent="0.3">
      <c r="A20" s="121" t="str">
        <f>IF(S20=0,"",COUNTIF(A19:A$23,"&gt;0")+1)</f>
        <v/>
      </c>
      <c r="P20" s="541"/>
      <c r="Q20" s="541"/>
      <c r="R20" s="541"/>
      <c r="S20" s="541"/>
      <c r="T20" s="541"/>
      <c r="U20" s="541"/>
      <c r="V20" s="541"/>
      <c r="W20" s="541"/>
      <c r="X20" s="541"/>
      <c r="BM20" s="121"/>
      <c r="BN20" s="121"/>
    </row>
    <row r="21" spans="1:66" ht="12" customHeight="1" x14ac:dyDescent="0.25">
      <c r="B21" s="955" t="s">
        <v>115</v>
      </c>
      <c r="C21" s="956"/>
      <c r="D21" s="910" t="s">
        <v>1068</v>
      </c>
      <c r="E21" s="911"/>
      <c r="F21" s="911"/>
      <c r="G21" s="911"/>
      <c r="H21" s="934" t="s">
        <v>1179</v>
      </c>
      <c r="I21" s="932" t="s">
        <v>1247</v>
      </c>
      <c r="J21" s="932"/>
      <c r="K21" s="932"/>
      <c r="L21" s="932"/>
      <c r="M21" s="932"/>
      <c r="N21" s="932"/>
      <c r="O21" s="933"/>
      <c r="P21" s="541"/>
      <c r="Q21" s="541"/>
      <c r="R21" s="541"/>
      <c r="S21" s="541"/>
      <c r="T21" s="541"/>
      <c r="U21" s="541"/>
      <c r="V21" s="541"/>
      <c r="W21" s="541"/>
      <c r="X21" s="541"/>
      <c r="BM21" s="121"/>
      <c r="BN21" s="121"/>
    </row>
    <row r="22" spans="1:66" ht="12" customHeight="1" thickBot="1" x14ac:dyDescent="0.3">
      <c r="B22" s="1032" t="s">
        <v>766</v>
      </c>
      <c r="C22" s="1033"/>
      <c r="D22" s="926"/>
      <c r="E22" s="927"/>
      <c r="F22" s="927"/>
      <c r="G22" s="927"/>
      <c r="H22" s="935"/>
      <c r="I22" s="308" t="s">
        <v>114</v>
      </c>
      <c r="J22" s="309"/>
      <c r="K22" s="310"/>
      <c r="L22" s="310"/>
      <c r="M22" s="311"/>
      <c r="N22" s="310"/>
      <c r="O22" s="312" t="s">
        <v>41</v>
      </c>
      <c r="P22" s="540"/>
      <c r="Q22" s="540" t="s">
        <v>113</v>
      </c>
      <c r="R22" s="541"/>
      <c r="S22" s="541"/>
      <c r="T22" s="541"/>
      <c r="U22" s="541"/>
      <c r="V22" s="541"/>
      <c r="W22" s="541"/>
      <c r="X22" s="541"/>
      <c r="BM22" s="121"/>
      <c r="BN22" s="121"/>
    </row>
    <row r="23" spans="1:66" ht="11.25" customHeight="1" x14ac:dyDescent="0.25">
      <c r="A23" s="121" t="str">
        <f>IF(B23&gt;0,1,"")</f>
        <v/>
      </c>
      <c r="B23" s="303"/>
      <c r="C23" s="128" t="str">
        <f>T23</f>
        <v>x10</v>
      </c>
      <c r="D23" s="287" t="str">
        <f>A!C2</f>
        <v>Assorted Marginals</v>
      </c>
      <c r="E23" s="113"/>
      <c r="F23" s="113"/>
      <c r="G23" s="304" t="str">
        <f>A!N2</f>
        <v>our best selection</v>
      </c>
      <c r="H23" s="305" t="str">
        <f>A!Q2</f>
        <v>our choice, best plants available on the nursery</v>
      </c>
      <c r="I23" s="306"/>
      <c r="J23" s="203">
        <f>A!P2</f>
        <v>0</v>
      </c>
      <c r="K23" s="131">
        <f>IF(A!G2="y",1,0)</f>
        <v>1</v>
      </c>
      <c r="L23" s="131">
        <f>IF(A!H2="y",1,0)</f>
        <v>0</v>
      </c>
      <c r="M23" s="132" t="str">
        <f>IF(A!F2="y","NEW","")</f>
        <v/>
      </c>
      <c r="N23" s="133">
        <f>A!I2</f>
        <v>0</v>
      </c>
      <c r="O23" s="307" t="str">
        <f>A!O2</f>
        <v>1,2,3</v>
      </c>
      <c r="P23" s="541" t="str">
        <f>A!K2</f>
        <v>M</v>
      </c>
      <c r="Q23" s="541" t="str">
        <f>A!E2</f>
        <v>Y</v>
      </c>
      <c r="R23" s="541" t="s">
        <v>110</v>
      </c>
      <c r="S23" s="541">
        <f t="shared" ref="S23:S57" si="22">B23</f>
        <v>0</v>
      </c>
      <c r="T23" s="541" t="str">
        <f>A!R2</f>
        <v>x10</v>
      </c>
      <c r="U23" s="541">
        <f>A!S2</f>
        <v>35</v>
      </c>
      <c r="V23" s="541">
        <f>A!T2</f>
        <v>0.2</v>
      </c>
      <c r="W23" s="541">
        <f>V23*B23</f>
        <v>0</v>
      </c>
      <c r="X23" s="541"/>
      <c r="BM23" s="121"/>
      <c r="BN23" s="121"/>
    </row>
    <row r="24" spans="1:66" ht="11.25" customHeight="1" x14ac:dyDescent="0.25">
      <c r="A24" s="121" t="str">
        <f>IF(S24=0,"",COUNTIF(A$23:A23,"&gt;0")+1)</f>
        <v/>
      </c>
      <c r="B24" s="289"/>
      <c r="C24" s="76" t="str">
        <f t="shared" ref="C24:C95" si="23">T24</f>
        <v>x10</v>
      </c>
      <c r="D24" s="77" t="str">
        <f>A!C3</f>
        <v>Assorted Pondside</v>
      </c>
      <c r="E24" s="78"/>
      <c r="F24" s="78"/>
      <c r="G24" s="79" t="str">
        <f>A!N3</f>
        <v>our best selection</v>
      </c>
      <c r="H24" s="80" t="str">
        <f>A!Q3</f>
        <v>take the worry out of ordering, best plants available</v>
      </c>
      <c r="I24" s="68"/>
      <c r="J24" s="202">
        <f>A!P3</f>
        <v>0</v>
      </c>
      <c r="K24" s="83">
        <f>IF(A!G3="y",1,0)</f>
        <v>1</v>
      </c>
      <c r="L24" s="83">
        <f>IF(A!H3="y",1,0)</f>
        <v>0</v>
      </c>
      <c r="M24" s="84" t="str">
        <f>IF(A!F3="y","NEW","")</f>
        <v/>
      </c>
      <c r="N24" s="85">
        <f>A!I3</f>
        <v>0</v>
      </c>
      <c r="O24" s="290">
        <f>A!O3</f>
        <v>1</v>
      </c>
      <c r="P24" s="541" t="str">
        <f>A!K3</f>
        <v>M</v>
      </c>
      <c r="Q24" s="541" t="str">
        <f>A!E3</f>
        <v>Y</v>
      </c>
      <c r="R24" s="541" t="s">
        <v>110</v>
      </c>
      <c r="S24" s="541">
        <f t="shared" si="22"/>
        <v>0</v>
      </c>
      <c r="T24" s="541" t="str">
        <f>A!R3</f>
        <v>x10</v>
      </c>
      <c r="U24" s="541">
        <f>A!S3</f>
        <v>35</v>
      </c>
      <c r="V24" s="541">
        <f>A!T3</f>
        <v>0.2</v>
      </c>
      <c r="W24" s="541">
        <f>V24*B24</f>
        <v>0</v>
      </c>
      <c r="X24" s="541"/>
      <c r="BM24" s="121"/>
      <c r="BN24" s="121"/>
    </row>
    <row r="25" spans="1:66" ht="11.25" customHeight="1" x14ac:dyDescent="0.25">
      <c r="A25" s="121" t="str">
        <f>IF(S25=0,"",COUNTIF(A$23:A24,"&gt;0")+1)</f>
        <v/>
      </c>
      <c r="B25" s="289"/>
      <c r="C25" s="76" t="str">
        <f t="shared" si="23"/>
        <v>x10</v>
      </c>
      <c r="D25" s="77" t="str">
        <f>A!C4</f>
        <v>Acorus calamus</v>
      </c>
      <c r="E25" s="78"/>
      <c r="F25" s="78"/>
      <c r="G25" s="79" t="str">
        <f>A!N4</f>
        <v>sweet scented rush</v>
      </c>
      <c r="H25" s="80" t="str">
        <f>A!Q4</f>
        <v>fragrant, green iris-like foliage</v>
      </c>
      <c r="I25" s="69">
        <f>A!M4</f>
        <v>2</v>
      </c>
      <c r="J25" s="202" t="str">
        <f>A!P4</f>
        <v>Yes</v>
      </c>
      <c r="K25" s="83">
        <f>IF(A!G4="y",1,0)</f>
        <v>1</v>
      </c>
      <c r="L25" s="83">
        <f>IF(A!H4="y",1,0)</f>
        <v>1</v>
      </c>
      <c r="M25" s="84" t="str">
        <f>IF(A!F4="y","NEW","")</f>
        <v/>
      </c>
      <c r="N25" s="85">
        <f>A!I4</f>
        <v>0</v>
      </c>
      <c r="O25" s="290" t="str">
        <f>A!O4</f>
        <v>2,3</v>
      </c>
      <c r="P25" s="541" t="str">
        <f>A!K4</f>
        <v>L</v>
      </c>
      <c r="Q25" s="541" t="str">
        <f>A!E4</f>
        <v>y</v>
      </c>
      <c r="R25" s="541" t="s">
        <v>110</v>
      </c>
      <c r="S25" s="541">
        <f t="shared" si="22"/>
        <v>0</v>
      </c>
      <c r="T25" s="541" t="str">
        <f>A!R4</f>
        <v>x10</v>
      </c>
      <c r="U25" s="541">
        <f>A!S4</f>
        <v>55</v>
      </c>
      <c r="V25" s="541">
        <f>A!T4</f>
        <v>0.2</v>
      </c>
      <c r="W25" s="541">
        <f t="shared" ref="W25:W95" si="24">V25*B25</f>
        <v>0</v>
      </c>
      <c r="X25" s="541"/>
      <c r="BM25" s="121"/>
      <c r="BN25" s="121"/>
    </row>
    <row r="26" spans="1:66" ht="11.25" hidden="1" customHeight="1" x14ac:dyDescent="0.25">
      <c r="A26" s="121" t="str">
        <f>IF(S26=0,"",COUNTIF(A$23:A25,"&gt;0")+1)</f>
        <v/>
      </c>
      <c r="B26" s="289"/>
      <c r="C26" s="76" t="str">
        <f t="shared" si="23"/>
        <v>x10</v>
      </c>
      <c r="D26" s="77" t="str">
        <f>A!C5</f>
        <v>Acorus calamus 'Variegatus'</v>
      </c>
      <c r="E26" s="78"/>
      <c r="F26" s="78"/>
      <c r="G26" s="79" t="str">
        <f>A!N5</f>
        <v>variegated rush</v>
      </c>
      <c r="H26" s="86" t="str">
        <f>A!Q5</f>
        <v>fragrant, creamy-white variegated foliage</v>
      </c>
      <c r="I26" s="69">
        <f>A!M5</f>
        <v>2</v>
      </c>
      <c r="J26" s="202">
        <f>A!P5</f>
        <v>0</v>
      </c>
      <c r="K26" s="83">
        <f>IF(A!G5="y",1,0)</f>
        <v>0</v>
      </c>
      <c r="L26" s="83">
        <f>IF(A!H5="y",1,0)</f>
        <v>0</v>
      </c>
      <c r="M26" s="84" t="str">
        <f>IF(A!F5="y","NEW","")</f>
        <v/>
      </c>
      <c r="N26" s="85">
        <f>A!I5</f>
        <v>0</v>
      </c>
      <c r="O26" s="290" t="str">
        <f>A!O5</f>
        <v>2,3</v>
      </c>
      <c r="P26" s="541">
        <f>A!K5</f>
        <v>0</v>
      </c>
      <c r="Q26" s="541">
        <f>A!E5</f>
        <v>0</v>
      </c>
      <c r="R26" s="541" t="s">
        <v>110</v>
      </c>
      <c r="S26" s="541">
        <f t="shared" si="22"/>
        <v>0</v>
      </c>
      <c r="T26" s="541" t="str">
        <f>A!R5</f>
        <v>x10</v>
      </c>
      <c r="U26" s="541" t="str">
        <f>A!S5</f>
        <v/>
      </c>
      <c r="V26" s="541">
        <f>A!T5</f>
        <v>0.2</v>
      </c>
      <c r="W26" s="541">
        <f t="shared" si="24"/>
        <v>0</v>
      </c>
      <c r="X26" s="541"/>
    </row>
    <row r="27" spans="1:66" ht="11.25" hidden="1" customHeight="1" x14ac:dyDescent="0.25">
      <c r="A27" s="121" t="str">
        <f>IF(S27=0,"",COUNTIF(A$23:A26,"&gt;0")+1)</f>
        <v/>
      </c>
      <c r="B27" s="289"/>
      <c r="C27" s="76" t="str">
        <f t="shared" si="23"/>
        <v>x10</v>
      </c>
      <c r="D27" s="77" t="str">
        <f>A!C6</f>
        <v>Acorus gramineus 'Golden Delight'</v>
      </c>
      <c r="E27" s="78"/>
      <c r="F27" s="78"/>
      <c r="G27" s="79" t="str">
        <f>A!N6</f>
        <v>golden rush</v>
      </c>
      <c r="H27" s="86" t="str">
        <f>A!Q6</f>
        <v>evergreen leaves grow into attractive fans.</v>
      </c>
      <c r="I27" s="69">
        <f>A!M6</f>
        <v>1</v>
      </c>
      <c r="J27" s="202">
        <f>A!P6</f>
        <v>0</v>
      </c>
      <c r="K27" s="83">
        <f>IF(A!G6="y",1,0)</f>
        <v>0</v>
      </c>
      <c r="L27" s="83">
        <f>IF(A!H6="y",1,0)</f>
        <v>0</v>
      </c>
      <c r="M27" s="84" t="str">
        <f>IF(A!F6="y","NEW","")</f>
        <v/>
      </c>
      <c r="N27" s="85">
        <f>A!I6</f>
        <v>0</v>
      </c>
      <c r="O27" s="290" t="str">
        <f>A!O6</f>
        <v>1,2</v>
      </c>
      <c r="P27" s="541">
        <f>A!K6</f>
        <v>0</v>
      </c>
      <c r="Q27" s="541">
        <f>A!E6</f>
        <v>0</v>
      </c>
      <c r="R27" s="541" t="s">
        <v>110</v>
      </c>
      <c r="S27" s="541">
        <f t="shared" si="22"/>
        <v>0</v>
      </c>
      <c r="T27" s="541" t="str">
        <f>A!R6</f>
        <v>x10</v>
      </c>
      <c r="U27" s="541" t="str">
        <f>A!S6</f>
        <v/>
      </c>
      <c r="V27" s="541">
        <f>A!T6</f>
        <v>0.2</v>
      </c>
      <c r="W27" s="541">
        <f t="shared" si="24"/>
        <v>0</v>
      </c>
      <c r="X27" s="541"/>
    </row>
    <row r="28" spans="1:66" ht="11.25" hidden="1" customHeight="1" x14ac:dyDescent="0.25">
      <c r="A28" s="121" t="str">
        <f>IF(S28=0,"",COUNTIF(A$23:A27,"&gt;0")+1)</f>
        <v/>
      </c>
      <c r="B28" s="289"/>
      <c r="C28" s="76" t="str">
        <f t="shared" si="23"/>
        <v>x10</v>
      </c>
      <c r="D28" s="77" t="str">
        <f>A!C7</f>
        <v>Acorus gramineus 'Ogon'</v>
      </c>
      <c r="E28" s="78"/>
      <c r="F28" s="78"/>
      <c r="G28" s="79" t="str">
        <f>A!N7</f>
        <v>golden gramineus</v>
      </c>
      <c r="H28" s="87" t="str">
        <f>A!Q7</f>
        <v>wonderful golden/green variegated foliage</v>
      </c>
      <c r="I28" s="69">
        <f>A!M7</f>
        <v>1</v>
      </c>
      <c r="J28" s="202">
        <f>A!P7</f>
        <v>0</v>
      </c>
      <c r="K28" s="83">
        <f>IF(A!G7="y",1,0)</f>
        <v>0</v>
      </c>
      <c r="L28" s="83">
        <f>IF(A!H7="y",1,0)</f>
        <v>0</v>
      </c>
      <c r="M28" s="84" t="str">
        <f>IF(A!F7="y","NEW","")</f>
        <v/>
      </c>
      <c r="N28" s="85">
        <f>A!I7</f>
        <v>0</v>
      </c>
      <c r="O28" s="290" t="str">
        <f>A!O7</f>
        <v>1,2</v>
      </c>
      <c r="P28" s="541" t="str">
        <f>A!K7</f>
        <v>M</v>
      </c>
      <c r="Q28" s="541">
        <f>A!E7</f>
        <v>0</v>
      </c>
      <c r="R28" s="541" t="s">
        <v>110</v>
      </c>
      <c r="S28" s="541">
        <f t="shared" si="22"/>
        <v>0</v>
      </c>
      <c r="T28" s="541" t="str">
        <f>A!R7</f>
        <v>x10</v>
      </c>
      <c r="U28" s="541">
        <f>A!S7</f>
        <v>35</v>
      </c>
      <c r="V28" s="541">
        <f>A!T7</f>
        <v>0.2</v>
      </c>
      <c r="W28" s="541">
        <f t="shared" si="24"/>
        <v>0</v>
      </c>
      <c r="X28" s="541"/>
    </row>
    <row r="29" spans="1:66" ht="11.25" customHeight="1" x14ac:dyDescent="0.25">
      <c r="A29" s="121" t="str">
        <f>IF(S29=0,"",COUNTIF(A$23:A28,"&gt;0")+1)</f>
        <v/>
      </c>
      <c r="B29" s="289"/>
      <c r="C29" s="76" t="str">
        <f t="shared" si="23"/>
        <v>x10</v>
      </c>
      <c r="D29" s="514" t="str">
        <f>A!C8</f>
        <v>Acorus gramineus 'Variegatus'</v>
      </c>
      <c r="E29" s="78"/>
      <c r="F29" s="78"/>
      <c r="G29" s="79" t="str">
        <f>A!N8</f>
        <v>dwarf rush</v>
      </c>
      <c r="H29" s="87" t="str">
        <f>A!Q8</f>
        <v>evergreen green/cream variegated foliage</v>
      </c>
      <c r="I29" s="69">
        <f>A!M8</f>
        <v>2</v>
      </c>
      <c r="J29" s="202">
        <f>A!P8</f>
        <v>0</v>
      </c>
      <c r="K29" s="83">
        <f>IF(A!G8="y",1,0)</f>
        <v>1</v>
      </c>
      <c r="L29" s="83">
        <f>IF(A!H8="y",1,0)</f>
        <v>1</v>
      </c>
      <c r="M29" s="84" t="str">
        <f>IF(A!F8="y","NEW","")</f>
        <v/>
      </c>
      <c r="N29" s="85">
        <f>A!I8</f>
        <v>0</v>
      </c>
      <c r="O29" s="290" t="str">
        <f>A!O8</f>
        <v>1,2</v>
      </c>
      <c r="P29" s="541" t="str">
        <f>A!K8</f>
        <v>M</v>
      </c>
      <c r="Q29" s="541" t="str">
        <f>A!E8</f>
        <v>Y</v>
      </c>
      <c r="R29" s="541" t="s">
        <v>110</v>
      </c>
      <c r="S29" s="541">
        <f t="shared" si="22"/>
        <v>0</v>
      </c>
      <c r="T29" s="541" t="str">
        <f>A!R8</f>
        <v>x10</v>
      </c>
      <c r="U29" s="541">
        <f>A!S8</f>
        <v>35</v>
      </c>
      <c r="V29" s="541">
        <f>A!T8</f>
        <v>0.2</v>
      </c>
      <c r="W29" s="541">
        <f t="shared" si="24"/>
        <v>0</v>
      </c>
      <c r="X29" s="541"/>
    </row>
    <row r="30" spans="1:66" ht="11.25" hidden="1" customHeight="1" x14ac:dyDescent="0.25">
      <c r="A30" s="121" t="str">
        <f>IF(S30=0,"",COUNTIF(A$23:A29,"&gt;0")+1)</f>
        <v/>
      </c>
      <c r="B30" s="289"/>
      <c r="C30" s="76" t="str">
        <f t="shared" si="23"/>
        <v>x10</v>
      </c>
      <c r="D30" s="77" t="str">
        <f>A!C9</f>
        <v>Alisma lanceolata</v>
      </c>
      <c r="E30" s="78"/>
      <c r="F30" s="78"/>
      <c r="G30" s="79" t="str">
        <f>A!N9</f>
        <v>slender plantain</v>
      </c>
      <c r="H30" s="87" t="str">
        <f>A!Q9</f>
        <v>long green leaves topped by graceful white flowers.</v>
      </c>
      <c r="I30" s="69">
        <f>A!M9</f>
        <v>2</v>
      </c>
      <c r="J30" s="202">
        <f>A!P9</f>
        <v>0</v>
      </c>
      <c r="K30" s="83">
        <f>IF(A!G9="y",1,0)</f>
        <v>0</v>
      </c>
      <c r="L30" s="83">
        <f>IF(A!H9="y",1,0)</f>
        <v>0</v>
      </c>
      <c r="M30" s="84" t="str">
        <f>IF(A!F9="y","NEW","")</f>
        <v/>
      </c>
      <c r="N30" s="85">
        <f>A!I9</f>
        <v>0</v>
      </c>
      <c r="O30" s="290">
        <f>A!O9</f>
        <v>2</v>
      </c>
      <c r="P30" s="541">
        <f>A!K9</f>
        <v>0</v>
      </c>
      <c r="Q30" s="541">
        <f>A!E9</f>
        <v>0</v>
      </c>
      <c r="R30" s="541" t="s">
        <v>110</v>
      </c>
      <c r="S30" s="541">
        <f t="shared" si="22"/>
        <v>0</v>
      </c>
      <c r="T30" s="541" t="str">
        <f>A!R9</f>
        <v>x10</v>
      </c>
      <c r="U30" s="541" t="str">
        <f>A!S9</f>
        <v/>
      </c>
      <c r="V30" s="541">
        <f>A!T9</f>
        <v>0.2</v>
      </c>
      <c r="W30" s="541">
        <f t="shared" si="24"/>
        <v>0</v>
      </c>
      <c r="X30" s="541"/>
    </row>
    <row r="31" spans="1:66" ht="11.25" hidden="1" customHeight="1" x14ac:dyDescent="0.25">
      <c r="A31" s="121" t="str">
        <f>IF(S31=0,"",COUNTIF(A$23:A30,"&gt;0")+1)</f>
        <v/>
      </c>
      <c r="B31" s="289"/>
      <c r="C31" s="76" t="str">
        <f t="shared" ref="C31" si="25">T31</f>
        <v>x10</v>
      </c>
      <c r="D31" s="77" t="str">
        <f>A!C10</f>
        <v xml:space="preserve">Alisma parviflora  </v>
      </c>
      <c r="E31" s="78"/>
      <c r="F31" s="78"/>
      <c r="G31" s="79" t="str">
        <f>A!N10</f>
        <v>American plantain</v>
      </c>
      <c r="H31" s="87" t="str">
        <f>A!Q10</f>
        <v>small dainty white flowers over rounded foliage</v>
      </c>
      <c r="I31" s="69">
        <f>A!M10</f>
        <v>1</v>
      </c>
      <c r="J31" s="202">
        <f>A!P10</f>
        <v>0</v>
      </c>
      <c r="K31" s="83">
        <f>IF(A!G10="y",1,0)</f>
        <v>0</v>
      </c>
      <c r="L31" s="83">
        <f>IF(A!H10="y",1,0)</f>
        <v>0</v>
      </c>
      <c r="M31" s="84" t="str">
        <f>IF(A!F10="y","NEW","")</f>
        <v/>
      </c>
      <c r="N31" s="85">
        <f>A!I10</f>
        <v>0</v>
      </c>
      <c r="O31" s="290" t="str">
        <f>A!O10</f>
        <v>1,2</v>
      </c>
      <c r="P31" s="541" t="str">
        <f>A!K10</f>
        <v>M</v>
      </c>
      <c r="Q31" s="541">
        <f>A!E10</f>
        <v>0</v>
      </c>
      <c r="R31" s="541" t="s">
        <v>110</v>
      </c>
      <c r="S31" s="541">
        <f t="shared" ref="S31" si="26">B31</f>
        <v>0</v>
      </c>
      <c r="T31" s="541" t="str">
        <f>A!R10</f>
        <v>x10</v>
      </c>
      <c r="U31" s="541">
        <f>A!S10</f>
        <v>35</v>
      </c>
      <c r="V31" s="541">
        <f>A!T10</f>
        <v>0.2</v>
      </c>
      <c r="W31" s="541">
        <f t="shared" ref="W31" si="27">V31*B31</f>
        <v>0</v>
      </c>
      <c r="X31" s="541"/>
    </row>
    <row r="32" spans="1:66" ht="11.25" customHeight="1" x14ac:dyDescent="0.25">
      <c r="A32" s="121" t="str">
        <f>IF(S32=0,"",COUNTIF(A$23:A31,"&gt;0")+1)</f>
        <v/>
      </c>
      <c r="B32" s="289"/>
      <c r="C32" s="76" t="str">
        <f t="shared" si="23"/>
        <v>x10</v>
      </c>
      <c r="D32" s="77" t="str">
        <f>A!C11</f>
        <v>Alisma plantago</v>
      </c>
      <c r="E32" s="78"/>
      <c r="F32" s="78"/>
      <c r="G32" s="79" t="str">
        <f>A!N11</f>
        <v>water plantain</v>
      </c>
      <c r="H32" s="87" t="str">
        <f>A!Q11</f>
        <v>small dainty white flowers over ovate foliage</v>
      </c>
      <c r="I32" s="69">
        <f>A!M11</f>
        <v>1</v>
      </c>
      <c r="J32" s="202" t="str">
        <f>A!P11</f>
        <v>Yes</v>
      </c>
      <c r="K32" s="83">
        <f>IF(A!G11="y",1,0)</f>
        <v>1</v>
      </c>
      <c r="L32" s="83">
        <f>IF(A!H11="y",1,0)</f>
        <v>0</v>
      </c>
      <c r="M32" s="84" t="str">
        <f>IF(A!F11="y","NEW","")</f>
        <v/>
      </c>
      <c r="N32" s="85" t="str">
        <f>A!I11</f>
        <v>y</v>
      </c>
      <c r="O32" s="290" t="str">
        <f>A!O11</f>
        <v>1,2</v>
      </c>
      <c r="P32" s="541" t="str">
        <f>A!K11</f>
        <v>L</v>
      </c>
      <c r="Q32" s="541" t="str">
        <f>A!E11</f>
        <v>Y</v>
      </c>
      <c r="R32" s="541" t="s">
        <v>110</v>
      </c>
      <c r="S32" s="541">
        <f t="shared" si="22"/>
        <v>0</v>
      </c>
      <c r="T32" s="541" t="str">
        <f>A!R11</f>
        <v>x10</v>
      </c>
      <c r="U32" s="541">
        <f>A!S11</f>
        <v>55</v>
      </c>
      <c r="V32" s="541">
        <f>A!T11</f>
        <v>0.2</v>
      </c>
      <c r="W32" s="541">
        <f t="shared" si="24"/>
        <v>0</v>
      </c>
      <c r="X32" s="541"/>
    </row>
    <row r="33" spans="1:24" ht="11.25" hidden="1" customHeight="1" x14ac:dyDescent="0.25">
      <c r="A33" s="121" t="str">
        <f>IF(S33=0,"",COUNTIF(A$23:A32,"&gt;0")+1)</f>
        <v/>
      </c>
      <c r="B33" s="289"/>
      <c r="C33" s="76" t="str">
        <f t="shared" si="23"/>
        <v>x10</v>
      </c>
      <c r="D33" s="77" t="str">
        <f>A!C12</f>
        <v>Anemopsis Californicum</v>
      </c>
      <c r="E33" s="78"/>
      <c r="F33" s="78"/>
      <c r="G33" s="79" t="str">
        <f>A!N12</f>
        <v>apache beads</v>
      </c>
      <c r="H33" s="87" t="str">
        <f>A!Q12</f>
        <v>name derived from seeds used in necklaces</v>
      </c>
      <c r="I33" s="69">
        <f>A!M12</f>
        <v>2</v>
      </c>
      <c r="J33" s="202">
        <f>A!P12</f>
        <v>0</v>
      </c>
      <c r="K33" s="83">
        <f>IF(A!G12="y",1,0)</f>
        <v>0</v>
      </c>
      <c r="L33" s="83">
        <f>IF(A!H12="y",1,0)</f>
        <v>0</v>
      </c>
      <c r="M33" s="84" t="str">
        <f>IF(A!F12="y","NEW","")</f>
        <v/>
      </c>
      <c r="N33" s="85">
        <f>A!I12</f>
        <v>0</v>
      </c>
      <c r="O33" s="290" t="str">
        <f>A!O12</f>
        <v>1,2</v>
      </c>
      <c r="P33" s="541">
        <f>A!K12</f>
        <v>0</v>
      </c>
      <c r="Q33" s="541">
        <f>A!E12</f>
        <v>0</v>
      </c>
      <c r="R33" s="541" t="s">
        <v>110</v>
      </c>
      <c r="S33" s="541">
        <f t="shared" si="22"/>
        <v>0</v>
      </c>
      <c r="T33" s="541" t="str">
        <f>A!R12</f>
        <v>x10</v>
      </c>
      <c r="U33" s="541" t="str">
        <f>A!S12</f>
        <v/>
      </c>
      <c r="V33" s="541">
        <f>A!T12</f>
        <v>0.2</v>
      </c>
      <c r="W33" s="541">
        <f t="shared" si="24"/>
        <v>0</v>
      </c>
      <c r="X33" s="541"/>
    </row>
    <row r="34" spans="1:24" ht="11.25" hidden="1" customHeight="1" x14ac:dyDescent="0.25">
      <c r="A34" s="121" t="str">
        <f>IF(S34=0,"",COUNTIF(A$23:A33,"&gt;0")+1)</f>
        <v/>
      </c>
      <c r="B34" s="289"/>
      <c r="C34" s="76" t="str">
        <f t="shared" si="23"/>
        <v>x10</v>
      </c>
      <c r="D34" s="77" t="str">
        <f>A!C13</f>
        <v>Apium nodiflorum</v>
      </c>
      <c r="E34" s="78"/>
      <c r="F34" s="78"/>
      <c r="G34" s="79" t="str">
        <f>A!N13</f>
        <v>fools watercress</v>
      </c>
      <c r="H34" s="87" t="str">
        <f>A!Q13</f>
        <v>mat forming native with green foliage</v>
      </c>
      <c r="I34" s="69">
        <f>A!M13</f>
        <v>3</v>
      </c>
      <c r="J34" s="202" t="str">
        <f>A!P13</f>
        <v>Yes</v>
      </c>
      <c r="K34" s="83">
        <f>IF(A!G13="y",1,0)</f>
        <v>0</v>
      </c>
      <c r="L34" s="83">
        <f>IF(A!H13="y",1,0)</f>
        <v>0</v>
      </c>
      <c r="M34" s="84" t="str">
        <f>IF(A!F13="y","NEW","")</f>
        <v/>
      </c>
      <c r="N34" s="85">
        <f>A!I13</f>
        <v>0</v>
      </c>
      <c r="O34" s="290" t="str">
        <f>A!O13</f>
        <v>1,2</v>
      </c>
      <c r="P34" s="541">
        <f>A!K13</f>
        <v>0</v>
      </c>
      <c r="Q34" s="541">
        <f>A!E13</f>
        <v>0</v>
      </c>
      <c r="R34" s="541" t="s">
        <v>110</v>
      </c>
      <c r="S34" s="541">
        <f t="shared" si="22"/>
        <v>0</v>
      </c>
      <c r="T34" s="541" t="str">
        <f>A!R13</f>
        <v>x10</v>
      </c>
      <c r="U34" s="541" t="str">
        <f>A!S13</f>
        <v/>
      </c>
      <c r="V34" s="541">
        <f>A!T13</f>
        <v>0.2</v>
      </c>
      <c r="W34" s="541">
        <f t="shared" si="24"/>
        <v>0</v>
      </c>
      <c r="X34" s="541"/>
    </row>
    <row r="35" spans="1:24" ht="11.25" hidden="1" customHeight="1" x14ac:dyDescent="0.25">
      <c r="A35" s="121" t="str">
        <f>IF(S35=0,"",COUNTIF(A$23:A34,"&gt;0")+1)</f>
        <v/>
      </c>
      <c r="B35" s="289"/>
      <c r="C35" s="76" t="str">
        <f t="shared" si="23"/>
        <v>x10</v>
      </c>
      <c r="D35" s="77" t="str">
        <f>A!C14</f>
        <v>Arundo donax variegata</v>
      </c>
      <c r="E35" s="78"/>
      <c r="F35" s="78"/>
      <c r="G35" s="79" t="str">
        <f>A!N14</f>
        <v>giant variegated reed</v>
      </c>
      <c r="H35" s="87" t="str">
        <f>A!Q14</f>
        <v>large, arching, green/white striped foliage</v>
      </c>
      <c r="I35" s="69">
        <f>A!M14</f>
        <v>1</v>
      </c>
      <c r="J35" s="202">
        <f>A!P14</f>
        <v>0</v>
      </c>
      <c r="K35" s="83">
        <f>IF(A!G14="y",1,0)</f>
        <v>0</v>
      </c>
      <c r="L35" s="83">
        <f>IF(A!H14="y",1,0)</f>
        <v>0</v>
      </c>
      <c r="M35" s="84" t="str">
        <f>IF(A!F14="y","NEW","")</f>
        <v/>
      </c>
      <c r="N35" s="85">
        <f>A!I14</f>
        <v>0</v>
      </c>
      <c r="O35" s="290" t="str">
        <f>A!O14</f>
        <v>1,2,3</v>
      </c>
      <c r="P35" s="541">
        <f>A!K14</f>
        <v>0</v>
      </c>
      <c r="Q35" s="541">
        <f>A!E14</f>
        <v>0</v>
      </c>
      <c r="R35" s="541" t="s">
        <v>110</v>
      </c>
      <c r="S35" s="541">
        <f t="shared" si="22"/>
        <v>0</v>
      </c>
      <c r="T35" s="541" t="str">
        <f>A!R14</f>
        <v>x10</v>
      </c>
      <c r="U35" s="541" t="str">
        <f>A!S14</f>
        <v/>
      </c>
      <c r="V35" s="541">
        <f>A!T14</f>
        <v>0.2</v>
      </c>
      <c r="W35" s="541">
        <f t="shared" si="24"/>
        <v>0</v>
      </c>
      <c r="X35" s="541"/>
    </row>
    <row r="36" spans="1:24" ht="11.25" hidden="1" customHeight="1" x14ac:dyDescent="0.25">
      <c r="A36" s="121" t="str">
        <f>IF(S36=0,"",COUNTIF(A$23:A35,"&gt;0")+1)</f>
        <v/>
      </c>
      <c r="B36" s="289"/>
      <c r="C36" s="76" t="str">
        <f t="shared" si="23"/>
        <v>x10</v>
      </c>
      <c r="D36" s="77" t="str">
        <f>A!C15</f>
        <v>Arum italicum</v>
      </c>
      <c r="E36" s="78"/>
      <c r="F36" s="78"/>
      <c r="G36" s="79" t="str">
        <f>A!N15</f>
        <v>lords and ladies</v>
      </c>
      <c r="H36" s="87" t="str">
        <f>A!Q15</f>
        <v>moisture loving, berries appear after flower</v>
      </c>
      <c r="I36" s="69">
        <f>A!M15</f>
        <v>2</v>
      </c>
      <c r="J36" s="202">
        <f>A!P15</f>
        <v>0</v>
      </c>
      <c r="K36" s="83">
        <f>IF(A!G15="y",1,0)</f>
        <v>0</v>
      </c>
      <c r="L36" s="83">
        <f>IF(A!H15="y",1,0)</f>
        <v>0</v>
      </c>
      <c r="M36" s="84" t="str">
        <f>IF(A!F15="y","NEW","")</f>
        <v/>
      </c>
      <c r="N36" s="85">
        <f>A!I15</f>
        <v>0</v>
      </c>
      <c r="O36" s="290">
        <f>A!O15</f>
        <v>1</v>
      </c>
      <c r="P36" s="541">
        <f>A!K15</f>
        <v>0</v>
      </c>
      <c r="Q36" s="541">
        <f>A!E15</f>
        <v>0</v>
      </c>
      <c r="R36" s="541" t="s">
        <v>110</v>
      </c>
      <c r="S36" s="541">
        <f t="shared" si="22"/>
        <v>0</v>
      </c>
      <c r="T36" s="541" t="str">
        <f>A!R15</f>
        <v>x10</v>
      </c>
      <c r="U36" s="541" t="str">
        <f>A!S15</f>
        <v/>
      </c>
      <c r="V36" s="541">
        <f>A!T15</f>
        <v>0.2</v>
      </c>
      <c r="W36" s="541">
        <f t="shared" si="24"/>
        <v>0</v>
      </c>
      <c r="X36" s="541"/>
    </row>
    <row r="37" spans="1:24" ht="11.25" customHeight="1" x14ac:dyDescent="0.25">
      <c r="A37" s="121" t="str">
        <f>IF(S37=0,"",COUNTIF(A$23:A36,"&gt;0")+1)</f>
        <v/>
      </c>
      <c r="B37" s="289"/>
      <c r="C37" s="76" t="str">
        <f t="shared" si="23"/>
        <v>x10</v>
      </c>
      <c r="D37" s="77" t="str">
        <f>A!C16</f>
        <v>Butomus umbellatus</v>
      </c>
      <c r="E37" s="78"/>
      <c r="F37" s="78"/>
      <c r="G37" s="79" t="str">
        <f>A!N16</f>
        <v>flowering rush</v>
      </c>
      <c r="H37" s="87" t="str">
        <f>A!Q16</f>
        <v>dainty pink flowers over rush-like foliage</v>
      </c>
      <c r="I37" s="69">
        <f>A!M16</f>
        <v>1</v>
      </c>
      <c r="J37" s="202" t="str">
        <f>A!P16</f>
        <v>Yes</v>
      </c>
      <c r="K37" s="83">
        <f>IF(A!G16="y",1,0)</f>
        <v>1</v>
      </c>
      <c r="L37" s="83">
        <f>IF(A!H16="y",1,0)</f>
        <v>1</v>
      </c>
      <c r="M37" s="84" t="str">
        <f>IF(A!F16="y","NEW","")</f>
        <v/>
      </c>
      <c r="N37" s="85">
        <f>A!I16</f>
        <v>0</v>
      </c>
      <c r="O37" s="290" t="str">
        <f>A!O16</f>
        <v>2,3</v>
      </c>
      <c r="P37" s="541" t="str">
        <f>A!K16</f>
        <v>L</v>
      </c>
      <c r="Q37" s="541" t="str">
        <f>A!E16</f>
        <v>y</v>
      </c>
      <c r="R37" s="541" t="s">
        <v>110</v>
      </c>
      <c r="S37" s="541">
        <f t="shared" si="22"/>
        <v>0</v>
      </c>
      <c r="T37" s="541" t="str">
        <f>A!R16</f>
        <v>x10</v>
      </c>
      <c r="U37" s="541">
        <f>A!S16</f>
        <v>55</v>
      </c>
      <c r="V37" s="541">
        <f>A!T16</f>
        <v>0.2</v>
      </c>
      <c r="W37" s="541">
        <f t="shared" si="24"/>
        <v>0</v>
      </c>
      <c r="X37" s="541"/>
    </row>
    <row r="38" spans="1:24" ht="11.25" hidden="1" customHeight="1" x14ac:dyDescent="0.25">
      <c r="A38" s="121" t="str">
        <f>IF(S38=0,"",COUNTIF(A$23:A37,"&gt;0")+1)</f>
        <v/>
      </c>
      <c r="B38" s="289"/>
      <c r="C38" s="76" t="str">
        <f t="shared" si="23"/>
        <v>x10</v>
      </c>
      <c r="D38" s="77" t="str">
        <f>A!C17</f>
        <v>Calla palustris</v>
      </c>
      <c r="E38" s="78"/>
      <c r="F38" s="78"/>
      <c r="G38" s="79" t="str">
        <f>A!N17</f>
        <v>bog arum</v>
      </c>
      <c r="H38" s="87" t="str">
        <f>A!Q17</f>
        <v>white arum-like flowers followed by bright red berries</v>
      </c>
      <c r="I38" s="69">
        <f>A!M17</f>
        <v>1</v>
      </c>
      <c r="J38" s="202">
        <f>A!P17</f>
        <v>0</v>
      </c>
      <c r="K38" s="83">
        <f>IF(A!G17="y",1,0)</f>
        <v>0</v>
      </c>
      <c r="L38" s="83">
        <f>IF(A!H17="y",1,0)</f>
        <v>0</v>
      </c>
      <c r="M38" s="84" t="str">
        <f>IF(A!F17="y","NEW","")</f>
        <v/>
      </c>
      <c r="N38" s="85">
        <f>A!I17</f>
        <v>0</v>
      </c>
      <c r="O38" s="290" t="str">
        <f>A!O17</f>
        <v>1,2</v>
      </c>
      <c r="P38" s="541">
        <f>A!K17</f>
        <v>0</v>
      </c>
      <c r="Q38" s="541">
        <f>A!E17</f>
        <v>0</v>
      </c>
      <c r="R38" s="541" t="s">
        <v>110</v>
      </c>
      <c r="S38" s="541">
        <f t="shared" si="22"/>
        <v>0</v>
      </c>
      <c r="T38" s="541" t="str">
        <f>A!R17</f>
        <v>x10</v>
      </c>
      <c r="U38" s="541" t="str">
        <f>A!S17</f>
        <v/>
      </c>
      <c r="V38" s="541">
        <f>A!T17</f>
        <v>0.2</v>
      </c>
      <c r="W38" s="541">
        <f t="shared" si="24"/>
        <v>0</v>
      </c>
      <c r="X38" s="541"/>
    </row>
    <row r="39" spans="1:24" ht="11.25" customHeight="1" x14ac:dyDescent="0.25">
      <c r="A39" s="121" t="str">
        <f>IF(S39=0,"",COUNTIF(A$23:A38,"&gt;0")+1)</f>
        <v/>
      </c>
      <c r="B39" s="289"/>
      <c r="C39" s="76" t="str">
        <f t="shared" si="23"/>
        <v>x10</v>
      </c>
      <c r="D39" s="77" t="str">
        <f>A!C18</f>
        <v>Caltha palustris</v>
      </c>
      <c r="E39" s="78"/>
      <c r="F39" s="78"/>
      <c r="G39" s="79" t="str">
        <f>A!N18</f>
        <v>marsh marigold</v>
      </c>
      <c r="H39" s="87" t="str">
        <f>A!Q18</f>
        <v>native marigold a must have for any pond</v>
      </c>
      <c r="I39" s="69">
        <f>A!M18</f>
        <v>1</v>
      </c>
      <c r="J39" s="202" t="str">
        <f>A!P18</f>
        <v>Yes</v>
      </c>
      <c r="K39" s="83">
        <f>IF(A!G18="y",1,0)</f>
        <v>1</v>
      </c>
      <c r="L39" s="83">
        <f>IF(A!H18="y",1,0)</f>
        <v>0</v>
      </c>
      <c r="M39" s="84" t="str">
        <f>IF(A!F18="y","NEW","")</f>
        <v/>
      </c>
      <c r="N39" s="85">
        <f>A!I18</f>
        <v>0</v>
      </c>
      <c r="O39" s="290" t="str">
        <f>A!O18</f>
        <v>1,2</v>
      </c>
      <c r="P39" s="541" t="str">
        <f>A!K18</f>
        <v>M</v>
      </c>
      <c r="Q39" s="541" t="str">
        <f>A!E18</f>
        <v>Y</v>
      </c>
      <c r="R39" s="541" t="s">
        <v>110</v>
      </c>
      <c r="S39" s="541">
        <f t="shared" si="22"/>
        <v>0</v>
      </c>
      <c r="T39" s="541" t="str">
        <f>A!R18</f>
        <v>x10</v>
      </c>
      <c r="U39" s="541">
        <f>A!S18</f>
        <v>35</v>
      </c>
      <c r="V39" s="541">
        <f>A!T18</f>
        <v>0.2</v>
      </c>
      <c r="W39" s="541">
        <f t="shared" si="24"/>
        <v>0</v>
      </c>
      <c r="X39" s="541"/>
    </row>
    <row r="40" spans="1:24" ht="11.25" hidden="1" customHeight="1" x14ac:dyDescent="0.25">
      <c r="A40" s="121" t="str">
        <f>IF(S40=0,"",COUNTIF(A$23:A39,"&gt;0")+1)</f>
        <v/>
      </c>
      <c r="B40" s="289"/>
      <c r="C40" s="76" t="str">
        <f t="shared" si="23"/>
        <v>x10</v>
      </c>
      <c r="D40" s="77" t="str">
        <f>A!C19</f>
        <v>Caltha palustris Alba</v>
      </c>
      <c r="E40" s="78"/>
      <c r="F40" s="78"/>
      <c r="G40" s="79" t="str">
        <f>A!N19</f>
        <v>himalayan marigold</v>
      </c>
      <c r="H40" s="87" t="str">
        <f>A!Q19</f>
        <v>white flowering form of our native marsh marigold</v>
      </c>
      <c r="I40" s="69">
        <f>A!M19</f>
        <v>1</v>
      </c>
      <c r="J40" s="202">
        <f>A!P19</f>
        <v>0</v>
      </c>
      <c r="K40" s="83">
        <f>IF(A!G19="y",1,0)</f>
        <v>0</v>
      </c>
      <c r="L40" s="83">
        <f>IF(A!H19="y",1,0)</f>
        <v>0</v>
      </c>
      <c r="M40" s="84" t="str">
        <f>IF(A!F19="y","NEW","")</f>
        <v/>
      </c>
      <c r="N40" s="85">
        <f>A!I19</f>
        <v>0</v>
      </c>
      <c r="O40" s="290" t="str">
        <f>A!O19</f>
        <v>1,2</v>
      </c>
      <c r="P40" s="541">
        <f>A!K19</f>
        <v>0</v>
      </c>
      <c r="Q40" s="541">
        <f>A!E19</f>
        <v>0</v>
      </c>
      <c r="R40" s="541" t="s">
        <v>110</v>
      </c>
      <c r="S40" s="541">
        <f t="shared" si="22"/>
        <v>0</v>
      </c>
      <c r="T40" s="541" t="str">
        <f>A!R19</f>
        <v>x10</v>
      </c>
      <c r="U40" s="541" t="str">
        <f>A!S19</f>
        <v/>
      </c>
      <c r="V40" s="541">
        <f>A!T19</f>
        <v>0.2</v>
      </c>
      <c r="W40" s="541">
        <f t="shared" si="24"/>
        <v>0</v>
      </c>
      <c r="X40" s="541"/>
    </row>
    <row r="41" spans="1:24" ht="11.25" hidden="1" customHeight="1" x14ac:dyDescent="0.25">
      <c r="A41" s="121" t="str">
        <f>IF(S41=0,"",COUNTIF(A$23:A40,"&gt;0")+1)</f>
        <v/>
      </c>
      <c r="B41" s="289"/>
      <c r="C41" s="76" t="str">
        <f t="shared" si="23"/>
        <v>x10</v>
      </c>
      <c r="D41" s="77" t="str">
        <f>A!C20</f>
        <v>Caltha palustris 'Flore Pleno'</v>
      </c>
      <c r="E41" s="78"/>
      <c r="F41" s="78"/>
      <c r="G41" s="79" t="str">
        <f>A!N20</f>
        <v>double marsh marigold</v>
      </c>
      <c r="H41" s="87" t="str">
        <f>A!Q20</f>
        <v>beautiful double yellow flowered marigold</v>
      </c>
      <c r="I41" s="69">
        <f>A!M20</f>
        <v>1</v>
      </c>
      <c r="J41" s="202">
        <f>A!P20</f>
        <v>0</v>
      </c>
      <c r="K41" s="83">
        <f>IF(A!G20="y",1,0)</f>
        <v>0</v>
      </c>
      <c r="L41" s="83">
        <f>IF(A!H20="y",1,0)</f>
        <v>0</v>
      </c>
      <c r="M41" s="84" t="str">
        <f>IF(A!F20="y","NEW","")</f>
        <v/>
      </c>
      <c r="N41" s="85">
        <f>A!I20</f>
        <v>0</v>
      </c>
      <c r="O41" s="290" t="str">
        <f>A!O20</f>
        <v>1,2</v>
      </c>
      <c r="P41" s="541">
        <f>A!K20</f>
        <v>0</v>
      </c>
      <c r="Q41" s="541">
        <f>A!E20</f>
        <v>0</v>
      </c>
      <c r="R41" s="541" t="s">
        <v>110</v>
      </c>
      <c r="S41" s="541">
        <f t="shared" si="22"/>
        <v>0</v>
      </c>
      <c r="T41" s="541" t="str">
        <f>A!R20</f>
        <v>x10</v>
      </c>
      <c r="U41" s="541" t="str">
        <f>A!S20</f>
        <v/>
      </c>
      <c r="V41" s="541">
        <f>A!T20</f>
        <v>0.2</v>
      </c>
      <c r="W41" s="541">
        <f t="shared" si="24"/>
        <v>0</v>
      </c>
      <c r="X41" s="541"/>
    </row>
    <row r="42" spans="1:24" ht="11.25" hidden="1" customHeight="1" x14ac:dyDescent="0.25">
      <c r="A42" s="121" t="str">
        <f>IF(S42=0,"",COUNTIF(A$23:A41,"&gt;0")+1)</f>
        <v/>
      </c>
      <c r="B42" s="289"/>
      <c r="C42" s="76" t="str">
        <f t="shared" si="23"/>
        <v>x10</v>
      </c>
      <c r="D42" s="77" t="str">
        <f>A!C21</f>
        <v>Caltha polypetala</v>
      </c>
      <c r="E42" s="78"/>
      <c r="F42" s="78"/>
      <c r="G42" s="79" t="str">
        <f>A!N21</f>
        <v>giant kingcup</v>
      </c>
      <c r="H42" s="87" t="str">
        <f>A!Q21</f>
        <v>the largest of the marigolds, a real specimen</v>
      </c>
      <c r="I42" s="69">
        <f>A!M21</f>
        <v>1</v>
      </c>
      <c r="J42" s="202">
        <f>A!P21</f>
        <v>0</v>
      </c>
      <c r="K42" s="83">
        <f>IF(A!G21="y",1,0)</f>
        <v>0</v>
      </c>
      <c r="L42" s="83">
        <f>IF(A!H21="y",1,0)</f>
        <v>0</v>
      </c>
      <c r="M42" s="84" t="str">
        <f>IF(A!F21="y","NEW","")</f>
        <v/>
      </c>
      <c r="N42" s="85">
        <f>A!I21</f>
        <v>0</v>
      </c>
      <c r="O42" s="290" t="str">
        <f>A!O21</f>
        <v>1,2</v>
      </c>
      <c r="P42" s="541" t="str">
        <f>A!K21</f>
        <v>M</v>
      </c>
      <c r="Q42" s="541">
        <f>A!E21</f>
        <v>0</v>
      </c>
      <c r="R42" s="541" t="s">
        <v>110</v>
      </c>
      <c r="S42" s="541">
        <f t="shared" si="22"/>
        <v>0</v>
      </c>
      <c r="T42" s="541" t="str">
        <f>A!R21</f>
        <v>x10</v>
      </c>
      <c r="U42" s="541">
        <f>A!S21</f>
        <v>35</v>
      </c>
      <c r="V42" s="541">
        <f>A!T21</f>
        <v>0.2</v>
      </c>
      <c r="W42" s="541">
        <f t="shared" si="24"/>
        <v>0</v>
      </c>
      <c r="X42" s="541"/>
    </row>
    <row r="43" spans="1:24" ht="11.25" hidden="1" customHeight="1" x14ac:dyDescent="0.25">
      <c r="A43" s="121" t="str">
        <f>IF(S43=0,"",COUNTIF(A$23:A42,"&gt;0")+1)</f>
        <v/>
      </c>
      <c r="B43" s="289"/>
      <c r="C43" s="76" t="str">
        <f t="shared" ref="C43" si="28">T43</f>
        <v>x10</v>
      </c>
      <c r="D43" s="77" t="str">
        <f>A!C22</f>
        <v>Canna Happy Emily</v>
      </c>
      <c r="E43" s="78"/>
      <c r="F43" s="78"/>
      <c r="G43" s="79" t="str">
        <f>A!N22</f>
        <v>Indian shot plant</v>
      </c>
      <c r="H43" s="87" t="str">
        <f>A!Q22</f>
        <v> shines like the sun with its beautiful yellow colour</v>
      </c>
      <c r="I43" s="69">
        <f>A!M22</f>
        <v>1</v>
      </c>
      <c r="J43" s="202">
        <f>A!P22</f>
        <v>0</v>
      </c>
      <c r="K43" s="83">
        <f>IF(A!G22="y",1,0)</f>
        <v>0</v>
      </c>
      <c r="L43" s="83">
        <f>IF(A!H22="y",1,0)</f>
        <v>0</v>
      </c>
      <c r="M43" s="84" t="str">
        <f>IF(A!F22="y","NEW","")</f>
        <v/>
      </c>
      <c r="N43" s="85">
        <f>A!I22</f>
        <v>0</v>
      </c>
      <c r="O43" s="290">
        <f>A!O22</f>
        <v>1</v>
      </c>
      <c r="P43" s="541" t="str">
        <f>A!K22</f>
        <v>M</v>
      </c>
      <c r="Q43" s="541">
        <f>A!E22</f>
        <v>0</v>
      </c>
      <c r="R43" s="541" t="s">
        <v>110</v>
      </c>
      <c r="S43" s="541">
        <f t="shared" ref="S43" si="29">B43</f>
        <v>0</v>
      </c>
      <c r="T43" s="541" t="str">
        <f>A!R22</f>
        <v>x10</v>
      </c>
      <c r="U43" s="541">
        <f>A!S22</f>
        <v>50</v>
      </c>
      <c r="V43" s="541">
        <f>A!T22</f>
        <v>0.125</v>
      </c>
      <c r="W43" s="541">
        <f t="shared" ref="W43" si="30">V43*B43</f>
        <v>0</v>
      </c>
      <c r="X43" s="541"/>
    </row>
    <row r="44" spans="1:24" ht="11.25" customHeight="1" x14ac:dyDescent="0.25">
      <c r="A44" s="121" t="str">
        <f>IF(S44=0,"",COUNTIF(A$23:A43,"&gt;0")+1)</f>
        <v/>
      </c>
      <c r="B44" s="289"/>
      <c r="C44" s="76" t="str">
        <f t="shared" ref="C44" si="31">T44</f>
        <v>x10</v>
      </c>
      <c r="D44" s="77" t="str">
        <f>A!C23</f>
        <v>Canna Happy Julia</v>
      </c>
      <c r="E44" s="78"/>
      <c r="F44" s="78"/>
      <c r="G44" s="79" t="str">
        <f>A!N23</f>
        <v>Indian shot plant</v>
      </c>
      <c r="H44" s="87" t="str">
        <f>A!Q23</f>
        <v>deep green/purple foliage over red petals</v>
      </c>
      <c r="I44" s="69">
        <f>A!M23</f>
        <v>1</v>
      </c>
      <c r="J44" s="202">
        <f>A!P23</f>
        <v>0</v>
      </c>
      <c r="K44" s="83">
        <f>IF(A!G23="y",1,0)</f>
        <v>1</v>
      </c>
      <c r="L44" s="83">
        <f>IF(A!H23="y",1,0)</f>
        <v>0</v>
      </c>
      <c r="M44" s="84" t="str">
        <f>IF(A!F23="y","NEW","")</f>
        <v/>
      </c>
      <c r="N44" s="85">
        <f>A!I23</f>
        <v>0</v>
      </c>
      <c r="O44" s="290">
        <f>A!O23</f>
        <v>1</v>
      </c>
      <c r="P44" s="541" t="str">
        <f>A!K23</f>
        <v>M</v>
      </c>
      <c r="Q44" s="541" t="str">
        <f>A!E23</f>
        <v>y</v>
      </c>
      <c r="R44" s="541" t="s">
        <v>110</v>
      </c>
      <c r="S44" s="541">
        <f t="shared" ref="S44" si="32">B44</f>
        <v>0</v>
      </c>
      <c r="T44" s="541" t="str">
        <f>A!R23</f>
        <v>x10</v>
      </c>
      <c r="U44" s="541">
        <f>A!S23</f>
        <v>50</v>
      </c>
      <c r="V44" s="541">
        <f>A!T23</f>
        <v>0.2</v>
      </c>
      <c r="W44" s="541">
        <f t="shared" ref="W44" si="33">V44*B44</f>
        <v>0</v>
      </c>
      <c r="X44" s="541"/>
    </row>
    <row r="45" spans="1:24" ht="11.25" hidden="1" customHeight="1" x14ac:dyDescent="0.25">
      <c r="A45" s="121" t="str">
        <f>IF(S45=0,"",COUNTIF(A$23:A44,"&gt;0")+1)</f>
        <v/>
      </c>
      <c r="B45" s="289"/>
      <c r="C45" s="76" t="str">
        <f t="shared" si="23"/>
        <v>x10</v>
      </c>
      <c r="D45" s="77" t="str">
        <f>A!C24</f>
        <v>Cardamine pratensis</v>
      </c>
      <c r="E45" s="78"/>
      <c r="F45" s="78"/>
      <c r="G45" s="79" t="str">
        <f>A!N24</f>
        <v>lady's smock</v>
      </c>
      <c r="H45" s="87" t="str">
        <f>A!Q24</f>
        <v>bloom colour varies, from pale lavender, white and mauve</v>
      </c>
      <c r="I45" s="69">
        <f>A!M24</f>
        <v>3</v>
      </c>
      <c r="J45" s="202">
        <f>A!P24</f>
        <v>0</v>
      </c>
      <c r="K45" s="83">
        <f>IF(A!G24="y",1,0)</f>
        <v>0</v>
      </c>
      <c r="L45" s="83">
        <f>IF(A!H24="y",1,0)</f>
        <v>0</v>
      </c>
      <c r="M45" s="84" t="str">
        <f>IF(A!F24="y","NEW","")</f>
        <v/>
      </c>
      <c r="N45" s="85">
        <f>A!I24</f>
        <v>0</v>
      </c>
      <c r="O45" s="290">
        <f>A!O24</f>
        <v>1</v>
      </c>
      <c r="P45" s="541" t="str">
        <f>A!K24</f>
        <v>S</v>
      </c>
      <c r="Q45" s="541">
        <f>A!E24</f>
        <v>0</v>
      </c>
      <c r="R45" s="541" t="s">
        <v>110</v>
      </c>
      <c r="S45" s="541">
        <f t="shared" si="22"/>
        <v>0</v>
      </c>
      <c r="T45" s="541" t="str">
        <f>A!R24</f>
        <v>x10</v>
      </c>
      <c r="U45" s="541">
        <f>A!S24</f>
        <v>25</v>
      </c>
      <c r="V45" s="541">
        <f>A!T24</f>
        <v>0.2</v>
      </c>
      <c r="W45" s="541">
        <f t="shared" si="24"/>
        <v>0</v>
      </c>
      <c r="X45" s="541"/>
    </row>
    <row r="46" spans="1:24" ht="11.25" hidden="1" customHeight="1" x14ac:dyDescent="0.25">
      <c r="A46" s="121" t="str">
        <f>IF(S46=0,"",COUNTIF(A$23:A45,"&gt;0")+1)</f>
        <v/>
      </c>
      <c r="B46" s="289"/>
      <c r="C46" s="76" t="str">
        <f t="shared" si="23"/>
        <v>x10</v>
      </c>
      <c r="D46" s="77" t="str">
        <f>A!C25</f>
        <v>Carex Bowles Golden</v>
      </c>
      <c r="E46" s="78"/>
      <c r="F46" s="78"/>
      <c r="G46" s="79" t="str">
        <f>A!N25</f>
        <v>bowles sedge</v>
      </c>
      <c r="H46" s="87" t="str">
        <f>A!Q25</f>
        <v>wonderful, vivid golden foliage, with dark flower heads</v>
      </c>
      <c r="I46" s="69">
        <f>A!M25</f>
        <v>2</v>
      </c>
      <c r="J46" s="202">
        <f>A!P25</f>
        <v>0</v>
      </c>
      <c r="K46" s="83">
        <f>IF(A!G25="y",1,0)</f>
        <v>0</v>
      </c>
      <c r="L46" s="83">
        <f>IF(A!H25="y",1,0)</f>
        <v>0</v>
      </c>
      <c r="M46" s="84" t="str">
        <f>IF(A!F25="y","NEW","")</f>
        <v/>
      </c>
      <c r="N46" s="85">
        <f>A!I25</f>
        <v>0</v>
      </c>
      <c r="O46" s="290" t="str">
        <f>A!O25</f>
        <v>1,2</v>
      </c>
      <c r="P46" s="541">
        <f>A!K25</f>
        <v>0</v>
      </c>
      <c r="Q46" s="541">
        <f>A!E25</f>
        <v>0</v>
      </c>
      <c r="R46" s="541" t="s">
        <v>110</v>
      </c>
      <c r="S46" s="541">
        <f t="shared" si="22"/>
        <v>0</v>
      </c>
      <c r="T46" s="541" t="str">
        <f>A!R25</f>
        <v>x10</v>
      </c>
      <c r="U46" s="541" t="str">
        <f>A!S25</f>
        <v/>
      </c>
      <c r="V46" s="541">
        <f>A!T25</f>
        <v>0.2</v>
      </c>
      <c r="W46" s="541">
        <f t="shared" si="24"/>
        <v>0</v>
      </c>
      <c r="X46" s="541"/>
    </row>
    <row r="47" spans="1:24" ht="11.25" hidden="1" customHeight="1" x14ac:dyDescent="0.25">
      <c r="A47" s="121" t="str">
        <f>IF(S47=0,"",COUNTIF(A$23:A46,"&gt;0")+1)</f>
        <v/>
      </c>
      <c r="B47" s="289"/>
      <c r="C47" s="76" t="str">
        <f t="shared" si="23"/>
        <v>x10</v>
      </c>
      <c r="D47" s="77" t="str">
        <f>A!C26</f>
        <v>Carex Panicea</v>
      </c>
      <c r="E47" s="78"/>
      <c r="F47" s="78"/>
      <c r="G47" s="79" t="str">
        <f>A!N26</f>
        <v>carnation grass</v>
      </c>
      <c r="H47" s="87" t="str">
        <f>A!Q26</f>
        <v>native sedge, bluish slender leaves, compact</v>
      </c>
      <c r="I47" s="69">
        <f>A!M26</f>
        <v>2</v>
      </c>
      <c r="J47" s="202" t="str">
        <f>A!P26</f>
        <v>Yes</v>
      </c>
      <c r="K47" s="83">
        <f>IF(A!G26="y",1,0)</f>
        <v>0</v>
      </c>
      <c r="L47" s="83">
        <f>IF(A!H26="y",1,0)</f>
        <v>0</v>
      </c>
      <c r="M47" s="84" t="str">
        <f>IF(A!F26="y","NEW","")</f>
        <v/>
      </c>
      <c r="N47" s="85">
        <f>A!I26</f>
        <v>0</v>
      </c>
      <c r="O47" s="290" t="str">
        <f>A!O26</f>
        <v>1,2</v>
      </c>
      <c r="P47" s="541">
        <f>A!K26</f>
        <v>0</v>
      </c>
      <c r="Q47" s="541">
        <f>A!E26</f>
        <v>0</v>
      </c>
      <c r="R47" s="541" t="s">
        <v>110</v>
      </c>
      <c r="S47" s="541">
        <f t="shared" si="22"/>
        <v>0</v>
      </c>
      <c r="T47" s="541" t="str">
        <f>A!R26</f>
        <v>x10</v>
      </c>
      <c r="U47" s="541" t="str">
        <f>A!S26</f>
        <v/>
      </c>
      <c r="V47" s="541">
        <f>A!T26</f>
        <v>0.2</v>
      </c>
      <c r="W47" s="541">
        <f t="shared" si="24"/>
        <v>0</v>
      </c>
      <c r="X47" s="541"/>
    </row>
    <row r="48" spans="1:24" ht="11.25" hidden="1" customHeight="1" x14ac:dyDescent="0.25">
      <c r="A48" s="121" t="str">
        <f>IF(S48=0,"",COUNTIF(A$23:A47,"&gt;0")+1)</f>
        <v/>
      </c>
      <c r="B48" s="289"/>
      <c r="C48" s="76" t="str">
        <f t="shared" si="23"/>
        <v>x10</v>
      </c>
      <c r="D48" s="77" t="str">
        <f>A!C27</f>
        <v xml:space="preserve">Carex pendula </v>
      </c>
      <c r="E48" s="78"/>
      <c r="F48" s="78"/>
      <c r="G48" s="79" t="str">
        <f>A!N27</f>
        <v>pendulous sedge</v>
      </c>
      <c r="H48" s="87" t="str">
        <f>A!Q27</f>
        <v>native sedge, drooping catkin-like flowers</v>
      </c>
      <c r="I48" s="69">
        <f>A!M27</f>
        <v>3</v>
      </c>
      <c r="J48" s="202" t="str">
        <f>A!P27</f>
        <v>Yes</v>
      </c>
      <c r="K48" s="83">
        <f>IF(A!G27="y",1,0)</f>
        <v>0</v>
      </c>
      <c r="L48" s="83">
        <f>IF(A!H27="y",1,0)</f>
        <v>0</v>
      </c>
      <c r="M48" s="84" t="str">
        <f>IF(A!F27="y","NEW","")</f>
        <v/>
      </c>
      <c r="N48" s="85">
        <f>A!I27</f>
        <v>0</v>
      </c>
      <c r="O48" s="290" t="str">
        <f>A!O27</f>
        <v>1,2</v>
      </c>
      <c r="P48" s="541" t="str">
        <f>A!K27</f>
        <v>m</v>
      </c>
      <c r="Q48" s="541">
        <f>A!E27</f>
        <v>0</v>
      </c>
      <c r="R48" s="541" t="s">
        <v>110</v>
      </c>
      <c r="S48" s="541">
        <f t="shared" si="22"/>
        <v>0</v>
      </c>
      <c r="T48" s="541" t="str">
        <f>A!R27</f>
        <v>x10</v>
      </c>
      <c r="U48" s="541">
        <f>A!S27</f>
        <v>35</v>
      </c>
      <c r="V48" s="541">
        <f>A!T27</f>
        <v>0.2</v>
      </c>
      <c r="W48" s="541">
        <f t="shared" si="24"/>
        <v>0</v>
      </c>
      <c r="X48" s="541"/>
    </row>
    <row r="49" spans="1:24" ht="11.25" customHeight="1" x14ac:dyDescent="0.25">
      <c r="A49" s="121" t="str">
        <f>IF(S49=0,"",COUNTIF(A$23:A48,"&gt;0")+1)</f>
        <v/>
      </c>
      <c r="B49" s="289"/>
      <c r="C49" s="76" t="str">
        <f t="shared" si="23"/>
        <v>x10</v>
      </c>
      <c r="D49" s="77" t="str">
        <f>A!C28</f>
        <v>Cotula coronopifolia</v>
      </c>
      <c r="E49" s="78"/>
      <c r="F49" s="78"/>
      <c r="G49" s="79" t="str">
        <f>A!N28</f>
        <v>golden buttons</v>
      </c>
      <c r="H49" s="87" t="str">
        <f>A!Q28</f>
        <v xml:space="preserve">an introduced aromatic, with golden yellow flowers </v>
      </c>
      <c r="I49" s="69">
        <f>A!M28</f>
        <v>1</v>
      </c>
      <c r="J49" s="202">
        <f>A!P28</f>
        <v>0</v>
      </c>
      <c r="K49" s="83">
        <f>IF(A!G28="y",1,0)</f>
        <v>1</v>
      </c>
      <c r="L49" s="83">
        <f>IF(A!H28="y",1,0)</f>
        <v>0</v>
      </c>
      <c r="M49" s="84" t="str">
        <f>IF(A!F28="y","NEW","")</f>
        <v/>
      </c>
      <c r="N49" s="85">
        <f>A!I28</f>
        <v>0</v>
      </c>
      <c r="O49" s="290" t="str">
        <f>A!O28</f>
        <v>1,2</v>
      </c>
      <c r="P49" s="541" t="str">
        <f>A!K28</f>
        <v>s</v>
      </c>
      <c r="Q49" s="541" t="str">
        <f>A!E28</f>
        <v>y</v>
      </c>
      <c r="R49" s="541" t="s">
        <v>110</v>
      </c>
      <c r="S49" s="541">
        <f t="shared" si="22"/>
        <v>0</v>
      </c>
      <c r="T49" s="541" t="str">
        <f>A!R28</f>
        <v>x10</v>
      </c>
      <c r="U49" s="541">
        <f>A!S28</f>
        <v>25</v>
      </c>
      <c r="V49" s="541">
        <f>A!T28</f>
        <v>0.2</v>
      </c>
      <c r="W49" s="541">
        <f t="shared" si="24"/>
        <v>0</v>
      </c>
      <c r="X49" s="541"/>
    </row>
    <row r="50" spans="1:24" ht="11.25" hidden="1" customHeight="1" x14ac:dyDescent="0.25">
      <c r="A50" s="121" t="str">
        <f>IF(S50=0,"",COUNTIF(A$23:A49,"&gt;0")+1)</f>
        <v/>
      </c>
      <c r="B50" s="289"/>
      <c r="C50" s="76" t="str">
        <f t="shared" si="23"/>
        <v>x10</v>
      </c>
      <c r="D50" s="77" t="str">
        <f>A!C29</f>
        <v>Cyperus alternifolius</v>
      </c>
      <c r="E50" s="78"/>
      <c r="F50" s="78"/>
      <c r="G50" s="79" t="str">
        <f>A!N29</f>
        <v>umbrella sedge</v>
      </c>
      <c r="H50" s="87" t="str">
        <f>A!Q29</f>
        <v>wonderful, architectural umbrella-like bracts</v>
      </c>
      <c r="I50" s="69">
        <f>A!M29</f>
        <v>2</v>
      </c>
      <c r="J50" s="202">
        <f>A!P29</f>
        <v>0</v>
      </c>
      <c r="K50" s="83">
        <f>IF(A!G29="y",1,0)</f>
        <v>0</v>
      </c>
      <c r="L50" s="83">
        <f>IF(A!H29="y",1,0)</f>
        <v>0</v>
      </c>
      <c r="M50" s="84" t="str">
        <f>IF(A!F29="y","NEW","")</f>
        <v/>
      </c>
      <c r="N50" s="85">
        <f>A!I29</f>
        <v>0</v>
      </c>
      <c r="O50" s="290" t="str">
        <f>A!O29</f>
        <v>2,3</v>
      </c>
      <c r="P50" s="541" t="str">
        <f>A!K29</f>
        <v>m</v>
      </c>
      <c r="Q50" s="541">
        <f>A!E29</f>
        <v>0</v>
      </c>
      <c r="R50" s="541" t="s">
        <v>110</v>
      </c>
      <c r="S50" s="541">
        <f t="shared" si="22"/>
        <v>0</v>
      </c>
      <c r="T50" s="541" t="str">
        <f>A!R29</f>
        <v>x10</v>
      </c>
      <c r="U50" s="541">
        <f>A!S29</f>
        <v>35</v>
      </c>
      <c r="V50" s="541">
        <f>A!T29</f>
        <v>0.2</v>
      </c>
      <c r="W50" s="541">
        <f t="shared" si="24"/>
        <v>0</v>
      </c>
      <c r="X50" s="541"/>
    </row>
    <row r="51" spans="1:24" ht="11.25" hidden="1" customHeight="1" x14ac:dyDescent="0.25">
      <c r="A51" s="121" t="str">
        <f>IF(S51=0,"",COUNTIF(A$23:A50,"&gt;0")+1)</f>
        <v/>
      </c>
      <c r="B51" s="289"/>
      <c r="C51" s="76" t="str">
        <f t="shared" si="23"/>
        <v>x10</v>
      </c>
      <c r="D51" s="77" t="str">
        <f>A!C30</f>
        <v>Cyperus glaber</v>
      </c>
      <c r="E51" s="78"/>
      <c r="F51" s="78"/>
      <c r="G51" s="79" t="str">
        <f>A!N30</f>
        <v>flat sedge</v>
      </c>
      <c r="H51" s="87" t="str">
        <f>A!Q30</f>
        <v>hardy member of the sedge family, similar to alternifolius</v>
      </c>
      <c r="I51" s="69">
        <f>A!M30</f>
        <v>2</v>
      </c>
      <c r="J51" s="202">
        <f>A!P30</f>
        <v>0</v>
      </c>
      <c r="K51" s="83">
        <f>IF(A!G30="y",1,0)</f>
        <v>0</v>
      </c>
      <c r="L51" s="83">
        <f>IF(A!H30="y",1,0)</f>
        <v>0</v>
      </c>
      <c r="M51" s="84" t="str">
        <f>IF(A!F30="y","NEW","")</f>
        <v/>
      </c>
      <c r="N51" s="85">
        <f>A!I30</f>
        <v>0</v>
      </c>
      <c r="O51" s="290" t="str">
        <f>A!O30</f>
        <v>2,3</v>
      </c>
      <c r="P51" s="541">
        <f>A!K30</f>
        <v>0</v>
      </c>
      <c r="Q51" s="541">
        <f>A!E30</f>
        <v>0</v>
      </c>
      <c r="R51" s="541" t="s">
        <v>110</v>
      </c>
      <c r="S51" s="541">
        <f t="shared" si="22"/>
        <v>0</v>
      </c>
      <c r="T51" s="541" t="str">
        <f>A!R30</f>
        <v>x10</v>
      </c>
      <c r="U51" s="541" t="str">
        <f>A!S30</f>
        <v/>
      </c>
      <c r="V51" s="541">
        <f>A!T30</f>
        <v>0.2</v>
      </c>
      <c r="W51" s="541">
        <f t="shared" si="24"/>
        <v>0</v>
      </c>
      <c r="X51" s="541"/>
    </row>
    <row r="52" spans="1:24" ht="11.25" customHeight="1" x14ac:dyDescent="0.25">
      <c r="A52" s="121" t="str">
        <f>IF(S52=0,"",COUNTIF(A$23:A51,"&gt;0")+1)</f>
        <v/>
      </c>
      <c r="B52" s="289"/>
      <c r="C52" s="76" t="str">
        <f t="shared" si="23"/>
        <v>x10</v>
      </c>
      <c r="D52" s="77" t="str">
        <f>A!C31</f>
        <v>Cyperus longus</v>
      </c>
      <c r="E52" s="78"/>
      <c r="F52" s="78"/>
      <c r="G52" s="79" t="str">
        <f>A!N31</f>
        <v>sweet galingale</v>
      </c>
      <c r="H52" s="87" t="str">
        <f>A!Q31</f>
        <v>attracive, tall, arching, green foliage, brown spikelets</v>
      </c>
      <c r="I52" s="69">
        <f>A!M31</f>
        <v>2</v>
      </c>
      <c r="J52" s="202" t="str">
        <f>A!P31</f>
        <v>Yes</v>
      </c>
      <c r="K52" s="83">
        <f>IF(A!G31="y",1,0)</f>
        <v>1</v>
      </c>
      <c r="L52" s="83">
        <f>IF(A!H31="y",1,0)</f>
        <v>0</v>
      </c>
      <c r="M52" s="84" t="str">
        <f>IF(A!F31="y","NEW","")</f>
        <v/>
      </c>
      <c r="N52" s="85">
        <f>A!I31</f>
        <v>0</v>
      </c>
      <c r="O52" s="290" t="str">
        <f>A!O31</f>
        <v>2,3</v>
      </c>
      <c r="P52" s="541" t="str">
        <f>A!K31</f>
        <v>M</v>
      </c>
      <c r="Q52" s="541" t="str">
        <f>A!E31</f>
        <v>y</v>
      </c>
      <c r="R52" s="541" t="s">
        <v>110</v>
      </c>
      <c r="S52" s="541">
        <f t="shared" si="22"/>
        <v>0</v>
      </c>
      <c r="T52" s="541" t="str">
        <f>A!R31</f>
        <v>x10</v>
      </c>
      <c r="U52" s="541">
        <f>A!S31</f>
        <v>35</v>
      </c>
      <c r="V52" s="541">
        <f>A!T31</f>
        <v>0.2</v>
      </c>
      <c r="W52" s="541">
        <f t="shared" si="24"/>
        <v>0</v>
      </c>
      <c r="X52" s="541"/>
    </row>
    <row r="53" spans="1:24" ht="11.25" customHeight="1" x14ac:dyDescent="0.25">
      <c r="A53" s="121" t="str">
        <f>IF(S53=0,"",COUNTIF(A$23:A52,"&gt;0")+1)</f>
        <v/>
      </c>
      <c r="B53" s="289"/>
      <c r="C53" s="76" t="str">
        <f t="shared" si="23"/>
        <v>x10</v>
      </c>
      <c r="D53" s="77" t="str">
        <f>A!C32</f>
        <v>Cyperus papyrus</v>
      </c>
      <c r="E53" s="78"/>
      <c r="F53" s="78"/>
      <c r="G53" s="79" t="str">
        <f>A!N32</f>
        <v>paper reed</v>
      </c>
      <c r="H53" s="87" t="str">
        <f>A!Q32</f>
        <v>unusual mopheads atop slender green foliage</v>
      </c>
      <c r="I53" s="69">
        <f>A!M32</f>
        <v>1</v>
      </c>
      <c r="J53" s="202">
        <f>A!P32</f>
        <v>0</v>
      </c>
      <c r="K53" s="83">
        <f>IF(A!G32="y",1,0)</f>
        <v>1</v>
      </c>
      <c r="L53" s="83">
        <f>IF(A!H32="y",1,0)</f>
        <v>1</v>
      </c>
      <c r="M53" s="84" t="str">
        <f>IF(A!F32="y","NEW","")</f>
        <v/>
      </c>
      <c r="N53" s="85" t="str">
        <f>A!I32</f>
        <v>y</v>
      </c>
      <c r="O53" s="290" t="str">
        <f>A!O32</f>
        <v>2,3</v>
      </c>
      <c r="P53" s="541" t="str">
        <f>A!K32</f>
        <v>L</v>
      </c>
      <c r="Q53" s="541" t="str">
        <f>A!E32</f>
        <v>y</v>
      </c>
      <c r="R53" s="541" t="s">
        <v>110</v>
      </c>
      <c r="S53" s="541">
        <f t="shared" si="22"/>
        <v>0</v>
      </c>
      <c r="T53" s="541" t="str">
        <f>A!R32</f>
        <v>x10</v>
      </c>
      <c r="U53" s="541">
        <f>A!S32</f>
        <v>55</v>
      </c>
      <c r="V53" s="541">
        <f>A!T32</f>
        <v>0.2</v>
      </c>
      <c r="W53" s="541">
        <f t="shared" si="24"/>
        <v>0</v>
      </c>
      <c r="X53" s="541"/>
    </row>
    <row r="54" spans="1:24" ht="11.25" customHeight="1" x14ac:dyDescent="0.25">
      <c r="A54" s="121" t="str">
        <f>IF(S54=0,"",COUNTIF(A$23:A53,"&gt;0")+1)</f>
        <v/>
      </c>
      <c r="B54" s="289"/>
      <c r="C54" s="76" t="str">
        <f t="shared" si="23"/>
        <v>x10</v>
      </c>
      <c r="D54" s="77" t="str">
        <f>A!C33</f>
        <v>Equisetum japonicum</v>
      </c>
      <c r="E54" s="78"/>
      <c r="F54" s="78"/>
      <c r="G54" s="79" t="str">
        <f>A!N33</f>
        <v>barred horsetail</v>
      </c>
      <c r="H54" s="87" t="str">
        <f>A!Q33</f>
        <v>striking must-have for all ponds, evergreen</v>
      </c>
      <c r="I54" s="69">
        <f>A!M33</f>
        <v>1</v>
      </c>
      <c r="J54" s="202">
        <f>A!P33</f>
        <v>0</v>
      </c>
      <c r="K54" s="83">
        <f>IF(A!G33="y",1,0)</f>
        <v>1</v>
      </c>
      <c r="L54" s="83">
        <f>IF(A!H33="y",1,0)</f>
        <v>0</v>
      </c>
      <c r="M54" s="84" t="str">
        <f>IF(A!F33="y","NEW","")</f>
        <v/>
      </c>
      <c r="N54" s="85">
        <f>A!I33</f>
        <v>0</v>
      </c>
      <c r="O54" s="290" t="str">
        <f>A!O33</f>
        <v>1,2,3</v>
      </c>
      <c r="P54" s="541" t="str">
        <f>A!K33</f>
        <v>L</v>
      </c>
      <c r="Q54" s="541" t="str">
        <f>A!E33</f>
        <v>y</v>
      </c>
      <c r="R54" s="541" t="s">
        <v>110</v>
      </c>
      <c r="S54" s="541">
        <f t="shared" si="22"/>
        <v>0</v>
      </c>
      <c r="T54" s="541" t="str">
        <f>A!R33</f>
        <v>x10</v>
      </c>
      <c r="U54" s="541">
        <f>A!S33</f>
        <v>55</v>
      </c>
      <c r="V54" s="541">
        <f>A!T33</f>
        <v>0.2</v>
      </c>
      <c r="W54" s="541">
        <f t="shared" si="24"/>
        <v>0</v>
      </c>
      <c r="X54" s="541"/>
    </row>
    <row r="55" spans="1:24" ht="11.25" hidden="1" customHeight="1" x14ac:dyDescent="0.25">
      <c r="A55" s="121" t="str">
        <f>IF(S55=0,"",COUNTIF(A$23:A54,"&gt;0")+1)</f>
        <v/>
      </c>
      <c r="B55" s="289"/>
      <c r="C55" s="76" t="str">
        <f t="shared" si="23"/>
        <v>x10</v>
      </c>
      <c r="D55" s="77" t="str">
        <f>A!C34</f>
        <v>Equisetum Robustum</v>
      </c>
      <c r="E55" s="78"/>
      <c r="F55" s="78"/>
      <c r="G55" s="79" t="str">
        <f>A!N34</f>
        <v>scouring rush</v>
      </c>
      <c r="H55" s="87" t="str">
        <f>A!Q34</f>
        <v>prehistoric, larger member of the horsetails</v>
      </c>
      <c r="I55" s="69">
        <f>A!M34</f>
        <v>2</v>
      </c>
      <c r="J55" s="202">
        <f>A!P34</f>
        <v>0</v>
      </c>
      <c r="K55" s="83">
        <f>IF(A!G34="y",1,0)</f>
        <v>0</v>
      </c>
      <c r="L55" s="83">
        <f>IF(A!H34="y",1,0)</f>
        <v>0</v>
      </c>
      <c r="M55" s="84" t="str">
        <f>IF(A!F34="y","NEW","")</f>
        <v/>
      </c>
      <c r="N55" s="85">
        <f>A!I34</f>
        <v>0</v>
      </c>
      <c r="O55" s="290" t="str">
        <f>A!O34</f>
        <v>1,2,3</v>
      </c>
      <c r="P55" s="541">
        <f>A!K34</f>
        <v>0</v>
      </c>
      <c r="Q55" s="541">
        <f>A!E34</f>
        <v>0</v>
      </c>
      <c r="R55" s="541" t="s">
        <v>110</v>
      </c>
      <c r="S55" s="541">
        <f t="shared" si="22"/>
        <v>0</v>
      </c>
      <c r="T55" s="541" t="str">
        <f>A!R34</f>
        <v>x10</v>
      </c>
      <c r="U55" s="541" t="str">
        <f>A!S34</f>
        <v/>
      </c>
      <c r="V55" s="541">
        <f>A!T34</f>
        <v>0.2</v>
      </c>
      <c r="W55" s="541">
        <f t="shared" si="24"/>
        <v>0</v>
      </c>
      <c r="X55" s="541"/>
    </row>
    <row r="56" spans="1:24" ht="11.25" customHeight="1" x14ac:dyDescent="0.25">
      <c r="A56" s="121" t="str">
        <f>IF(S56=0,"",COUNTIF(A$23:A55,"&gt;0")+1)</f>
        <v/>
      </c>
      <c r="B56" s="289"/>
      <c r="C56" s="76" t="str">
        <f t="shared" si="23"/>
        <v>x10</v>
      </c>
      <c r="D56" s="77" t="str">
        <f>A!C35</f>
        <v>Equisetum scirpoides</v>
      </c>
      <c r="E56" s="78"/>
      <c r="F56" s="78"/>
      <c r="G56" s="79" t="str">
        <f>A!N35</f>
        <v>dwarf scouring rush</v>
      </c>
      <c r="H56" s="87" t="str">
        <f>A!Q35</f>
        <v>minature, thin green stems, barred with black rings</v>
      </c>
      <c r="I56" s="69">
        <f>A!M35</f>
        <v>2</v>
      </c>
      <c r="J56" s="202">
        <f>A!P35</f>
        <v>0</v>
      </c>
      <c r="K56" s="83">
        <f>IF(A!G35="y",1,0)</f>
        <v>1</v>
      </c>
      <c r="L56" s="83">
        <f>IF(A!H35="y",1,0)</f>
        <v>0</v>
      </c>
      <c r="M56" s="84" t="str">
        <f>IF(A!F35="y","NEW","")</f>
        <v>NEW</v>
      </c>
      <c r="N56" s="85">
        <f>A!I35</f>
        <v>0</v>
      </c>
      <c r="O56" s="290" t="str">
        <f>A!O35</f>
        <v>1,2</v>
      </c>
      <c r="P56" s="541" t="str">
        <f>A!K35</f>
        <v>M</v>
      </c>
      <c r="Q56" s="541" t="str">
        <f>A!E35</f>
        <v>y</v>
      </c>
      <c r="R56" s="541" t="s">
        <v>110</v>
      </c>
      <c r="S56" s="541">
        <f t="shared" si="22"/>
        <v>0</v>
      </c>
      <c r="T56" s="541" t="str">
        <f>A!R35</f>
        <v>x10</v>
      </c>
      <c r="U56" s="541">
        <f>A!S35</f>
        <v>55</v>
      </c>
      <c r="V56" s="541">
        <f>A!T35</f>
        <v>0.2</v>
      </c>
      <c r="W56" s="541">
        <f t="shared" si="24"/>
        <v>0</v>
      </c>
      <c r="X56" s="541"/>
    </row>
    <row r="57" spans="1:24" ht="11.25" hidden="1" customHeight="1" x14ac:dyDescent="0.25">
      <c r="A57" s="121" t="str">
        <f>IF(S57=0,"",COUNTIF(A$23:A56,"&gt;0")+1)</f>
        <v/>
      </c>
      <c r="B57" s="289"/>
      <c r="C57" s="76" t="str">
        <f t="shared" si="23"/>
        <v>x10</v>
      </c>
      <c r="D57" s="77" t="str">
        <f>A!C36</f>
        <v>Eriophorum angustifolium</v>
      </c>
      <c r="E57" s="78"/>
      <c r="F57" s="78"/>
      <c r="G57" s="79" t="str">
        <f>A!N36</f>
        <v>cotton grass</v>
      </c>
      <c r="H57" s="87" t="str">
        <f>A!Q36</f>
        <v>fluffy heads of white cotton-like flowers</v>
      </c>
      <c r="I57" s="69">
        <f>A!M36</f>
        <v>3</v>
      </c>
      <c r="J57" s="202">
        <f>A!P36</f>
        <v>0</v>
      </c>
      <c r="K57" s="83">
        <f>IF(A!G36="y",1,0)</f>
        <v>0</v>
      </c>
      <c r="L57" s="83">
        <f>IF(A!H36="y",1,0)</f>
        <v>0</v>
      </c>
      <c r="M57" s="84" t="str">
        <f>IF(A!F36="y","NEW","")</f>
        <v/>
      </c>
      <c r="N57" s="85">
        <f>A!I36</f>
        <v>0</v>
      </c>
      <c r="O57" s="290" t="str">
        <f>A!O36</f>
        <v>1,2</v>
      </c>
      <c r="P57" s="541">
        <f>A!K36</f>
        <v>0</v>
      </c>
      <c r="Q57" s="541">
        <f>A!E36</f>
        <v>0</v>
      </c>
      <c r="R57" s="541" t="s">
        <v>110</v>
      </c>
      <c r="S57" s="541">
        <f t="shared" si="22"/>
        <v>0</v>
      </c>
      <c r="T57" s="541" t="str">
        <f>A!R36</f>
        <v>x10</v>
      </c>
      <c r="U57" s="541" t="str">
        <f>A!S36</f>
        <v/>
      </c>
      <c r="V57" s="541">
        <f>A!T36</f>
        <v>0.2</v>
      </c>
      <c r="W57" s="541">
        <f t="shared" si="24"/>
        <v>0</v>
      </c>
      <c r="X57" s="541"/>
    </row>
    <row r="58" spans="1:24" ht="11.25" hidden="1" customHeight="1" x14ac:dyDescent="0.25">
      <c r="A58" s="121" t="str">
        <f>IF(S58=0,"",COUNTIF(A$23:A57,"&gt;0")+1)</f>
        <v/>
      </c>
      <c r="B58" s="289"/>
      <c r="C58" s="76" t="str">
        <f t="shared" si="23"/>
        <v>x10</v>
      </c>
      <c r="D58" s="77" t="str">
        <f>A!C37</f>
        <v>Hardy Ferns Assorted</v>
      </c>
      <c r="E58" s="78"/>
      <c r="F58" s="78"/>
      <c r="G58" s="79" t="str">
        <f>A!N37</f>
        <v>Mixed Ferns</v>
      </c>
      <c r="H58" s="87" t="str">
        <f>A!Q37</f>
        <v>Our choice, best selection</v>
      </c>
      <c r="I58" s="69">
        <f>A!M37</f>
        <v>2</v>
      </c>
      <c r="J58" s="202">
        <f>A!P37</f>
        <v>0</v>
      </c>
      <c r="K58" s="83">
        <f>IF(A!G37="y",1,0)</f>
        <v>0</v>
      </c>
      <c r="L58" s="83">
        <f>IF(A!H37="y",1,0)</f>
        <v>0</v>
      </c>
      <c r="M58" s="84" t="str">
        <f>IF(A!F37="y","NEW","")</f>
        <v/>
      </c>
      <c r="N58" s="85">
        <f>A!I37</f>
        <v>0</v>
      </c>
      <c r="O58" s="290">
        <f>A!O37</f>
        <v>1</v>
      </c>
      <c r="P58" s="541">
        <f>A!K37</f>
        <v>0</v>
      </c>
      <c r="Q58" s="541">
        <f>A!E37</f>
        <v>0</v>
      </c>
      <c r="R58" s="541" t="s">
        <v>110</v>
      </c>
      <c r="S58" s="541">
        <f t="shared" ref="S58" si="34">B58</f>
        <v>0</v>
      </c>
      <c r="T58" s="541" t="str">
        <f>A!R37</f>
        <v>x10</v>
      </c>
      <c r="U58" s="541" t="str">
        <f>A!S37</f>
        <v/>
      </c>
      <c r="V58" s="541">
        <f>A!T37</f>
        <v>0.2</v>
      </c>
      <c r="W58" s="541">
        <f t="shared" si="24"/>
        <v>0</v>
      </c>
      <c r="X58" s="541"/>
    </row>
    <row r="59" spans="1:24" ht="11.25" hidden="1" customHeight="1" x14ac:dyDescent="0.25">
      <c r="A59" s="121" t="str">
        <f>IF(S59=0,"",COUNTIF(A$23:A58,"&gt;0")+1)</f>
        <v/>
      </c>
      <c r="B59" s="289"/>
      <c r="C59" s="76" t="str">
        <f t="shared" si="23"/>
        <v>x10</v>
      </c>
      <c r="D59" s="77" t="str">
        <f>A!C38</f>
        <v>Filipendula ulmaria</v>
      </c>
      <c r="E59" s="78"/>
      <c r="F59" s="78"/>
      <c r="G59" s="79" t="str">
        <f>A!N38</f>
        <v>meadowsweet</v>
      </c>
      <c r="H59" s="87" t="str">
        <f>A!Q38</f>
        <v>creamy white flowers over green arching stems</v>
      </c>
      <c r="I59" s="69">
        <f>A!M38</f>
        <v>3</v>
      </c>
      <c r="J59" s="202">
        <f>A!P38</f>
        <v>0</v>
      </c>
      <c r="K59" s="83">
        <f>IF(A!G38="y",1,0)</f>
        <v>0</v>
      </c>
      <c r="L59" s="83">
        <f>IF(A!H38="y",1,0)</f>
        <v>0</v>
      </c>
      <c r="M59" s="84" t="str">
        <f>IF(A!F38="y","NEW","")</f>
        <v/>
      </c>
      <c r="N59" s="85">
        <f>A!I38</f>
        <v>0</v>
      </c>
      <c r="O59" s="290">
        <f>A!O38</f>
        <v>1</v>
      </c>
      <c r="P59" s="541">
        <f>A!K38</f>
        <v>0</v>
      </c>
      <c r="Q59" s="541">
        <f>A!E38</f>
        <v>0</v>
      </c>
      <c r="R59" s="541" t="s">
        <v>110</v>
      </c>
      <c r="S59" s="541">
        <f t="shared" ref="S59:S94" si="35">B59</f>
        <v>0</v>
      </c>
      <c r="T59" s="541" t="str">
        <f>A!R38</f>
        <v>x10</v>
      </c>
      <c r="U59" s="541" t="str">
        <f>A!S38</f>
        <v/>
      </c>
      <c r="V59" s="541">
        <f>A!T38</f>
        <v>0.2</v>
      </c>
      <c r="W59" s="541">
        <f t="shared" si="24"/>
        <v>0</v>
      </c>
      <c r="X59" s="541"/>
    </row>
    <row r="60" spans="1:24" ht="11.25" hidden="1" customHeight="1" x14ac:dyDescent="0.25">
      <c r="A60" s="121" t="str">
        <f>IF(S60=0,"",COUNTIF(A$23:A59,"&gt;0")+1)</f>
        <v/>
      </c>
      <c r="B60" s="289"/>
      <c r="C60" s="76" t="str">
        <f t="shared" si="23"/>
        <v>x10</v>
      </c>
      <c r="D60" s="77" t="str">
        <f>A!C39</f>
        <v>Fritilaria meleagris</v>
      </c>
      <c r="E60" s="78"/>
      <c r="F60" s="78"/>
      <c r="G60" s="79" t="str">
        <f>A!N39</f>
        <v>fritillery</v>
      </c>
      <c r="H60" s="87" t="str">
        <f>A!Q39</f>
        <v>captivating bell shaped, pendulous flowers</v>
      </c>
      <c r="I60" s="69">
        <f>A!M39</f>
        <v>1</v>
      </c>
      <c r="J60" s="202" t="str">
        <f>A!P39</f>
        <v>Yes</v>
      </c>
      <c r="K60" s="83">
        <f>IF(A!G39="y",1,0)</f>
        <v>0</v>
      </c>
      <c r="L60" s="83">
        <f>IF(A!H39="y",1,0)</f>
        <v>0</v>
      </c>
      <c r="M60" s="84" t="str">
        <f>IF(A!F39="y","NEW","")</f>
        <v/>
      </c>
      <c r="N60" s="85">
        <f>A!I39</f>
        <v>0</v>
      </c>
      <c r="O60" s="290">
        <f>A!O39</f>
        <v>1</v>
      </c>
      <c r="P60" s="541">
        <f>A!K39</f>
        <v>0</v>
      </c>
      <c r="Q60" s="541">
        <f>A!E39</f>
        <v>0</v>
      </c>
      <c r="R60" s="541" t="s">
        <v>110</v>
      </c>
      <c r="S60" s="541">
        <f t="shared" si="35"/>
        <v>0</v>
      </c>
      <c r="T60" s="541" t="str">
        <f>A!R39</f>
        <v>x10</v>
      </c>
      <c r="U60" s="541" t="str">
        <f>A!S39</f>
        <v/>
      </c>
      <c r="V60" s="541">
        <f>A!T39</f>
        <v>0.2</v>
      </c>
      <c r="W60" s="541">
        <f t="shared" si="24"/>
        <v>0</v>
      </c>
      <c r="X60" s="541"/>
    </row>
    <row r="61" spans="1:24" ht="11.25" customHeight="1" x14ac:dyDescent="0.25">
      <c r="A61" s="121" t="str">
        <f>IF(S61=0,"",COUNTIF(A$23:A60,"&gt;0")+1)</f>
        <v/>
      </c>
      <c r="B61" s="289"/>
      <c r="C61" s="76" t="str">
        <f t="shared" si="23"/>
        <v>x10</v>
      </c>
      <c r="D61" s="77" t="str">
        <f>A!C40</f>
        <v>Geum rivale</v>
      </c>
      <c r="E61" s="78"/>
      <c r="F61" s="78"/>
      <c r="G61" s="79" t="str">
        <f>A!N40</f>
        <v>water avens</v>
      </c>
      <c r="H61" s="87" t="str">
        <f>A!Q40</f>
        <v>native perennial, dusky pink, drooping flowers</v>
      </c>
      <c r="I61" s="69">
        <f>A!M40</f>
        <v>2</v>
      </c>
      <c r="J61" s="202">
        <f>A!P40</f>
        <v>0</v>
      </c>
      <c r="K61" s="83">
        <f>IF(A!G40="y",1,0)</f>
        <v>1</v>
      </c>
      <c r="L61" s="83">
        <f>IF(A!H40="y",1,0)</f>
        <v>0</v>
      </c>
      <c r="M61" s="84" t="str">
        <f>IF(A!F40="y","NEW","")</f>
        <v/>
      </c>
      <c r="N61" s="85">
        <f>A!I40</f>
        <v>0</v>
      </c>
      <c r="O61" s="290">
        <f>A!O40</f>
        <v>1</v>
      </c>
      <c r="P61" s="541" t="str">
        <f>A!K40</f>
        <v>m</v>
      </c>
      <c r="Q61" s="541" t="str">
        <f>A!E40</f>
        <v>y</v>
      </c>
      <c r="R61" s="541" t="s">
        <v>110</v>
      </c>
      <c r="S61" s="541">
        <f t="shared" si="35"/>
        <v>0</v>
      </c>
      <c r="T61" s="541" t="str">
        <f>A!R40</f>
        <v>x10</v>
      </c>
      <c r="U61" s="541">
        <f>A!S40</f>
        <v>35</v>
      </c>
      <c r="V61" s="541">
        <f>A!T40</f>
        <v>0.2</v>
      </c>
      <c r="W61" s="541">
        <f t="shared" si="24"/>
        <v>0</v>
      </c>
      <c r="X61" s="541"/>
    </row>
    <row r="62" spans="1:24" ht="11.25" customHeight="1" x14ac:dyDescent="0.25">
      <c r="A62" s="121" t="str">
        <f>IF(S62=0,"",COUNTIF(A$23:A61,"&gt;0")+1)</f>
        <v/>
      </c>
      <c r="B62" s="289"/>
      <c r="C62" s="76" t="str">
        <f t="shared" si="23"/>
        <v>x10</v>
      </c>
      <c r="D62" s="77" t="str">
        <f>A!C41</f>
        <v>Glyceria Maxima</v>
      </c>
      <c r="E62" s="78"/>
      <c r="F62" s="78"/>
      <c r="G62" s="79" t="str">
        <f>A!N41</f>
        <v>Reed Sweet Grass</v>
      </c>
      <c r="H62" s="87" t="str">
        <f>A!Q41</f>
        <v>emergent, with green grass-like foliage</v>
      </c>
      <c r="I62" s="69">
        <f>A!M41</f>
        <v>3</v>
      </c>
      <c r="J62" s="202">
        <f>A!P41</f>
        <v>0</v>
      </c>
      <c r="K62" s="83">
        <f>IF(A!G41="y",1,0)</f>
        <v>1</v>
      </c>
      <c r="L62" s="83">
        <f>IF(A!H41="y",1,0)</f>
        <v>1</v>
      </c>
      <c r="M62" s="84" t="str">
        <f>IF(A!F41="y","NEW","")</f>
        <v/>
      </c>
      <c r="N62" s="85">
        <f>A!I41</f>
        <v>0</v>
      </c>
      <c r="O62" s="290">
        <f>A!O41</f>
        <v>2</v>
      </c>
      <c r="P62" s="541" t="str">
        <f>A!K41</f>
        <v>M</v>
      </c>
      <c r="Q62" s="541" t="str">
        <f>A!E41</f>
        <v>y</v>
      </c>
      <c r="R62" s="541" t="s">
        <v>110</v>
      </c>
      <c r="S62" s="541">
        <f t="shared" si="35"/>
        <v>0</v>
      </c>
      <c r="T62" s="541" t="str">
        <f>A!R41</f>
        <v>x10</v>
      </c>
      <c r="U62" s="541">
        <f>A!S41</f>
        <v>35</v>
      </c>
      <c r="V62" s="541">
        <f>A!T41</f>
        <v>0.2</v>
      </c>
      <c r="W62" s="541">
        <f t="shared" si="24"/>
        <v>0</v>
      </c>
      <c r="X62" s="541"/>
    </row>
    <row r="63" spans="1:24" ht="11.25" customHeight="1" x14ac:dyDescent="0.25">
      <c r="A63" s="121" t="str">
        <f>IF(S63=0,"",COUNTIF(A$23:A62,"&gt;0")+1)</f>
        <v/>
      </c>
      <c r="B63" s="289"/>
      <c r="C63" s="76" t="str">
        <f t="shared" si="23"/>
        <v>x10</v>
      </c>
      <c r="D63" s="77" t="str">
        <f>A!C42</f>
        <v>Glyceria Variegata</v>
      </c>
      <c r="E63" s="78"/>
      <c r="F63" s="78"/>
      <c r="G63" s="79" t="str">
        <f>A!N42</f>
        <v>green &amp; white sweet grass</v>
      </c>
      <c r="H63" s="87" t="str">
        <f>A!Q42</f>
        <v>attractive creamy variegated foliage</v>
      </c>
      <c r="I63" s="69">
        <f>A!M42</f>
        <v>2</v>
      </c>
      <c r="J63" s="202">
        <f>A!P42</f>
        <v>0</v>
      </c>
      <c r="K63" s="83">
        <f>IF(A!G42="y",1,0)</f>
        <v>1</v>
      </c>
      <c r="L63" s="83">
        <f>IF(A!H42="y",1,0)</f>
        <v>1</v>
      </c>
      <c r="M63" s="84" t="str">
        <f>IF(A!F42="y","NEW","")</f>
        <v/>
      </c>
      <c r="N63" s="85">
        <f>A!I42</f>
        <v>0</v>
      </c>
      <c r="O63" s="290">
        <f>A!O42</f>
        <v>2</v>
      </c>
      <c r="P63" s="541" t="str">
        <f>A!K42</f>
        <v>M</v>
      </c>
      <c r="Q63" s="541" t="str">
        <f>A!E42</f>
        <v>Y</v>
      </c>
      <c r="R63" s="541" t="s">
        <v>110</v>
      </c>
      <c r="S63" s="541">
        <f t="shared" si="35"/>
        <v>0</v>
      </c>
      <c r="T63" s="541" t="str">
        <f>A!R42</f>
        <v>x10</v>
      </c>
      <c r="U63" s="541">
        <f>A!S42</f>
        <v>35</v>
      </c>
      <c r="V63" s="541">
        <f>A!T42</f>
        <v>0.2</v>
      </c>
      <c r="W63" s="541">
        <f t="shared" si="24"/>
        <v>0</v>
      </c>
      <c r="X63" s="541"/>
    </row>
    <row r="64" spans="1:24" ht="11.25" hidden="1" customHeight="1" x14ac:dyDescent="0.25">
      <c r="A64" s="121" t="str">
        <f>IF(S64=0,"",COUNTIF(A$23:A63,"&gt;0")+1)</f>
        <v/>
      </c>
      <c r="B64" s="289"/>
      <c r="C64" s="76" t="str">
        <f t="shared" si="23"/>
        <v>x10</v>
      </c>
      <c r="D64" s="77" t="str">
        <f>A!C43</f>
        <v>Gratiola officinalis</v>
      </c>
      <c r="E64" s="78"/>
      <c r="F64" s="78"/>
      <c r="G64" s="79" t="str">
        <f>A!N43</f>
        <v>summer snowflake</v>
      </c>
      <c r="H64" s="87" t="str">
        <f>A!Q43</f>
        <v>dainty white flowers over bright green foliage</v>
      </c>
      <c r="I64" s="69">
        <f>A!M43</f>
        <v>2</v>
      </c>
      <c r="J64" s="202">
        <f>A!P43</f>
        <v>0</v>
      </c>
      <c r="K64" s="83">
        <f>IF(A!G43="y",1,0)</f>
        <v>0</v>
      </c>
      <c r="L64" s="83">
        <f>IF(A!H43="y",1,0)</f>
        <v>0</v>
      </c>
      <c r="M64" s="84" t="str">
        <f>IF(A!F43="y","NEW","")</f>
        <v/>
      </c>
      <c r="N64" s="85">
        <f>A!I43</f>
        <v>0</v>
      </c>
      <c r="O64" s="290" t="str">
        <f>A!O43</f>
        <v>1,2</v>
      </c>
      <c r="P64" s="541" t="str">
        <f>A!K43</f>
        <v>M</v>
      </c>
      <c r="Q64" s="541">
        <f>A!E43</f>
        <v>0</v>
      </c>
      <c r="R64" s="541" t="s">
        <v>110</v>
      </c>
      <c r="S64" s="541">
        <f t="shared" si="35"/>
        <v>0</v>
      </c>
      <c r="T64" s="541" t="str">
        <f>A!R43</f>
        <v>x10</v>
      </c>
      <c r="U64" s="541">
        <f>A!S43</f>
        <v>35</v>
      </c>
      <c r="V64" s="541">
        <f>A!T43</f>
        <v>0.2</v>
      </c>
      <c r="W64" s="541">
        <f t="shared" si="24"/>
        <v>0</v>
      </c>
      <c r="X64" s="541"/>
    </row>
    <row r="65" spans="1:24" ht="11.25" hidden="1" customHeight="1" x14ac:dyDescent="0.25">
      <c r="A65" s="121" t="str">
        <f>IF(S65=0,"",COUNTIF(A$23:A64,"&gt;0")+1)</f>
        <v/>
      </c>
      <c r="B65" s="289"/>
      <c r="C65" s="76" t="str">
        <f t="shared" si="23"/>
        <v>x10</v>
      </c>
      <c r="D65" s="77" t="str">
        <f>A!C44</f>
        <v>Gunnera manicata</v>
      </c>
      <c r="E65" s="78"/>
      <c r="F65" s="78"/>
      <c r="G65" s="79" t="str">
        <f>A!N44</f>
        <v>giant rhubarb</v>
      </c>
      <c r="H65" s="87" t="str">
        <f>A!Q44</f>
        <v>biggest and most spectacular of all herbaceous plants</v>
      </c>
      <c r="I65" s="69">
        <f>A!M44</f>
        <v>1</v>
      </c>
      <c r="J65" s="202">
        <f>A!P44</f>
        <v>0</v>
      </c>
      <c r="K65" s="83">
        <f>IF(A!G44="y",1,0)</f>
        <v>0</v>
      </c>
      <c r="L65" s="83">
        <f>IF(A!H44="y",1,0)</f>
        <v>0</v>
      </c>
      <c r="M65" s="84" t="str">
        <f>IF(A!F44="y","NEW","")</f>
        <v/>
      </c>
      <c r="N65" s="85">
        <f>A!I44</f>
        <v>0</v>
      </c>
      <c r="O65" s="290">
        <f>A!O44</f>
        <v>1</v>
      </c>
      <c r="P65" s="541">
        <f>A!K44</f>
        <v>0</v>
      </c>
      <c r="Q65" s="541">
        <f>A!E44</f>
        <v>0</v>
      </c>
      <c r="R65" s="541" t="s">
        <v>110</v>
      </c>
      <c r="S65" s="541">
        <f t="shared" si="35"/>
        <v>0</v>
      </c>
      <c r="T65" s="541" t="str">
        <f>A!R44</f>
        <v>x10</v>
      </c>
      <c r="U65" s="541" t="str">
        <f>A!S44</f>
        <v/>
      </c>
      <c r="V65" s="541">
        <f>A!T44</f>
        <v>0.2</v>
      </c>
      <c r="W65" s="541">
        <f t="shared" si="24"/>
        <v>0</v>
      </c>
      <c r="X65" s="541"/>
    </row>
    <row r="66" spans="1:24" ht="11.25" customHeight="1" x14ac:dyDescent="0.25">
      <c r="A66" s="121" t="str">
        <f>IF(S66=0,"",COUNTIF(A$23:A65,"&gt;0")+1)</f>
        <v/>
      </c>
      <c r="B66" s="289"/>
      <c r="C66" s="76" t="str">
        <f t="shared" si="23"/>
        <v>x10</v>
      </c>
      <c r="D66" s="77" t="str">
        <f>A!C45</f>
        <v>Hosta Assorted</v>
      </c>
      <c r="E66" s="78"/>
      <c r="F66" s="78"/>
      <c r="G66" s="79" t="str">
        <f>A!N45</f>
        <v>plantain lily</v>
      </c>
      <c r="H66" s="87" t="str">
        <f>A!Q45</f>
        <v>selection of best stock, picked by us</v>
      </c>
      <c r="I66" s="69">
        <f>A!M45</f>
        <v>1</v>
      </c>
      <c r="J66" s="202">
        <f>A!P45</f>
        <v>0</v>
      </c>
      <c r="K66" s="83">
        <f>IF(A!G45="y",1,0)</f>
        <v>1</v>
      </c>
      <c r="L66" s="83">
        <f>IF(A!H45="y",1,0)</f>
        <v>1</v>
      </c>
      <c r="M66" s="84" t="str">
        <f>IF(A!F45="y","NEW","")</f>
        <v/>
      </c>
      <c r="N66" s="85">
        <f>A!I45</f>
        <v>0</v>
      </c>
      <c r="O66" s="290">
        <f>A!O45</f>
        <v>1</v>
      </c>
      <c r="P66" s="541" t="str">
        <f>A!K45</f>
        <v>M</v>
      </c>
      <c r="Q66" s="541" t="str">
        <f>A!E45</f>
        <v>Y</v>
      </c>
      <c r="R66" s="541" t="s">
        <v>110</v>
      </c>
      <c r="S66" s="541">
        <f t="shared" si="35"/>
        <v>0</v>
      </c>
      <c r="T66" s="541" t="str">
        <f>A!R45</f>
        <v>x10</v>
      </c>
      <c r="U66" s="541">
        <f>A!S45</f>
        <v>35</v>
      </c>
      <c r="V66" s="541">
        <f>A!T45</f>
        <v>0.2</v>
      </c>
      <c r="W66" s="541">
        <f t="shared" si="24"/>
        <v>0</v>
      </c>
      <c r="X66" s="541"/>
    </row>
    <row r="67" spans="1:24" ht="11.25" hidden="1" customHeight="1" x14ac:dyDescent="0.25">
      <c r="A67" s="121" t="str">
        <f>IF(S67=0,"",COUNTIF(A$23:A66,"&gt;0")+1)</f>
        <v/>
      </c>
      <c r="B67" s="289"/>
      <c r="C67" s="76" t="str">
        <f t="shared" si="23"/>
        <v>x10</v>
      </c>
      <c r="D67" s="77" t="str">
        <f>A!C46</f>
        <v>Houttuynia cordata</v>
      </c>
      <c r="E67" s="78"/>
      <c r="F67" s="78"/>
      <c r="G67" s="79" t="str">
        <f>A!N46</f>
        <v>orange peel</v>
      </c>
      <c r="H67" s="87" t="str">
        <f>A!Q46</f>
        <v>wonderful aromatic foliage, used in chinese medecine</v>
      </c>
      <c r="I67" s="69">
        <f>A!M46</f>
        <v>1</v>
      </c>
      <c r="J67" s="202">
        <f>A!P46</f>
        <v>0</v>
      </c>
      <c r="K67" s="83">
        <f>IF(A!G46="y",1,0)</f>
        <v>0</v>
      </c>
      <c r="L67" s="83">
        <f>IF(A!H46="y",1,0)</f>
        <v>0</v>
      </c>
      <c r="M67" s="84" t="str">
        <f>IF(A!F46="y","NEW","")</f>
        <v/>
      </c>
      <c r="N67" s="85">
        <f>A!I46</f>
        <v>0</v>
      </c>
      <c r="O67" s="290" t="str">
        <f>A!O46</f>
        <v>1,2</v>
      </c>
      <c r="P67" s="541" t="str">
        <f>A!K46</f>
        <v>S</v>
      </c>
      <c r="Q67" s="541">
        <f>A!E46</f>
        <v>0</v>
      </c>
      <c r="R67" s="541" t="s">
        <v>110</v>
      </c>
      <c r="S67" s="541">
        <f t="shared" si="35"/>
        <v>0</v>
      </c>
      <c r="T67" s="541" t="str">
        <f>A!R46</f>
        <v>x10</v>
      </c>
      <c r="U67" s="541">
        <f>A!S46</f>
        <v>25</v>
      </c>
      <c r="V67" s="541">
        <f>A!T46</f>
        <v>0.2</v>
      </c>
      <c r="W67" s="541">
        <f t="shared" si="24"/>
        <v>0</v>
      </c>
      <c r="X67" s="541"/>
    </row>
    <row r="68" spans="1:24" ht="11.25" hidden="1" customHeight="1" x14ac:dyDescent="0.25">
      <c r="A68" s="121" t="str">
        <f>IF(S68=0,"",COUNTIF(A$23:A67,"&gt;0")+1)</f>
        <v/>
      </c>
      <c r="B68" s="289"/>
      <c r="C68" s="76" t="str">
        <f t="shared" si="23"/>
        <v>x10</v>
      </c>
      <c r="D68" s="77" t="str">
        <f>A!C47</f>
        <v>Houttuynia cordata Bobo</v>
      </c>
      <c r="E68" s="78"/>
      <c r="F68" s="78"/>
      <c r="G68" s="79" t="str">
        <f>A!N47</f>
        <v>orange peel</v>
      </c>
      <c r="H68" s="87" t="str">
        <f>A!Q47</f>
        <v>multi-coloured variegated foliage of green,red and cream</v>
      </c>
      <c r="I68" s="69">
        <f>A!M47</f>
        <v>1</v>
      </c>
      <c r="J68" s="202">
        <f>A!P47</f>
        <v>0</v>
      </c>
      <c r="K68" s="83">
        <f>IF(A!G47="y",1,0)</f>
        <v>0</v>
      </c>
      <c r="L68" s="83">
        <f>IF(A!H47="y",1,0)</f>
        <v>0</v>
      </c>
      <c r="M68" s="84" t="str">
        <f>IF(A!F47="y","NEW","")</f>
        <v/>
      </c>
      <c r="N68" s="85">
        <f>A!I47</f>
        <v>0</v>
      </c>
      <c r="O68" s="290" t="str">
        <f>A!O47</f>
        <v>1,2</v>
      </c>
      <c r="P68" s="541">
        <f>A!K47</f>
        <v>0</v>
      </c>
      <c r="Q68" s="541">
        <f>A!E47</f>
        <v>0</v>
      </c>
      <c r="R68" s="541" t="s">
        <v>110</v>
      </c>
      <c r="S68" s="541">
        <f t="shared" si="35"/>
        <v>0</v>
      </c>
      <c r="T68" s="541" t="str">
        <f>A!R47</f>
        <v>x10</v>
      </c>
      <c r="U68" s="541" t="str">
        <f>A!S47</f>
        <v/>
      </c>
      <c r="V68" s="541">
        <f>A!T47</f>
        <v>0.2</v>
      </c>
      <c r="W68" s="541">
        <f t="shared" si="24"/>
        <v>0</v>
      </c>
      <c r="X68" s="541"/>
    </row>
    <row r="69" spans="1:24" ht="11.25" hidden="1" customHeight="1" x14ac:dyDescent="0.25">
      <c r="A69" s="121" t="str">
        <f>IF(S69=0,"",COUNTIF(A$23:A68,"&gt;0")+1)</f>
        <v/>
      </c>
      <c r="B69" s="289"/>
      <c r="C69" s="76" t="str">
        <f t="shared" si="23"/>
        <v>x10</v>
      </c>
      <c r="D69" s="77" t="str">
        <f>A!C48</f>
        <v>Houttuynia cordata Flame</v>
      </c>
      <c r="E69" s="78"/>
      <c r="F69" s="78"/>
      <c r="G69" s="79" t="str">
        <f>A!N48</f>
        <v>orange peel</v>
      </c>
      <c r="H69" s="87" t="str">
        <f>A!Q48</f>
        <v>much lighter in colour than variegata</v>
      </c>
      <c r="I69" s="69">
        <f>A!M48</f>
        <v>1</v>
      </c>
      <c r="J69" s="202">
        <f>A!P48</f>
        <v>0</v>
      </c>
      <c r="K69" s="83">
        <f>IF(A!G48="y",1,0)</f>
        <v>0</v>
      </c>
      <c r="L69" s="83">
        <f>IF(A!H48="y",1,0)</f>
        <v>0</v>
      </c>
      <c r="M69" s="84" t="str">
        <f>IF(A!F48="y","NEW","")</f>
        <v/>
      </c>
      <c r="N69" s="85">
        <f>A!I48</f>
        <v>0</v>
      </c>
      <c r="O69" s="290" t="str">
        <f>A!O48</f>
        <v>1,2</v>
      </c>
      <c r="P69" s="541" t="str">
        <f>A!K48</f>
        <v>S</v>
      </c>
      <c r="Q69" s="541">
        <f>A!E48</f>
        <v>0</v>
      </c>
      <c r="R69" s="541" t="s">
        <v>110</v>
      </c>
      <c r="S69" s="541">
        <f t="shared" si="35"/>
        <v>0</v>
      </c>
      <c r="T69" s="541" t="str">
        <f>A!R48</f>
        <v>x10</v>
      </c>
      <c r="U69" s="541">
        <f>A!S48</f>
        <v>25</v>
      </c>
      <c r="V69" s="541">
        <f>A!T48</f>
        <v>0.2</v>
      </c>
      <c r="W69" s="541">
        <f t="shared" si="24"/>
        <v>0</v>
      </c>
      <c r="X69" s="541"/>
    </row>
    <row r="70" spans="1:24" ht="11.25" customHeight="1" x14ac:dyDescent="0.25">
      <c r="A70" s="121" t="str">
        <f>IF(S70=0,"",COUNTIF(A$23:A69,"&gt;0")+1)</f>
        <v/>
      </c>
      <c r="B70" s="289"/>
      <c r="C70" s="76" t="str">
        <f t="shared" si="23"/>
        <v>x10</v>
      </c>
      <c r="D70" s="77" t="str">
        <f>A!C49</f>
        <v>Houttuynia cordata variegata</v>
      </c>
      <c r="E70" s="78"/>
      <c r="F70" s="78"/>
      <c r="G70" s="79" t="str">
        <f>A!N49</f>
        <v>orange peel</v>
      </c>
      <c r="H70" s="87" t="str">
        <f>A!Q49</f>
        <v>scented, multi coloured foliage, smelling of orange peel</v>
      </c>
      <c r="I70" s="69">
        <f>A!M49</f>
        <v>1</v>
      </c>
      <c r="J70" s="202">
        <f>A!P49</f>
        <v>0</v>
      </c>
      <c r="K70" s="83">
        <f>IF(A!G49="y",1,0)</f>
        <v>1</v>
      </c>
      <c r="L70" s="83">
        <f>IF(A!H49="y",1,0)</f>
        <v>0</v>
      </c>
      <c r="M70" s="84" t="str">
        <f>IF(A!F49="y","NEW","")</f>
        <v/>
      </c>
      <c r="N70" s="85">
        <f>A!I49</f>
        <v>0</v>
      </c>
      <c r="O70" s="290" t="str">
        <f>A!O49</f>
        <v>1,2</v>
      </c>
      <c r="P70" s="541" t="str">
        <f>A!K49</f>
        <v>S</v>
      </c>
      <c r="Q70" s="541" t="str">
        <f>A!E49</f>
        <v>Y</v>
      </c>
      <c r="R70" s="541" t="s">
        <v>110</v>
      </c>
      <c r="S70" s="541">
        <f t="shared" si="35"/>
        <v>0</v>
      </c>
      <c r="T70" s="541" t="str">
        <f>A!R49</f>
        <v>x10</v>
      </c>
      <c r="U70" s="541">
        <f>A!S49</f>
        <v>25</v>
      </c>
      <c r="V70" s="541">
        <f>A!T49</f>
        <v>0.2</v>
      </c>
      <c r="W70" s="541">
        <f t="shared" si="24"/>
        <v>0</v>
      </c>
      <c r="X70" s="541"/>
    </row>
    <row r="71" spans="1:24" ht="11.25" hidden="1" customHeight="1" x14ac:dyDescent="0.25">
      <c r="A71" s="121" t="str">
        <f>IF(S71=0,"",COUNTIF(A$23:A70,"&gt;0")+1)</f>
        <v/>
      </c>
      <c r="B71" s="289"/>
      <c r="C71" s="76" t="str">
        <f t="shared" si="23"/>
        <v>x10</v>
      </c>
      <c r="D71" s="77" t="str">
        <f>A!C50</f>
        <v>Hypericum elodes</v>
      </c>
      <c r="E71" s="78"/>
      <c r="F71" s="78"/>
      <c r="G71" s="79" t="str">
        <f>A!N50</f>
        <v>marsh st johns wort</v>
      </c>
      <c r="H71" s="87" t="str">
        <f>A!Q50</f>
        <v>mat-forming native with yellow flowers</v>
      </c>
      <c r="I71" s="69">
        <f>A!M50</f>
        <v>2</v>
      </c>
      <c r="J71" s="202" t="str">
        <f>A!P50</f>
        <v>Yes</v>
      </c>
      <c r="K71" s="83">
        <f>IF(A!G50="y",1,0)</f>
        <v>0</v>
      </c>
      <c r="L71" s="83">
        <f>IF(A!H50="y",1,0)</f>
        <v>0</v>
      </c>
      <c r="M71" s="84" t="str">
        <f>IF(A!F50="y","NEW","")</f>
        <v/>
      </c>
      <c r="N71" s="85">
        <f>A!I50</f>
        <v>0</v>
      </c>
      <c r="O71" s="290" t="str">
        <f>A!O50</f>
        <v>1,2</v>
      </c>
      <c r="P71" s="541" t="str">
        <f>A!K50</f>
        <v>S</v>
      </c>
      <c r="Q71" s="541">
        <f>A!E50</f>
        <v>0</v>
      </c>
      <c r="R71" s="541" t="s">
        <v>110</v>
      </c>
      <c r="S71" s="541">
        <f t="shared" si="35"/>
        <v>0</v>
      </c>
      <c r="T71" s="541" t="str">
        <f>A!R50</f>
        <v>x10</v>
      </c>
      <c r="U71" s="541">
        <f>A!S50</f>
        <v>25</v>
      </c>
      <c r="V71" s="541">
        <f>A!T50</f>
        <v>0.2</v>
      </c>
      <c r="W71" s="541">
        <f t="shared" si="24"/>
        <v>0</v>
      </c>
      <c r="X71" s="541"/>
    </row>
    <row r="72" spans="1:24" ht="11.25" hidden="1" customHeight="1" x14ac:dyDescent="0.25">
      <c r="A72" s="121" t="str">
        <f>IF(S72=0,"",COUNTIF(A$23:A71,"&gt;0")+1)</f>
        <v/>
      </c>
      <c r="B72" s="289"/>
      <c r="C72" s="76" t="str">
        <f t="shared" si="23"/>
        <v>x10</v>
      </c>
      <c r="D72" s="77" t="str">
        <f>A!C51</f>
        <v>Iris ensata</v>
      </c>
      <c r="E72" s="78"/>
      <c r="F72" s="78"/>
      <c r="G72" s="79" t="str">
        <f>A!N51</f>
        <v xml:space="preserve"> Japanese flag</v>
      </c>
      <c r="H72" s="87" t="str">
        <f>A!Q51</f>
        <v>one of the largest flowers of all aquatic irises, stunning</v>
      </c>
      <c r="I72" s="69">
        <f>A!M51</f>
        <v>1</v>
      </c>
      <c r="J72" s="202">
        <f>A!P51</f>
        <v>0</v>
      </c>
      <c r="K72" s="83">
        <f>IF(A!G51="y",1,0)</f>
        <v>0</v>
      </c>
      <c r="L72" s="83">
        <f>IF(A!H51="y",1,0)</f>
        <v>0</v>
      </c>
      <c r="M72" s="84" t="str">
        <f>IF(A!F51="y","NEW","")</f>
        <v/>
      </c>
      <c r="N72" s="85">
        <f>A!I51</f>
        <v>0</v>
      </c>
      <c r="O72" s="290" t="str">
        <f>A!O51</f>
        <v>1,2</v>
      </c>
      <c r="P72" s="541">
        <f>A!K51</f>
        <v>0</v>
      </c>
      <c r="Q72" s="541">
        <f>A!E51</f>
        <v>0</v>
      </c>
      <c r="R72" s="541" t="s">
        <v>110</v>
      </c>
      <c r="S72" s="541">
        <f t="shared" si="35"/>
        <v>0</v>
      </c>
      <c r="T72" s="541" t="str">
        <f>A!R51</f>
        <v>x10</v>
      </c>
      <c r="U72" s="541" t="str">
        <f>A!S51</f>
        <v/>
      </c>
      <c r="V72" s="541">
        <f>A!T51</f>
        <v>0.2</v>
      </c>
      <c r="W72" s="541">
        <f t="shared" si="24"/>
        <v>0</v>
      </c>
      <c r="X72" s="541"/>
    </row>
    <row r="73" spans="1:24" ht="11.25" customHeight="1" x14ac:dyDescent="0.25">
      <c r="A73" s="121" t="str">
        <f>IF(S73=0,"",COUNTIF(A$23:A72,"&gt;0")+1)</f>
        <v/>
      </c>
      <c r="B73" s="289"/>
      <c r="C73" s="76" t="str">
        <f t="shared" si="23"/>
        <v>x10</v>
      </c>
      <c r="D73" s="77" t="str">
        <f>A!C52</f>
        <v>Iris louisiana</v>
      </c>
      <c r="E73" s="78"/>
      <c r="F73" s="78"/>
      <c r="G73" s="79" t="str">
        <f>A!N52</f>
        <v>louisiana water iris</v>
      </c>
      <c r="H73" s="87" t="str">
        <f>A!Q52</f>
        <v>wonderful, evergreen water iris originating from USA</v>
      </c>
      <c r="I73" s="69">
        <f>A!M52</f>
        <v>1</v>
      </c>
      <c r="J73" s="202">
        <f>A!P52</f>
        <v>0</v>
      </c>
      <c r="K73" s="83">
        <f>IF(A!G52="y",1,0)</f>
        <v>1</v>
      </c>
      <c r="L73" s="83">
        <f>IF(A!H52="y",1,0)</f>
        <v>0</v>
      </c>
      <c r="M73" s="84" t="str">
        <f>IF(A!F52="y","NEW","")</f>
        <v/>
      </c>
      <c r="N73" s="85">
        <f>A!I52</f>
        <v>0</v>
      </c>
      <c r="O73" s="290" t="str">
        <f>A!O52</f>
        <v>1,2</v>
      </c>
      <c r="P73" s="541" t="str">
        <f>A!K52</f>
        <v>L</v>
      </c>
      <c r="Q73" s="541" t="str">
        <f>A!E52</f>
        <v>y</v>
      </c>
      <c r="R73" s="541" t="s">
        <v>110</v>
      </c>
      <c r="S73" s="541">
        <f t="shared" si="35"/>
        <v>0</v>
      </c>
      <c r="T73" s="541" t="str">
        <f>A!R52</f>
        <v>x10</v>
      </c>
      <c r="U73" s="541">
        <f>A!S52</f>
        <v>55</v>
      </c>
      <c r="V73" s="541">
        <f>A!T52</f>
        <v>0.2</v>
      </c>
      <c r="W73" s="541">
        <f t="shared" si="24"/>
        <v>0</v>
      </c>
      <c r="X73" s="541"/>
    </row>
    <row r="74" spans="1:24" ht="11.25" hidden="1" customHeight="1" x14ac:dyDescent="0.25">
      <c r="A74" s="121" t="str">
        <f>IF(S74=0,"",COUNTIF(A$23:A73,"&gt;0")+1)</f>
        <v/>
      </c>
      <c r="B74" s="289"/>
      <c r="C74" s="76" t="str">
        <f t="shared" si="23"/>
        <v>x10</v>
      </c>
      <c r="D74" s="77" t="str">
        <f>A!C54</f>
        <v>Iris louisiana 'Black Gamecock'</v>
      </c>
      <c r="E74" s="78"/>
      <c r="F74" s="78"/>
      <c r="G74" s="79" t="str">
        <f>A!N54</f>
        <v>louisiana water iris</v>
      </c>
      <c r="H74" s="87" t="str">
        <f>A!Q54</f>
        <v>striking dark-purple velvety flowers</v>
      </c>
      <c r="I74" s="69">
        <f>A!M54</f>
        <v>1</v>
      </c>
      <c r="J74" s="202">
        <f>A!P54</f>
        <v>0</v>
      </c>
      <c r="K74" s="83">
        <f>IF(A!G54="y",1,0)</f>
        <v>0</v>
      </c>
      <c r="L74" s="83">
        <f>IF(A!H54="y",1,0)</f>
        <v>0</v>
      </c>
      <c r="M74" s="84" t="str">
        <f>IF(A!F54="y","NEW","")</f>
        <v/>
      </c>
      <c r="N74" s="85">
        <f>A!I54</f>
        <v>0</v>
      </c>
      <c r="O74" s="290" t="str">
        <f>A!O54</f>
        <v>1,2</v>
      </c>
      <c r="P74" s="541">
        <f>A!K54</f>
        <v>0</v>
      </c>
      <c r="Q74" s="541">
        <f>A!E54</f>
        <v>0</v>
      </c>
      <c r="R74" s="541" t="s">
        <v>110</v>
      </c>
      <c r="S74" s="541">
        <f t="shared" si="35"/>
        <v>0</v>
      </c>
      <c r="T74" s="541" t="str">
        <f>A!R54</f>
        <v>x10</v>
      </c>
      <c r="U74" s="541" t="str">
        <f>A!S54</f>
        <v/>
      </c>
      <c r="V74" s="541">
        <f>A!T54</f>
        <v>0.2</v>
      </c>
      <c r="W74" s="541">
        <f t="shared" si="24"/>
        <v>0</v>
      </c>
      <c r="X74" s="541"/>
    </row>
    <row r="75" spans="1:24" ht="11.25" hidden="1" customHeight="1" x14ac:dyDescent="0.25">
      <c r="A75" s="121" t="str">
        <f>IF(S75=0,"",COUNTIF(A$23:A74,"&gt;0")+1)</f>
        <v/>
      </c>
      <c r="B75" s="289"/>
      <c r="C75" s="76" t="str">
        <f t="shared" si="23"/>
        <v>x10</v>
      </c>
      <c r="D75" s="77" t="str">
        <f>A!C55</f>
        <v>Iris louisiana Mixed</v>
      </c>
      <c r="E75" s="78"/>
      <c r="F75" s="78"/>
      <c r="G75" s="79" t="str">
        <f>A!N55</f>
        <v>red &amp; yellow louisiana water iris</v>
      </c>
      <c r="H75" s="87" t="str">
        <f>A!Q55</f>
        <v>best selection of these wonderful irises</v>
      </c>
      <c r="I75" s="69">
        <f>A!M55</f>
        <v>1</v>
      </c>
      <c r="J75" s="202">
        <f>A!P55</f>
        <v>0</v>
      </c>
      <c r="K75" s="83">
        <f>IF(A!G55="y",1,0)</f>
        <v>0</v>
      </c>
      <c r="L75" s="83">
        <f>IF(A!H55="y",1,0)</f>
        <v>0</v>
      </c>
      <c r="M75" s="84" t="str">
        <f>IF(A!F55="y","NEW","")</f>
        <v/>
      </c>
      <c r="N75" s="85">
        <f>A!I55</f>
        <v>0</v>
      </c>
      <c r="O75" s="290" t="str">
        <f>A!O55</f>
        <v>1,2</v>
      </c>
      <c r="P75" s="541" t="str">
        <f>A!K55</f>
        <v>L</v>
      </c>
      <c r="Q75" s="541">
        <f>A!E55</f>
        <v>0</v>
      </c>
      <c r="R75" s="541" t="s">
        <v>110</v>
      </c>
      <c r="S75" s="541">
        <f t="shared" si="35"/>
        <v>0</v>
      </c>
      <c r="T75" s="541" t="str">
        <f>A!R55</f>
        <v>x10</v>
      </c>
      <c r="U75" s="541">
        <f>A!S55</f>
        <v>55</v>
      </c>
      <c r="V75" s="541">
        <f>A!T55</f>
        <v>0.2</v>
      </c>
      <c r="W75" s="541">
        <f t="shared" si="24"/>
        <v>0</v>
      </c>
      <c r="X75" s="541"/>
    </row>
    <row r="76" spans="1:24" ht="11.25" hidden="1" customHeight="1" x14ac:dyDescent="0.25">
      <c r="A76" s="121" t="str">
        <f>IF(S76=0,"",COUNTIF(A$23:A75,"&gt;0")+1)</f>
        <v/>
      </c>
      <c r="B76" s="289"/>
      <c r="C76" s="76" t="str">
        <f t="shared" ref="C76" si="36">T76</f>
        <v>x10</v>
      </c>
      <c r="D76" s="77" t="str">
        <f>A!C56</f>
        <v>Iris louisiana pagaletta</v>
      </c>
      <c r="E76" s="78"/>
      <c r="F76" s="78"/>
      <c r="G76" s="79" t="str">
        <f>A!N56</f>
        <v>louisiana water iris</v>
      </c>
      <c r="H76" s="87" t="str">
        <f>A!Q56</f>
        <v>offering purple blooms over evergreen foliage</v>
      </c>
      <c r="I76" s="69">
        <f>A!M56</f>
        <v>1</v>
      </c>
      <c r="J76" s="202">
        <f>A!P56</f>
        <v>0</v>
      </c>
      <c r="K76" s="83">
        <f>IF(A!G56="y",1,0)</f>
        <v>0</v>
      </c>
      <c r="L76" s="83">
        <f>IF(A!H56="y",1,0)</f>
        <v>0</v>
      </c>
      <c r="M76" s="84" t="str">
        <f>IF(A!F56="y","NEW","")</f>
        <v/>
      </c>
      <c r="N76" s="85">
        <f>A!I56</f>
        <v>0</v>
      </c>
      <c r="O76" s="290" t="str">
        <f>A!O56</f>
        <v>1,2</v>
      </c>
      <c r="P76" s="541" t="str">
        <f>A!K56</f>
        <v>L</v>
      </c>
      <c r="Q76" s="541">
        <f>A!E56</f>
        <v>0</v>
      </c>
      <c r="R76" s="541" t="s">
        <v>110</v>
      </c>
      <c r="S76" s="541">
        <f t="shared" ref="S76" si="37">B76</f>
        <v>0</v>
      </c>
      <c r="T76" s="541" t="str">
        <f>A!R56</f>
        <v>x10</v>
      </c>
      <c r="U76" s="541">
        <f>A!S56</f>
        <v>55</v>
      </c>
      <c r="V76" s="541">
        <f>A!T56</f>
        <v>0.2</v>
      </c>
      <c r="W76" s="541">
        <f t="shared" si="24"/>
        <v>0</v>
      </c>
      <c r="X76" s="541"/>
    </row>
    <row r="77" spans="1:24" ht="11.25" customHeight="1" x14ac:dyDescent="0.25">
      <c r="A77" s="121" t="str">
        <f>IF(S77=0,"",COUNTIF(A$23:A76,"&gt;0")+1)</f>
        <v/>
      </c>
      <c r="B77" s="289"/>
      <c r="C77" s="76" t="str">
        <f t="shared" si="23"/>
        <v>x10</v>
      </c>
      <c r="D77" s="77" t="str">
        <f>A!C57</f>
        <v>Iris pseudacorus</v>
      </c>
      <c r="E77" s="78"/>
      <c r="F77" s="78"/>
      <c r="G77" s="79" t="str">
        <f>A!N57</f>
        <v>yellow iris</v>
      </c>
      <c r="H77" s="87" t="str">
        <f>A!Q57</f>
        <v>the only native aquatic iris, hardy and tough</v>
      </c>
      <c r="I77" s="69">
        <f>A!M57</f>
        <v>1</v>
      </c>
      <c r="J77" s="202" t="str">
        <f>A!P57</f>
        <v>Yes</v>
      </c>
      <c r="K77" s="83">
        <f>IF(A!G57="y",1,0)</f>
        <v>1</v>
      </c>
      <c r="L77" s="83">
        <f>IF(A!H57="y",1,0)</f>
        <v>1</v>
      </c>
      <c r="M77" s="84" t="str">
        <f>IF(A!F57="y","NEW","")</f>
        <v/>
      </c>
      <c r="N77" s="85">
        <f>A!I57</f>
        <v>0</v>
      </c>
      <c r="O77" s="290" t="str">
        <f>A!O57</f>
        <v>2,3</v>
      </c>
      <c r="P77" s="541" t="str">
        <f>A!K57</f>
        <v>L</v>
      </c>
      <c r="Q77" s="541" t="str">
        <f>A!E57</f>
        <v>Y</v>
      </c>
      <c r="R77" s="541" t="s">
        <v>110</v>
      </c>
      <c r="S77" s="541">
        <f t="shared" si="35"/>
        <v>0</v>
      </c>
      <c r="T77" s="541" t="str">
        <f>A!R57</f>
        <v>x10</v>
      </c>
      <c r="U77" s="541">
        <f>A!S57</f>
        <v>55</v>
      </c>
      <c r="V77" s="541">
        <f>A!T57</f>
        <v>0.2</v>
      </c>
      <c r="W77" s="541">
        <f t="shared" si="24"/>
        <v>0</v>
      </c>
      <c r="X77" s="541"/>
    </row>
    <row r="78" spans="1:24" ht="11.25" hidden="1" customHeight="1" x14ac:dyDescent="0.25">
      <c r="A78" s="121" t="str">
        <f>IF(S78=0,"",COUNTIF(A$23:A77,"&gt;0")+1)</f>
        <v/>
      </c>
      <c r="B78" s="289"/>
      <c r="C78" s="76" t="str">
        <f t="shared" si="23"/>
        <v>x10</v>
      </c>
      <c r="D78" s="77" t="str">
        <f>A!C58</f>
        <v>Iris pseudacorus 'Variegatus'</v>
      </c>
      <c r="E78" s="78"/>
      <c r="F78" s="78"/>
      <c r="G78" s="79" t="str">
        <f>A!N58</f>
        <v>variegated flag</v>
      </c>
      <c r="H78" s="87" t="str">
        <f>A!Q58</f>
        <v>attractive yellow  and green variegated foliage</v>
      </c>
      <c r="I78" s="69">
        <f>A!M58</f>
        <v>1</v>
      </c>
      <c r="J78" s="202">
        <f>A!P58</f>
        <v>0</v>
      </c>
      <c r="K78" s="83">
        <f>IF(A!G58="y",1,0)</f>
        <v>0</v>
      </c>
      <c r="L78" s="83">
        <f>IF(A!H58="y",1,0)</f>
        <v>0</v>
      </c>
      <c r="M78" s="84" t="str">
        <f>IF(A!F58="y","NEW","")</f>
        <v/>
      </c>
      <c r="N78" s="85">
        <f>A!I58</f>
        <v>0</v>
      </c>
      <c r="O78" s="290" t="str">
        <f>A!O58</f>
        <v>2,3</v>
      </c>
      <c r="P78" s="541" t="str">
        <f>A!K58</f>
        <v>L</v>
      </c>
      <c r="Q78" s="541">
        <f>A!E58</f>
        <v>0</v>
      </c>
      <c r="R78" s="541" t="s">
        <v>110</v>
      </c>
      <c r="S78" s="541">
        <f t="shared" si="35"/>
        <v>0</v>
      </c>
      <c r="T78" s="541" t="str">
        <f>A!R58</f>
        <v>x10</v>
      </c>
      <c r="U78" s="541">
        <f>A!S58</f>
        <v>55</v>
      </c>
      <c r="V78" s="541">
        <f>A!T58</f>
        <v>0.2</v>
      </c>
      <c r="W78" s="541">
        <f t="shared" si="24"/>
        <v>0</v>
      </c>
      <c r="X78" s="541"/>
    </row>
    <row r="79" spans="1:24" ht="11.25" hidden="1" customHeight="1" x14ac:dyDescent="0.25">
      <c r="A79" s="121" t="str">
        <f>IF(S79=0,"",COUNTIF(A$23:A78,"&gt;0")+1)</f>
        <v/>
      </c>
      <c r="B79" s="289"/>
      <c r="C79" s="76" t="str">
        <f t="shared" si="23"/>
        <v>x10</v>
      </c>
      <c r="D79" s="77" t="str">
        <f>A!C59</f>
        <v>Iris setosa</v>
      </c>
      <c r="E79" s="78"/>
      <c r="F79" s="78"/>
      <c r="G79" s="79" t="str">
        <f>A!N59</f>
        <v>blue flag</v>
      </c>
      <c r="H79" s="87" t="str">
        <f>A!Q59</f>
        <v>bluish-purple blooms over compact green leaves</v>
      </c>
      <c r="I79" s="69">
        <f>A!M59</f>
        <v>2</v>
      </c>
      <c r="J79" s="202">
        <f>A!P59</f>
        <v>0</v>
      </c>
      <c r="K79" s="83">
        <f>IF(A!G59="y",1,0)</f>
        <v>0</v>
      </c>
      <c r="L79" s="83">
        <f>IF(A!H59="y",1,0)</f>
        <v>0</v>
      </c>
      <c r="M79" s="84" t="str">
        <f>IF(A!F59="y","NEW","")</f>
        <v/>
      </c>
      <c r="N79" s="85">
        <f>A!I59</f>
        <v>0</v>
      </c>
      <c r="O79" s="290">
        <f>A!O59</f>
        <v>1</v>
      </c>
      <c r="P79" s="541">
        <f>A!K59</f>
        <v>0</v>
      </c>
      <c r="Q79" s="541">
        <f>A!E59</f>
        <v>0</v>
      </c>
      <c r="R79" s="541" t="s">
        <v>110</v>
      </c>
      <c r="S79" s="541">
        <f t="shared" si="35"/>
        <v>0</v>
      </c>
      <c r="T79" s="541" t="str">
        <f>A!R59</f>
        <v>x10</v>
      </c>
      <c r="U79" s="541" t="str">
        <f>A!S59</f>
        <v/>
      </c>
      <c r="V79" s="541">
        <f>A!T59</f>
        <v>0.2</v>
      </c>
      <c r="W79" s="541">
        <f t="shared" si="24"/>
        <v>0</v>
      </c>
      <c r="X79" s="541"/>
    </row>
    <row r="80" spans="1:24" ht="11.25" hidden="1" customHeight="1" x14ac:dyDescent="0.25">
      <c r="A80" s="121" t="str">
        <f>IF(S80=0,"",COUNTIF(A$23:A79,"&gt;0")+1)</f>
        <v/>
      </c>
      <c r="B80" s="289"/>
      <c r="C80" s="76" t="str">
        <f t="shared" si="23"/>
        <v>x10</v>
      </c>
      <c r="D80" s="77" t="str">
        <f>A!C60</f>
        <v>Iris sibirica</v>
      </c>
      <c r="E80" s="78"/>
      <c r="F80" s="78"/>
      <c r="G80" s="79" t="str">
        <f>A!N60</f>
        <v>Siberian iris</v>
      </c>
      <c r="H80" s="87" t="str">
        <f>A!Q60</f>
        <v>Siberian iris, showy flowers on slender stems</v>
      </c>
      <c r="I80" s="69">
        <f>A!M60</f>
        <v>2</v>
      </c>
      <c r="J80" s="202">
        <f>A!P60</f>
        <v>0</v>
      </c>
      <c r="K80" s="83">
        <f>IF(A!G60="y",1,0)</f>
        <v>0</v>
      </c>
      <c r="L80" s="83">
        <f>IF(A!H60="y",1,0)</f>
        <v>0</v>
      </c>
      <c r="M80" s="84" t="str">
        <f>IF(A!F60="y","NEW","")</f>
        <v/>
      </c>
      <c r="N80" s="85">
        <f>A!I60</f>
        <v>0</v>
      </c>
      <c r="O80" s="290">
        <f>A!O60</f>
        <v>1</v>
      </c>
      <c r="P80" s="541" t="str">
        <f>A!K60</f>
        <v>M</v>
      </c>
      <c r="Q80" s="541">
        <f>A!E60</f>
        <v>0</v>
      </c>
      <c r="R80" s="541" t="s">
        <v>110</v>
      </c>
      <c r="S80" s="541">
        <f t="shared" si="35"/>
        <v>0</v>
      </c>
      <c r="T80" s="541" t="str">
        <f>A!R60</f>
        <v>x10</v>
      </c>
      <c r="U80" s="541">
        <f>A!S60</f>
        <v>35</v>
      </c>
      <c r="V80" s="541">
        <f>A!T60</f>
        <v>0.2</v>
      </c>
      <c r="W80" s="541">
        <f t="shared" si="24"/>
        <v>0</v>
      </c>
      <c r="X80" s="541"/>
    </row>
    <row r="81" spans="1:24" ht="11.25" hidden="1" customHeight="1" x14ac:dyDescent="0.25">
      <c r="A81" s="121" t="str">
        <f>IF(S81=0,"",COUNTIF(A$23:A80,"&gt;0")+1)</f>
        <v/>
      </c>
      <c r="B81" s="289"/>
      <c r="C81" s="76" t="str">
        <f t="shared" si="23"/>
        <v>x10</v>
      </c>
      <c r="D81" s="77" t="str">
        <f>A!C61</f>
        <v>Iris sibirica 'Ceaser's Brother'</v>
      </c>
      <c r="E81" s="78"/>
      <c r="F81" s="78"/>
      <c r="G81" s="79" t="str">
        <f>A!N61</f>
        <v>Siberian iris</v>
      </c>
      <c r="H81" s="87" t="str">
        <f>A!Q61</f>
        <v>intense violet flowers with speckled markings on the throat</v>
      </c>
      <c r="I81" s="69">
        <f>A!M61</f>
        <v>2</v>
      </c>
      <c r="J81" s="202">
        <f>A!P61</f>
        <v>0</v>
      </c>
      <c r="K81" s="83">
        <f>IF(A!G61="y",1,0)</f>
        <v>0</v>
      </c>
      <c r="L81" s="83">
        <f>IF(A!H61="y",1,0)</f>
        <v>0</v>
      </c>
      <c r="M81" s="84" t="str">
        <f>IF(A!F61="y","NEW","")</f>
        <v/>
      </c>
      <c r="N81" s="85">
        <f>A!I61</f>
        <v>0</v>
      </c>
      <c r="O81" s="290">
        <f>A!O61</f>
        <v>1</v>
      </c>
      <c r="P81" s="541">
        <f>A!K61</f>
        <v>0</v>
      </c>
      <c r="Q81" s="541">
        <f>A!E61</f>
        <v>0</v>
      </c>
      <c r="R81" s="541" t="s">
        <v>110</v>
      </c>
      <c r="S81" s="541">
        <f t="shared" si="35"/>
        <v>0</v>
      </c>
      <c r="T81" s="541" t="str">
        <f>A!R61</f>
        <v>x10</v>
      </c>
      <c r="U81" s="541" t="str">
        <f>A!S61</f>
        <v/>
      </c>
      <c r="V81" s="541">
        <f>A!T61</f>
        <v>0.2</v>
      </c>
      <c r="W81" s="541">
        <f t="shared" si="24"/>
        <v>0</v>
      </c>
      <c r="X81" s="541"/>
    </row>
    <row r="82" spans="1:24" ht="11.25" hidden="1" customHeight="1" x14ac:dyDescent="0.25">
      <c r="A82" s="121" t="str">
        <f>IF(S82=0,"",COUNTIF(A$23:A81,"&gt;0")+1)</f>
        <v/>
      </c>
      <c r="B82" s="289"/>
      <c r="C82" s="76" t="str">
        <f t="shared" si="23"/>
        <v>x10</v>
      </c>
      <c r="D82" s="77" t="str">
        <f>A!C62</f>
        <v>Iris sibirica 'Dawn Waltz'</v>
      </c>
      <c r="E82" s="78"/>
      <c r="F82" s="78"/>
      <c r="G82" s="79" t="str">
        <f>A!N62</f>
        <v>Siberian iris</v>
      </c>
      <c r="H82" s="87" t="str">
        <f>A!Q62</f>
        <v xml:space="preserve">flowing, ruffled soft lavender blossoms, pale yellow throats </v>
      </c>
      <c r="I82" s="69">
        <f>A!M62</f>
        <v>2</v>
      </c>
      <c r="J82" s="202">
        <f>A!P62</f>
        <v>0</v>
      </c>
      <c r="K82" s="83">
        <f>IF(A!G62="y",1,0)</f>
        <v>0</v>
      </c>
      <c r="L82" s="83">
        <f>IF(A!H62="y",1,0)</f>
        <v>0</v>
      </c>
      <c r="M82" s="84" t="str">
        <f>IF(A!F62="y","NEW","")</f>
        <v/>
      </c>
      <c r="N82" s="85">
        <f>A!I62</f>
        <v>0</v>
      </c>
      <c r="O82" s="290">
        <f>A!O62</f>
        <v>1</v>
      </c>
      <c r="P82" s="541" t="str">
        <f>A!K62</f>
        <v>M</v>
      </c>
      <c r="Q82" s="541">
        <f>A!E62</f>
        <v>0</v>
      </c>
      <c r="R82" s="541" t="s">
        <v>110</v>
      </c>
      <c r="S82" s="541">
        <f t="shared" si="35"/>
        <v>0</v>
      </c>
      <c r="T82" s="541" t="str">
        <f>A!R62</f>
        <v>x10</v>
      </c>
      <c r="U82" s="541">
        <f>A!S62</f>
        <v>35</v>
      </c>
      <c r="V82" s="541">
        <f>A!T62</f>
        <v>0.2</v>
      </c>
      <c r="W82" s="541">
        <f t="shared" si="24"/>
        <v>0</v>
      </c>
      <c r="X82" s="541"/>
    </row>
    <row r="83" spans="1:24" ht="11.25" hidden="1" customHeight="1" x14ac:dyDescent="0.25">
      <c r="A83" s="121" t="str">
        <f>IF(S83=0,"",COUNTIF(A$23:A82,"&gt;0")+1)</f>
        <v/>
      </c>
      <c r="B83" s="289"/>
      <c r="C83" s="76" t="str">
        <f t="shared" ref="C83:C84" si="38">T83</f>
        <v>x10</v>
      </c>
      <c r="D83" s="77" t="str">
        <f>A!C63</f>
        <v>Iris sibirica 'Kabluey'</v>
      </c>
      <c r="E83" s="78"/>
      <c r="F83" s="78"/>
      <c r="G83" s="79" t="str">
        <f>A!N63</f>
        <v>Siberian iris</v>
      </c>
      <c r="H83" s="87" t="str">
        <f>A!Q63</f>
        <v>spectacular dark violet flowers with creamy-white centers</v>
      </c>
      <c r="I83" s="69">
        <f>A!M63</f>
        <v>2</v>
      </c>
      <c r="J83" s="202">
        <f>A!P63</f>
        <v>0</v>
      </c>
      <c r="K83" s="83">
        <f>IF(A!G63="y",1,0)</f>
        <v>0</v>
      </c>
      <c r="L83" s="83">
        <f>IF(A!H63="y",1,0)</f>
        <v>0</v>
      </c>
      <c r="M83" s="84" t="str">
        <f>IF(A!F63="y","NEW","")</f>
        <v/>
      </c>
      <c r="N83" s="85">
        <f>A!I63</f>
        <v>0</v>
      </c>
      <c r="O83" s="290">
        <f>A!O63</f>
        <v>1</v>
      </c>
      <c r="P83" s="541" t="str">
        <f>A!K63</f>
        <v>M</v>
      </c>
      <c r="Q83" s="541">
        <f>A!E63</f>
        <v>0</v>
      </c>
      <c r="R83" s="541" t="s">
        <v>110</v>
      </c>
      <c r="S83" s="541">
        <f t="shared" ref="S83:S84" si="39">B83</f>
        <v>0</v>
      </c>
      <c r="T83" s="541" t="str">
        <f>A!R63</f>
        <v>x10</v>
      </c>
      <c r="U83" s="541">
        <f>A!S63</f>
        <v>35</v>
      </c>
      <c r="V83" s="541">
        <f>A!T63</f>
        <v>0.2</v>
      </c>
      <c r="W83" s="541">
        <f t="shared" si="24"/>
        <v>0</v>
      </c>
      <c r="X83" s="541"/>
    </row>
    <row r="84" spans="1:24" ht="11.25" hidden="1" customHeight="1" x14ac:dyDescent="0.25">
      <c r="A84" s="121" t="str">
        <f>IF(S84=0,"",COUNTIF(A$23:A83,"&gt;0")+1)</f>
        <v/>
      </c>
      <c r="B84" s="289"/>
      <c r="C84" s="76" t="str">
        <f t="shared" si="38"/>
        <v>x10</v>
      </c>
      <c r="D84" s="77" t="str">
        <f>A!C64</f>
        <v>Iris sibirica 'Having Fun'</v>
      </c>
      <c r="E84" s="78"/>
      <c r="F84" s="78"/>
      <c r="G84" s="79" t="str">
        <f>A!N64</f>
        <v>Siberian iris</v>
      </c>
      <c r="H84" s="87" t="str">
        <f>A!Q64</f>
        <v>layers of ruffled, rounded petals in a soft violet shade</v>
      </c>
      <c r="I84" s="69">
        <f>A!M64</f>
        <v>2</v>
      </c>
      <c r="J84" s="202">
        <f>A!P64</f>
        <v>0</v>
      </c>
      <c r="K84" s="83">
        <f>IF(A!G64="y",1,0)</f>
        <v>0</v>
      </c>
      <c r="L84" s="83">
        <f>IF(A!H64="y",1,0)</f>
        <v>0</v>
      </c>
      <c r="M84" s="84" t="str">
        <f>IF(A!F64="y","NEW","")</f>
        <v/>
      </c>
      <c r="N84" s="85">
        <f>A!I64</f>
        <v>0</v>
      </c>
      <c r="O84" s="290">
        <f>A!O64</f>
        <v>1</v>
      </c>
      <c r="P84" s="541" t="str">
        <f>A!K64</f>
        <v>m</v>
      </c>
      <c r="Q84" s="541">
        <f>A!E64</f>
        <v>0</v>
      </c>
      <c r="R84" s="541" t="s">
        <v>110</v>
      </c>
      <c r="S84" s="541">
        <f t="shared" si="39"/>
        <v>0</v>
      </c>
      <c r="T84" s="541" t="str">
        <f>A!R64</f>
        <v>x10</v>
      </c>
      <c r="U84" s="541">
        <f>A!S64</f>
        <v>35</v>
      </c>
      <c r="V84" s="541">
        <f>A!T64</f>
        <v>0.2</v>
      </c>
      <c r="W84" s="541">
        <f t="shared" si="24"/>
        <v>0</v>
      </c>
      <c r="X84" s="541"/>
    </row>
    <row r="85" spans="1:24" ht="11.25" hidden="1" customHeight="1" x14ac:dyDescent="0.25">
      <c r="A85" s="121" t="str">
        <f>IF(S85=0,"",COUNTIF(A$23:A84,"&gt;0")+1)</f>
        <v/>
      </c>
      <c r="B85" s="289"/>
      <c r="C85" s="76" t="str">
        <f t="shared" si="23"/>
        <v>x10</v>
      </c>
      <c r="D85" s="77" t="str">
        <f>A!C65</f>
        <v>Iris sibirica 'Silver Edge'</v>
      </c>
      <c r="E85" s="78"/>
      <c r="F85" s="78"/>
      <c r="G85" s="79" t="str">
        <f>A!N65</f>
        <v>Siberian iris</v>
      </c>
      <c r="H85" s="87" t="str">
        <f>A!Q65</f>
        <v>stunning, rich blue flowers edged in silver</v>
      </c>
      <c r="I85" s="69">
        <f>A!M65</f>
        <v>2</v>
      </c>
      <c r="J85" s="202">
        <f>A!P65</f>
        <v>0</v>
      </c>
      <c r="K85" s="83">
        <f>IF(A!G65="y",1,0)</f>
        <v>0</v>
      </c>
      <c r="L85" s="83">
        <f>IF(A!H65="y",1,0)</f>
        <v>0</v>
      </c>
      <c r="M85" s="84" t="str">
        <f>IF(A!F65="y","NEW","")</f>
        <v/>
      </c>
      <c r="N85" s="85">
        <f>A!I65</f>
        <v>0</v>
      </c>
      <c r="O85" s="290">
        <f>A!O65</f>
        <v>1</v>
      </c>
      <c r="P85" s="541">
        <f>A!K65</f>
        <v>0</v>
      </c>
      <c r="Q85" s="541">
        <f>A!E65</f>
        <v>0</v>
      </c>
      <c r="R85" s="541" t="s">
        <v>110</v>
      </c>
      <c r="S85" s="541">
        <f t="shared" si="35"/>
        <v>0</v>
      </c>
      <c r="T85" s="541" t="str">
        <f>A!R65</f>
        <v>x10</v>
      </c>
      <c r="U85" s="541" t="str">
        <f>A!S65</f>
        <v/>
      </c>
      <c r="V85" s="541">
        <f>A!T65</f>
        <v>0.2</v>
      </c>
      <c r="W85" s="541">
        <f t="shared" si="24"/>
        <v>0</v>
      </c>
      <c r="X85" s="541"/>
    </row>
    <row r="86" spans="1:24" ht="11.25" hidden="1" customHeight="1" x14ac:dyDescent="0.25">
      <c r="A86" s="121" t="str">
        <f>IF(S86=0,"",COUNTIF(A$23:A85,"&gt;0")+1)</f>
        <v/>
      </c>
      <c r="B86" s="289"/>
      <c r="C86" s="76" t="str">
        <f t="shared" si="23"/>
        <v>x10</v>
      </c>
      <c r="D86" s="77" t="str">
        <f>A!C66</f>
        <v>Iris sibirica 'Sparkling Rose'</v>
      </c>
      <c r="E86" s="78"/>
      <c r="F86" s="78"/>
      <c r="G86" s="79" t="str">
        <f>A!N66</f>
        <v>Siberian iris</v>
      </c>
      <c r="H86" s="87" t="str">
        <f>A!Q66</f>
        <v>beautiful white flowers with yellow throats</v>
      </c>
      <c r="I86" s="69">
        <f>A!M66</f>
        <v>2</v>
      </c>
      <c r="J86" s="202">
        <f>A!P66</f>
        <v>0</v>
      </c>
      <c r="K86" s="83">
        <f>IF(A!G66="y",1,0)</f>
        <v>0</v>
      </c>
      <c r="L86" s="83">
        <f>IF(A!H66="y",1,0)</f>
        <v>0</v>
      </c>
      <c r="M86" s="84" t="str">
        <f>IF(A!F66="y","NEW","")</f>
        <v/>
      </c>
      <c r="N86" s="85">
        <f>A!I66</f>
        <v>0</v>
      </c>
      <c r="O86" s="290">
        <f>A!O66</f>
        <v>1</v>
      </c>
      <c r="P86" s="541">
        <f>A!K66</f>
        <v>0</v>
      </c>
      <c r="Q86" s="541">
        <f>A!E66</f>
        <v>0</v>
      </c>
      <c r="R86" s="541" t="s">
        <v>110</v>
      </c>
      <c r="S86" s="541">
        <f t="shared" si="35"/>
        <v>0</v>
      </c>
      <c r="T86" s="541" t="str">
        <f>A!R66</f>
        <v>x10</v>
      </c>
      <c r="U86" s="541" t="str">
        <f>A!S66</f>
        <v/>
      </c>
      <c r="V86" s="541">
        <f>A!T66</f>
        <v>0.2</v>
      </c>
      <c r="W86" s="541">
        <f t="shared" si="24"/>
        <v>0</v>
      </c>
      <c r="X86" s="541"/>
    </row>
    <row r="87" spans="1:24" ht="11.25" hidden="1" customHeight="1" x14ac:dyDescent="0.25">
      <c r="A87" s="121" t="str">
        <f>IF(S87=0,"",COUNTIF(A$23:A86,"&gt;0")+1)</f>
        <v/>
      </c>
      <c r="B87" s="289"/>
      <c r="C87" s="76" t="str">
        <f t="shared" ref="C87" si="40">T87</f>
        <v>x10</v>
      </c>
      <c r="D87" s="77" t="str">
        <f>A!C67</f>
        <v>Iris sibirica 'White</v>
      </c>
      <c r="E87" s="78"/>
      <c r="F87" s="78"/>
      <c r="G87" s="79" t="str">
        <f>A!N67</f>
        <v>Siberian iris</v>
      </c>
      <c r="H87" s="87" t="str">
        <f>A!Q67</f>
        <v>beautiful white flowers with yellow throats</v>
      </c>
      <c r="I87" s="69">
        <f>A!M67</f>
        <v>2</v>
      </c>
      <c r="J87" s="202">
        <f>A!P67</f>
        <v>0</v>
      </c>
      <c r="K87" s="83">
        <f>IF(A!G67="y",1,0)</f>
        <v>0</v>
      </c>
      <c r="L87" s="83">
        <f>IF(A!H67="y",1,0)</f>
        <v>0</v>
      </c>
      <c r="M87" s="84" t="str">
        <f>IF(A!F67="y","NEW","")</f>
        <v/>
      </c>
      <c r="N87" s="85">
        <f>A!I67</f>
        <v>0</v>
      </c>
      <c r="O87" s="290">
        <f>A!O67</f>
        <v>1</v>
      </c>
      <c r="P87" s="541" t="str">
        <f>A!K67</f>
        <v>M</v>
      </c>
      <c r="Q87" s="541">
        <f>A!E67</f>
        <v>0</v>
      </c>
      <c r="R87" s="541" t="s">
        <v>110</v>
      </c>
      <c r="S87" s="541">
        <f t="shared" ref="S87" si="41">B87</f>
        <v>0</v>
      </c>
      <c r="T87" s="541" t="str">
        <f>A!R67</f>
        <v>x10</v>
      </c>
      <c r="U87" s="541">
        <f>A!S67</f>
        <v>35</v>
      </c>
      <c r="V87" s="541">
        <f>A!T67</f>
        <v>0.2</v>
      </c>
      <c r="W87" s="541">
        <f t="shared" ref="W87" si="42">V87*B87</f>
        <v>0</v>
      </c>
      <c r="X87" s="541"/>
    </row>
    <row r="88" spans="1:24" ht="11.25" hidden="1" customHeight="1" x14ac:dyDescent="0.25">
      <c r="A88" s="121" t="str">
        <f>IF(S88=0,"",COUNTIF(A$23:A87,"&gt;0")+1)</f>
        <v/>
      </c>
      <c r="B88" s="289"/>
      <c r="C88" s="76" t="str">
        <f t="shared" si="23"/>
        <v>x10</v>
      </c>
      <c r="D88" s="77" t="str">
        <f>A!C68</f>
        <v>Iris vericolor 'Dark Aura'</v>
      </c>
      <c r="E88" s="78"/>
      <c r="F88" s="78"/>
      <c r="G88" s="79" t="str">
        <f>A!N68</f>
        <v>american water iris</v>
      </c>
      <c r="H88" s="87" t="str">
        <f>A!Q68</f>
        <v>slender green foliage, tinged red in the spring</v>
      </c>
      <c r="I88" s="69">
        <f>A!M68</f>
        <v>1</v>
      </c>
      <c r="J88" s="202">
        <f>A!P68</f>
        <v>0</v>
      </c>
      <c r="K88" s="83">
        <f>IF(A!G68="y",1,0)</f>
        <v>0</v>
      </c>
      <c r="L88" s="83">
        <f>IF(A!H68="y",1,0)</f>
        <v>0</v>
      </c>
      <c r="M88" s="84" t="str">
        <f>IF(A!F68="y","NEW","")</f>
        <v/>
      </c>
      <c r="N88" s="85">
        <f>A!I68</f>
        <v>0</v>
      </c>
      <c r="O88" s="290">
        <f>A!O68</f>
        <v>2</v>
      </c>
      <c r="P88" s="541">
        <f>A!K68</f>
        <v>0</v>
      </c>
      <c r="Q88" s="541">
        <f>A!E68</f>
        <v>0</v>
      </c>
      <c r="R88" s="541" t="s">
        <v>110</v>
      </c>
      <c r="S88" s="541">
        <f t="shared" si="35"/>
        <v>0</v>
      </c>
      <c r="T88" s="541" t="str">
        <f>A!R68</f>
        <v>x10</v>
      </c>
      <c r="U88" s="541" t="str">
        <f>A!S68</f>
        <v/>
      </c>
      <c r="V88" s="541">
        <f>A!T68</f>
        <v>0.2</v>
      </c>
      <c r="W88" s="541">
        <f t="shared" si="24"/>
        <v>0</v>
      </c>
      <c r="X88" s="541"/>
    </row>
    <row r="89" spans="1:24" ht="11.25" hidden="1" customHeight="1" x14ac:dyDescent="0.25">
      <c r="A89" s="121" t="str">
        <f>IF(S89=0,"",COUNTIF(A$23:A88,"&gt;0")+1)</f>
        <v/>
      </c>
      <c r="B89" s="289"/>
      <c r="C89" s="76" t="str">
        <f t="shared" si="23"/>
        <v>x10</v>
      </c>
      <c r="D89" s="77" t="str">
        <f>A!C69</f>
        <v>Iris versicolor</v>
      </c>
      <c r="E89" s="78"/>
      <c r="F89" s="78"/>
      <c r="G89" s="79" t="str">
        <f>A!N69</f>
        <v>american water iris</v>
      </c>
      <c r="H89" s="87" t="str">
        <f>A!Q69</f>
        <v xml:space="preserve">wonderful blue flowers over sword-like foliage, </v>
      </c>
      <c r="I89" s="69">
        <f>A!M69</f>
        <v>1</v>
      </c>
      <c r="J89" s="202">
        <f>A!P69</f>
        <v>0</v>
      </c>
      <c r="K89" s="83">
        <f>IF(A!G69="y",1,0)</f>
        <v>0</v>
      </c>
      <c r="L89" s="83">
        <f>IF(A!H69="y",1,0)</f>
        <v>0</v>
      </c>
      <c r="M89" s="84" t="str">
        <f>IF(A!F69="y","NEW","")</f>
        <v/>
      </c>
      <c r="N89" s="85">
        <f>A!I69</f>
        <v>0</v>
      </c>
      <c r="O89" s="290">
        <f>A!O69</f>
        <v>2</v>
      </c>
      <c r="P89" s="541" t="str">
        <f>A!K69</f>
        <v>L</v>
      </c>
      <c r="Q89" s="541">
        <f>A!E69</f>
        <v>0</v>
      </c>
      <c r="R89" s="541" t="s">
        <v>110</v>
      </c>
      <c r="S89" s="541">
        <f t="shared" si="35"/>
        <v>0</v>
      </c>
      <c r="T89" s="541" t="str">
        <f>A!R69</f>
        <v>x10</v>
      </c>
      <c r="U89" s="541">
        <f>A!S69</f>
        <v>55</v>
      </c>
      <c r="V89" s="541">
        <f>A!T69</f>
        <v>0.2</v>
      </c>
      <c r="W89" s="541">
        <f t="shared" si="24"/>
        <v>0</v>
      </c>
      <c r="X89" s="541"/>
    </row>
    <row r="90" spans="1:24" ht="11.25" hidden="1" customHeight="1" x14ac:dyDescent="0.25">
      <c r="A90" s="121" t="str">
        <f>IF(S90=0,"",COUNTIF(A$23:A89,"&gt;0")+1)</f>
        <v/>
      </c>
      <c r="B90" s="289"/>
      <c r="C90" s="76" t="str">
        <f t="shared" si="23"/>
        <v>x10</v>
      </c>
      <c r="D90" s="77" t="str">
        <f>A!C70</f>
        <v>Iris versicolor 'Kermisina'</v>
      </c>
      <c r="E90" s="78"/>
      <c r="F90" s="78"/>
      <c r="G90" s="79" t="str">
        <f>A!N70</f>
        <v>american water iris</v>
      </c>
      <c r="H90" s="87" t="str">
        <f>A!Q70</f>
        <v>beautiful claret flowers over green strap-like foliage</v>
      </c>
      <c r="I90" s="69">
        <f>A!M70</f>
        <v>1</v>
      </c>
      <c r="J90" s="202">
        <f>A!P70</f>
        <v>0</v>
      </c>
      <c r="K90" s="83">
        <f>IF(A!G70="y",1,0)</f>
        <v>0</v>
      </c>
      <c r="L90" s="83">
        <f>IF(A!H70="y",1,0)</f>
        <v>0</v>
      </c>
      <c r="M90" s="84" t="str">
        <f>IF(A!F70="y","NEW","")</f>
        <v/>
      </c>
      <c r="N90" s="85">
        <f>A!I70</f>
        <v>0</v>
      </c>
      <c r="O90" s="290">
        <f>A!O70</f>
        <v>2</v>
      </c>
      <c r="P90" s="541">
        <f>A!K70</f>
        <v>0</v>
      </c>
      <c r="Q90" s="541">
        <f>A!E70</f>
        <v>0</v>
      </c>
      <c r="R90" s="541" t="s">
        <v>110</v>
      </c>
      <c r="S90" s="541">
        <f t="shared" si="35"/>
        <v>0</v>
      </c>
      <c r="T90" s="541" t="str">
        <f>A!R70</f>
        <v>x10</v>
      </c>
      <c r="U90" s="541" t="str">
        <f>A!S70</f>
        <v/>
      </c>
      <c r="V90" s="541">
        <f>A!T70</f>
        <v>0.2</v>
      </c>
      <c r="W90" s="541">
        <f t="shared" si="24"/>
        <v>0</v>
      </c>
      <c r="X90" s="541"/>
    </row>
    <row r="91" spans="1:24" ht="11.25" hidden="1" customHeight="1" x14ac:dyDescent="0.25">
      <c r="A91" s="121" t="str">
        <f>IF(S91=0,"",COUNTIF(A$23:A90,"&gt;0")+1)</f>
        <v/>
      </c>
      <c r="B91" s="289"/>
      <c r="C91" s="76" t="str">
        <f t="shared" si="23"/>
        <v>x10</v>
      </c>
      <c r="D91" s="77" t="str">
        <f>A!C71</f>
        <v>Iris versicolor 'Pacifica'</v>
      </c>
      <c r="E91" s="78"/>
      <c r="F91" s="78"/>
      <c r="G91" s="79" t="str">
        <f>A!N71</f>
        <v>american water iris</v>
      </c>
      <c r="H91" s="87" t="str">
        <f>A!Q71</f>
        <v>deep purple flowers with yellow streaks</v>
      </c>
      <c r="I91" s="69">
        <f>A!M71</f>
        <v>1</v>
      </c>
      <c r="J91" s="202">
        <f>A!P71</f>
        <v>0</v>
      </c>
      <c r="K91" s="83">
        <f>IF(A!G71="y",1,0)</f>
        <v>0</v>
      </c>
      <c r="L91" s="83">
        <f>IF(A!H71="y",1,0)</f>
        <v>0</v>
      </c>
      <c r="M91" s="84" t="str">
        <f>IF(A!F71="y","NEW","")</f>
        <v/>
      </c>
      <c r="N91" s="85">
        <f>A!I71</f>
        <v>0</v>
      </c>
      <c r="O91" s="290">
        <f>A!O71</f>
        <v>2</v>
      </c>
      <c r="P91" s="541">
        <f>A!K71</f>
        <v>0</v>
      </c>
      <c r="Q91" s="541">
        <f>A!E71</f>
        <v>0</v>
      </c>
      <c r="R91" s="541" t="s">
        <v>110</v>
      </c>
      <c r="S91" s="541">
        <f t="shared" si="35"/>
        <v>0</v>
      </c>
      <c r="T91" s="541" t="str">
        <f>A!R71</f>
        <v>x10</v>
      </c>
      <c r="U91" s="541" t="str">
        <f>A!S71</f>
        <v/>
      </c>
      <c r="V91" s="541">
        <f>A!T71</f>
        <v>0.2</v>
      </c>
      <c r="W91" s="541">
        <f t="shared" si="24"/>
        <v>0</v>
      </c>
      <c r="X91" s="541"/>
    </row>
    <row r="92" spans="1:24" ht="11.25" customHeight="1" x14ac:dyDescent="0.25">
      <c r="A92" s="121" t="str">
        <f>IF(S92=0,"",COUNTIF(A$23:A91,"&gt;0")+1)</f>
        <v/>
      </c>
      <c r="B92" s="289"/>
      <c r="C92" s="76" t="str">
        <f t="shared" si="23"/>
        <v>x10</v>
      </c>
      <c r="D92" s="77" t="str">
        <f>A!C72</f>
        <v xml:space="preserve">Juncus effusus </v>
      </c>
      <c r="E92" s="682" t="s">
        <v>1380</v>
      </c>
      <c r="F92" s="78"/>
      <c r="G92" s="79" t="str">
        <f>A!N72</f>
        <v>soft rush</v>
      </c>
      <c r="H92" s="87" t="str">
        <f>A!Q72</f>
        <v xml:space="preserve">erect, dark green stems with brown seed heads </v>
      </c>
      <c r="I92" s="69">
        <f>A!M72</f>
        <v>3</v>
      </c>
      <c r="J92" s="202" t="str">
        <f>A!P72</f>
        <v>Yes</v>
      </c>
      <c r="K92" s="83">
        <f>IF(A!G72="y",1,0)</f>
        <v>1</v>
      </c>
      <c r="L92" s="83">
        <f>IF(A!H72="y",1,0)</f>
        <v>1</v>
      </c>
      <c r="M92" s="84" t="str">
        <f>IF(A!F72="y","NEW","")</f>
        <v/>
      </c>
      <c r="N92" s="85">
        <f>A!I72</f>
        <v>0</v>
      </c>
      <c r="O92" s="290" t="str">
        <f>A!O72</f>
        <v>1,2</v>
      </c>
      <c r="P92" s="541" t="str">
        <f>A!K72</f>
        <v>L</v>
      </c>
      <c r="Q92" s="541" t="str">
        <f>A!E72</f>
        <v>Y</v>
      </c>
      <c r="R92" s="541" t="s">
        <v>110</v>
      </c>
      <c r="S92" s="541">
        <f t="shared" si="35"/>
        <v>0</v>
      </c>
      <c r="T92" s="541" t="str">
        <f>A!R72</f>
        <v>x10</v>
      </c>
      <c r="U92" s="541">
        <f>A!S72</f>
        <v>55</v>
      </c>
      <c r="V92" s="541">
        <f>A!T72</f>
        <v>0.2</v>
      </c>
      <c r="W92" s="541">
        <f t="shared" si="24"/>
        <v>0</v>
      </c>
      <c r="X92" s="541"/>
    </row>
    <row r="93" spans="1:24" ht="11.25" customHeight="1" x14ac:dyDescent="0.25">
      <c r="A93" s="121" t="str">
        <f>IF(S93=0,"",COUNTIF(A$23:A92,"&gt;0")+1)</f>
        <v/>
      </c>
      <c r="B93" s="289"/>
      <c r="C93" s="76" t="str">
        <f t="shared" si="23"/>
        <v>x10</v>
      </c>
      <c r="D93" s="77" t="str">
        <f>A!C73</f>
        <v>Juncus effusus Spiralis</v>
      </c>
      <c r="E93" s="78"/>
      <c r="F93" s="78"/>
      <c r="G93" s="79" t="str">
        <f>A!N73</f>
        <v>corkscrew rush</v>
      </c>
      <c r="H93" s="87" t="str">
        <f>A!Q73</f>
        <v>unusual corkscrew like foliage, evergreen</v>
      </c>
      <c r="I93" s="69">
        <f>A!M73</f>
        <v>2</v>
      </c>
      <c r="J93" s="202">
        <f>A!P73</f>
        <v>0</v>
      </c>
      <c r="K93" s="83">
        <f>IF(A!G73="y",1,0)</f>
        <v>1</v>
      </c>
      <c r="L93" s="83">
        <f>IF(A!H73="y",1,0)</f>
        <v>0</v>
      </c>
      <c r="M93" s="84" t="str">
        <f>IF(A!F73="y","NEW","")</f>
        <v/>
      </c>
      <c r="N93" s="85">
        <f>A!I73</f>
        <v>0</v>
      </c>
      <c r="O93" s="290" t="str">
        <f>A!O73</f>
        <v>1,2</v>
      </c>
      <c r="P93" s="541" t="str">
        <f>A!K73</f>
        <v>M</v>
      </c>
      <c r="Q93" s="541" t="str">
        <f>A!E73</f>
        <v>y</v>
      </c>
      <c r="R93" s="541" t="s">
        <v>110</v>
      </c>
      <c r="S93" s="541">
        <f t="shared" si="35"/>
        <v>0</v>
      </c>
      <c r="T93" s="541" t="str">
        <f>A!R73</f>
        <v>x10</v>
      </c>
      <c r="U93" s="541">
        <f>A!S73</f>
        <v>35</v>
      </c>
      <c r="V93" s="541">
        <f>A!T73</f>
        <v>0.2</v>
      </c>
      <c r="W93" s="541">
        <f t="shared" si="24"/>
        <v>0</v>
      </c>
      <c r="X93" s="541"/>
    </row>
    <row r="94" spans="1:24" ht="11.25" hidden="1" customHeight="1" x14ac:dyDescent="0.25">
      <c r="A94" s="121" t="str">
        <f>IF(S94=0,"",COUNTIF(A$23:A93,"&gt;0")+1)</f>
        <v/>
      </c>
      <c r="B94" s="289"/>
      <c r="C94" s="76" t="str">
        <f t="shared" si="23"/>
        <v>x10</v>
      </c>
      <c r="D94" s="77" t="str">
        <f>A!C74</f>
        <v xml:space="preserve">Juncus ensifolius  </v>
      </c>
      <c r="E94" s="78"/>
      <c r="F94" s="78"/>
      <c r="G94" s="79" t="str">
        <f>A!N74</f>
        <v>flying hedgehogs</v>
      </c>
      <c r="H94" s="87" t="str">
        <f>A!Q74</f>
        <v>attractive and unusual dark brown seed heads</v>
      </c>
      <c r="I94" s="69">
        <f>A!M74</f>
        <v>2</v>
      </c>
      <c r="J94" s="202">
        <f>A!P74</f>
        <v>0</v>
      </c>
      <c r="K94" s="83">
        <f>IF(A!G74="y",1,0)</f>
        <v>0</v>
      </c>
      <c r="L94" s="83">
        <f>IF(A!H74="y",1,0)</f>
        <v>0</v>
      </c>
      <c r="M94" s="84" t="str">
        <f>IF(A!F74="y","NEW","")</f>
        <v/>
      </c>
      <c r="N94" s="85">
        <f>A!I74</f>
        <v>0</v>
      </c>
      <c r="O94" s="290" t="str">
        <f>A!O74</f>
        <v>1,2</v>
      </c>
      <c r="P94" s="541" t="str">
        <f>A!K74</f>
        <v>M</v>
      </c>
      <c r="Q94" s="541">
        <f>A!E74</f>
        <v>0</v>
      </c>
      <c r="R94" s="541" t="s">
        <v>110</v>
      </c>
      <c r="S94" s="541">
        <f t="shared" si="35"/>
        <v>0</v>
      </c>
      <c r="T94" s="541" t="str">
        <f>A!R74</f>
        <v>x10</v>
      </c>
      <c r="U94" s="541">
        <f>A!S74</f>
        <v>35</v>
      </c>
      <c r="V94" s="541">
        <f>A!T74</f>
        <v>0.2</v>
      </c>
      <c r="W94" s="541">
        <f t="shared" si="24"/>
        <v>0</v>
      </c>
      <c r="X94" s="541"/>
    </row>
    <row r="95" spans="1:24" ht="11.25" customHeight="1" x14ac:dyDescent="0.25">
      <c r="A95" s="121" t="str">
        <f>IF(S95=0,"",COUNTIF(A$23:A94,"&gt;0")+1)</f>
        <v/>
      </c>
      <c r="B95" s="289"/>
      <c r="C95" s="76" t="str">
        <f t="shared" si="23"/>
        <v>x10</v>
      </c>
      <c r="D95" s="77" t="str">
        <f>A!C75</f>
        <v>Juncus Inflexus</v>
      </c>
      <c r="E95" s="78"/>
      <c r="F95" s="78"/>
      <c r="G95" s="79" t="str">
        <f>A!N75</f>
        <v>hard rush</v>
      </c>
      <c r="H95" s="87" t="str">
        <f>A!Q75</f>
        <v>glaucous blue, needle like foliage, to 50cm</v>
      </c>
      <c r="I95" s="69">
        <f>A!M75</f>
        <v>3</v>
      </c>
      <c r="J95" s="202" t="str">
        <f>A!P75</f>
        <v>Yes</v>
      </c>
      <c r="K95" s="83">
        <f>IF(A!G75="y",1,0)</f>
        <v>1</v>
      </c>
      <c r="L95" s="83">
        <f>IF(A!H75="y",1,0)</f>
        <v>1</v>
      </c>
      <c r="M95" s="84" t="str">
        <f>IF(A!F75="y","NEW","")</f>
        <v/>
      </c>
      <c r="N95" s="85">
        <f>A!I75</f>
        <v>0</v>
      </c>
      <c r="O95" s="290" t="str">
        <f>A!O75</f>
        <v>1,2</v>
      </c>
      <c r="P95" s="541" t="str">
        <f>A!K75</f>
        <v>L</v>
      </c>
      <c r="Q95" s="541" t="str">
        <f>A!E75</f>
        <v>Y</v>
      </c>
      <c r="R95" s="541" t="s">
        <v>110</v>
      </c>
      <c r="S95" s="541">
        <f t="shared" ref="S95:S127" si="43">B95</f>
        <v>0</v>
      </c>
      <c r="T95" s="541" t="str">
        <f>A!R75</f>
        <v>x10</v>
      </c>
      <c r="U95" s="541">
        <f>A!S75</f>
        <v>55</v>
      </c>
      <c r="V95" s="541">
        <f>A!T75</f>
        <v>0.2</v>
      </c>
      <c r="W95" s="541">
        <f t="shared" si="24"/>
        <v>0</v>
      </c>
      <c r="X95" s="541"/>
    </row>
    <row r="96" spans="1:24" ht="11.25" hidden="1" customHeight="1" x14ac:dyDescent="0.25">
      <c r="A96" s="121" t="str">
        <f>IF(S96=0,"",COUNTIF(A$23:A95,"&gt;0")+1)</f>
        <v/>
      </c>
      <c r="B96" s="289"/>
      <c r="C96" s="76" t="str">
        <f t="shared" ref="C96:C167" si="44">T96</f>
        <v>x10</v>
      </c>
      <c r="D96" s="77" t="str">
        <f>A!C76</f>
        <v>Lobelia deep pink</v>
      </c>
      <c r="E96" s="78"/>
      <c r="F96" s="78"/>
      <c r="G96" s="79" t="str">
        <f>A!N76</f>
        <v>pink cardinal</v>
      </c>
      <c r="H96" s="87" t="str">
        <f>A!Q76</f>
        <v>contrasting pink flower spikes over green foliage</v>
      </c>
      <c r="I96" s="69">
        <f>A!M76</f>
        <v>1</v>
      </c>
      <c r="J96" s="202">
        <f>A!P76</f>
        <v>0</v>
      </c>
      <c r="K96" s="83">
        <f>IF(A!G76="y",1,0)</f>
        <v>0</v>
      </c>
      <c r="L96" s="83">
        <f>IF(A!H76="y",1,0)</f>
        <v>0</v>
      </c>
      <c r="M96" s="84" t="str">
        <f>IF(A!F76="y","NEW","")</f>
        <v/>
      </c>
      <c r="N96" s="85">
        <f>A!I76</f>
        <v>0</v>
      </c>
      <c r="O96" s="290">
        <f>A!O76</f>
        <v>1</v>
      </c>
      <c r="P96" s="541">
        <f>A!K76</f>
        <v>0</v>
      </c>
      <c r="Q96" s="541">
        <f>A!E76</f>
        <v>0</v>
      </c>
      <c r="R96" s="541" t="s">
        <v>110</v>
      </c>
      <c r="S96" s="541">
        <f t="shared" si="43"/>
        <v>0</v>
      </c>
      <c r="T96" s="541" t="str">
        <f>A!R76</f>
        <v>x10</v>
      </c>
      <c r="U96" s="541" t="str">
        <f>A!S76</f>
        <v/>
      </c>
      <c r="V96" s="541">
        <f>A!T76</f>
        <v>0.2</v>
      </c>
      <c r="W96" s="541">
        <f t="shared" ref="W96:W98" si="45">V96*B96</f>
        <v>0</v>
      </c>
      <c r="X96" s="541"/>
    </row>
    <row r="97" spans="1:24" ht="11.25" hidden="1" customHeight="1" x14ac:dyDescent="0.25">
      <c r="A97" s="121" t="str">
        <f>IF(S97=0,"",COUNTIF(A$23:A96,"&gt;0")+1)</f>
        <v/>
      </c>
      <c r="B97" s="289"/>
      <c r="C97" s="76" t="str">
        <f t="shared" si="44"/>
        <v>x10</v>
      </c>
      <c r="D97" s="77" t="str">
        <f>A!C77</f>
        <v>Lobelia Fan red</v>
      </c>
      <c r="E97" s="78"/>
      <c r="F97" s="78"/>
      <c r="G97" s="79" t="str">
        <f>A!N77</f>
        <v>red cardinal</v>
      </c>
      <c r="H97" s="87" t="str">
        <f>A!Q77</f>
        <v>red flowers over elongate green leaves</v>
      </c>
      <c r="I97" s="69">
        <f>A!M77</f>
        <v>1</v>
      </c>
      <c r="J97" s="202">
        <f>A!P77</f>
        <v>0</v>
      </c>
      <c r="K97" s="83">
        <f>IF(A!G77="y",1,0)</f>
        <v>0</v>
      </c>
      <c r="L97" s="83">
        <f>IF(A!H77="y",1,0)</f>
        <v>0</v>
      </c>
      <c r="M97" s="84" t="str">
        <f>IF(A!F77="y","NEW","")</f>
        <v/>
      </c>
      <c r="N97" s="85">
        <f>A!I77</f>
        <v>0</v>
      </c>
      <c r="O97" s="290">
        <f>A!O77</f>
        <v>1</v>
      </c>
      <c r="P97" s="541">
        <f>A!K77</f>
        <v>0</v>
      </c>
      <c r="Q97" s="541">
        <f>A!E77</f>
        <v>0</v>
      </c>
      <c r="R97" s="541" t="s">
        <v>110</v>
      </c>
      <c r="S97" s="541">
        <f t="shared" si="43"/>
        <v>0</v>
      </c>
      <c r="T97" s="541" t="str">
        <f>A!R77</f>
        <v>x10</v>
      </c>
      <c r="U97" s="541" t="str">
        <f>A!S77</f>
        <v/>
      </c>
      <c r="V97" s="541">
        <f>A!T77</f>
        <v>0.2</v>
      </c>
      <c r="W97" s="541">
        <f t="shared" si="45"/>
        <v>0</v>
      </c>
      <c r="X97" s="541"/>
    </row>
    <row r="98" spans="1:24" ht="11.25" hidden="1" customHeight="1" x14ac:dyDescent="0.25">
      <c r="A98" s="121" t="str">
        <f>IF(S98=0,"",COUNTIF(A$23:A97,"&gt;0")+1)</f>
        <v/>
      </c>
      <c r="B98" s="289"/>
      <c r="C98" s="76" t="str">
        <f t="shared" si="44"/>
        <v>x10</v>
      </c>
      <c r="D98" s="77" t="str">
        <f>A!C78</f>
        <v>Lobelia pink</v>
      </c>
      <c r="E98" s="78"/>
      <c r="F98" s="78"/>
      <c r="G98" s="79" t="str">
        <f>A!N78</f>
        <v>pink cardinal</v>
      </c>
      <c r="H98" s="87" t="str">
        <f>A!Q78</f>
        <v>pink flowers over elongate green leaves</v>
      </c>
      <c r="I98" s="69">
        <f>A!M78</f>
        <v>1</v>
      </c>
      <c r="J98" s="202">
        <f>A!P78</f>
        <v>0</v>
      </c>
      <c r="K98" s="83">
        <f>IF(A!G78="y",1,0)</f>
        <v>0</v>
      </c>
      <c r="L98" s="83">
        <f>IF(A!H78="y",1,0)</f>
        <v>0</v>
      </c>
      <c r="M98" s="84" t="str">
        <f>IF(A!F78="y","NEW","")</f>
        <v/>
      </c>
      <c r="N98" s="85">
        <f>A!I78</f>
        <v>0</v>
      </c>
      <c r="O98" s="290">
        <f>A!O78</f>
        <v>1</v>
      </c>
      <c r="P98" s="541">
        <f>A!K78</f>
        <v>0</v>
      </c>
      <c r="Q98" s="541">
        <f>A!E78</f>
        <v>0</v>
      </c>
      <c r="R98" s="541" t="s">
        <v>110</v>
      </c>
      <c r="S98" s="541">
        <f t="shared" ref="S98" si="46">B98</f>
        <v>0</v>
      </c>
      <c r="T98" s="541" t="str">
        <f>A!R78</f>
        <v>x10</v>
      </c>
      <c r="U98" s="541" t="str">
        <f>A!S78</f>
        <v/>
      </c>
      <c r="V98" s="541">
        <f>A!T78</f>
        <v>0.2</v>
      </c>
      <c r="W98" s="541">
        <f t="shared" si="45"/>
        <v>0</v>
      </c>
      <c r="X98" s="541"/>
    </row>
    <row r="99" spans="1:24" ht="11.25" customHeight="1" x14ac:dyDescent="0.25">
      <c r="A99" s="121" t="str">
        <f>IF(S99=0,"",COUNTIF(A$23:A98,"&gt;0")+1)</f>
        <v/>
      </c>
      <c r="B99" s="289"/>
      <c r="C99" s="76" t="str">
        <f t="shared" si="44"/>
        <v>x10</v>
      </c>
      <c r="D99" s="77" t="str">
        <f>A!C79</f>
        <v>Lobelia Queen Victoria</v>
      </c>
      <c r="E99" s="78"/>
      <c r="F99" s="78"/>
      <c r="G99" s="79" t="str">
        <f>A!N79</f>
        <v>red cardinal</v>
      </c>
      <c r="H99" s="87" t="str">
        <f>A!Q79</f>
        <v>scarlet red flowers over stunning crimson foliage</v>
      </c>
      <c r="I99" s="69">
        <f>A!M79</f>
        <v>1</v>
      </c>
      <c r="J99" s="202">
        <f>A!P79</f>
        <v>0</v>
      </c>
      <c r="K99" s="83">
        <f>IF(A!G79="y",1,0)</f>
        <v>1</v>
      </c>
      <c r="L99" s="83">
        <f>IF(A!H79="y",1,0)</f>
        <v>1</v>
      </c>
      <c r="M99" s="84" t="str">
        <f>IF(A!F79="y","NEW","")</f>
        <v/>
      </c>
      <c r="N99" s="85">
        <f>A!I79</f>
        <v>0</v>
      </c>
      <c r="O99" s="290" t="str">
        <f>A!O79</f>
        <v>1,2</v>
      </c>
      <c r="P99" s="541" t="str">
        <f>A!K79</f>
        <v>M</v>
      </c>
      <c r="Q99" s="541" t="str">
        <f>A!E79</f>
        <v>Y</v>
      </c>
      <c r="R99" s="541" t="s">
        <v>110</v>
      </c>
      <c r="S99" s="541">
        <f t="shared" si="43"/>
        <v>0</v>
      </c>
      <c r="T99" s="541" t="str">
        <f>A!R79</f>
        <v>x10</v>
      </c>
      <c r="U99" s="541">
        <f>A!S79</f>
        <v>35</v>
      </c>
      <c r="V99" s="541">
        <f>A!T79</f>
        <v>0.2</v>
      </c>
      <c r="W99" s="541">
        <f t="shared" ref="W99:W161" si="47">V99*B99</f>
        <v>0</v>
      </c>
      <c r="X99" s="541"/>
    </row>
    <row r="100" spans="1:24" ht="11.25" hidden="1" customHeight="1" x14ac:dyDescent="0.25">
      <c r="A100" s="121" t="str">
        <f>IF(S100=0,"",COUNTIF(A$23:A99,"&gt;0")+1)</f>
        <v/>
      </c>
      <c r="B100" s="289"/>
      <c r="C100" s="76" t="str">
        <f t="shared" si="44"/>
        <v>x10</v>
      </c>
      <c r="D100" s="77" t="str">
        <f>A!C80</f>
        <v>Lobelia speciosa deep red</v>
      </c>
      <c r="E100" s="78"/>
      <c r="F100" s="78"/>
      <c r="G100" s="79" t="str">
        <f>A!N80</f>
        <v>scarlet cardinal</v>
      </c>
      <c r="H100" s="87" t="str">
        <f>A!Q80</f>
        <v>vivid scarlet flowers over bronze leaves</v>
      </c>
      <c r="I100" s="69">
        <f>A!M80</f>
        <v>2</v>
      </c>
      <c r="J100" s="202">
        <f>A!P80</f>
        <v>0</v>
      </c>
      <c r="K100" s="83">
        <f>IF(A!G80="y",1,0)</f>
        <v>0</v>
      </c>
      <c r="L100" s="83">
        <f>IF(A!H80="y",1,0)</f>
        <v>0</v>
      </c>
      <c r="M100" s="84" t="str">
        <f>IF(A!F80="y","NEW","")</f>
        <v/>
      </c>
      <c r="N100" s="85">
        <f>A!I80</f>
        <v>0</v>
      </c>
      <c r="O100" s="290">
        <f>A!O80</f>
        <v>1</v>
      </c>
      <c r="P100" s="541">
        <f>A!K80</f>
        <v>0</v>
      </c>
      <c r="Q100" s="541">
        <f>A!E80</f>
        <v>0</v>
      </c>
      <c r="R100" s="541" t="s">
        <v>110</v>
      </c>
      <c r="S100" s="541">
        <f t="shared" si="43"/>
        <v>0</v>
      </c>
      <c r="T100" s="541" t="str">
        <f>A!R80</f>
        <v>x10</v>
      </c>
      <c r="U100" s="541" t="str">
        <f>A!S80</f>
        <v/>
      </c>
      <c r="V100" s="541">
        <f>A!T80</f>
        <v>0.2</v>
      </c>
      <c r="W100" s="541">
        <f t="shared" si="47"/>
        <v>0</v>
      </c>
      <c r="X100" s="541"/>
    </row>
    <row r="101" spans="1:24" ht="11.25" hidden="1" customHeight="1" x14ac:dyDescent="0.25">
      <c r="A101" s="121" t="str">
        <f>IF(S101=0,"",COUNTIF(A$23:A100,"&gt;0")+1)</f>
        <v/>
      </c>
      <c r="B101" s="289"/>
      <c r="C101" s="76" t="str">
        <f t="shared" si="44"/>
        <v>x10</v>
      </c>
      <c r="D101" s="77" t="str">
        <f>A!C81</f>
        <v>Lobelia syphilitica</v>
      </c>
      <c r="E101" s="78"/>
      <c r="F101" s="78"/>
      <c r="G101" s="79" t="str">
        <f>A!N81</f>
        <v>blue cardinal</v>
      </c>
      <c r="H101" s="87" t="str">
        <f>A!Q81</f>
        <v>spikes of brilliant true blue flowers</v>
      </c>
      <c r="I101" s="69">
        <f>A!M81</f>
        <v>1</v>
      </c>
      <c r="J101" s="202">
        <f>A!P81</f>
        <v>0</v>
      </c>
      <c r="K101" s="83">
        <f>IF(A!G81="y",1,0)</f>
        <v>0</v>
      </c>
      <c r="L101" s="83">
        <f>IF(A!H81="y",1,0)</f>
        <v>0</v>
      </c>
      <c r="M101" s="84" t="str">
        <f>IF(A!F81="y","NEW","")</f>
        <v/>
      </c>
      <c r="N101" s="85">
        <f>A!I81</f>
        <v>0</v>
      </c>
      <c r="O101" s="290">
        <f>A!O81</f>
        <v>1</v>
      </c>
      <c r="P101" s="541" t="str">
        <f>A!K81</f>
        <v>M</v>
      </c>
      <c r="Q101" s="541">
        <f>A!E81</f>
        <v>0</v>
      </c>
      <c r="R101" s="541" t="s">
        <v>110</v>
      </c>
      <c r="S101" s="541">
        <f t="shared" si="43"/>
        <v>0</v>
      </c>
      <c r="T101" s="541" t="str">
        <f>A!R81</f>
        <v>x10</v>
      </c>
      <c r="U101" s="541">
        <f>A!S81</f>
        <v>35</v>
      </c>
      <c r="V101" s="541">
        <f>A!T81</f>
        <v>0.2</v>
      </c>
      <c r="W101" s="541">
        <f t="shared" si="47"/>
        <v>0</v>
      </c>
      <c r="X101" s="541"/>
    </row>
    <row r="102" spans="1:24" ht="11.25" hidden="1" customHeight="1" x14ac:dyDescent="0.25">
      <c r="A102" s="121" t="str">
        <f>IF(S102=0,"",COUNTIF(A$23:A101,"&gt;0")+1)</f>
        <v/>
      </c>
      <c r="B102" s="289"/>
      <c r="C102" s="76" t="str">
        <f t="shared" si="44"/>
        <v>x10</v>
      </c>
      <c r="D102" s="77" t="str">
        <f>A!C82</f>
        <v>Lobelia vedrariensis</v>
      </c>
      <c r="E102" s="78"/>
      <c r="F102" s="78"/>
      <c r="G102" s="79" t="str">
        <f>A!N82</f>
        <v>purple loosestrife</v>
      </c>
      <c r="H102" s="87" t="str">
        <f>A!Q82</f>
        <v>offering long spires of royal purple flowers</v>
      </c>
      <c r="I102" s="69">
        <f>A!M82</f>
        <v>1</v>
      </c>
      <c r="J102" s="202">
        <f>A!P82</f>
        <v>0</v>
      </c>
      <c r="K102" s="83">
        <f>IF(A!G82="y",1,0)</f>
        <v>0</v>
      </c>
      <c r="L102" s="83">
        <f>IF(A!H82="y",1,0)</f>
        <v>0</v>
      </c>
      <c r="M102" s="84" t="str">
        <f>IF(A!F82="y","NEW","")</f>
        <v/>
      </c>
      <c r="N102" s="85">
        <f>A!I82</f>
        <v>0</v>
      </c>
      <c r="O102" s="290" t="str">
        <f>A!O82</f>
        <v>1,2</v>
      </c>
      <c r="P102" s="541">
        <f>A!K82</f>
        <v>0</v>
      </c>
      <c r="Q102" s="541">
        <f>A!E82</f>
        <v>0</v>
      </c>
      <c r="R102" s="541" t="s">
        <v>110</v>
      </c>
      <c r="S102" s="541">
        <f t="shared" si="43"/>
        <v>0</v>
      </c>
      <c r="T102" s="541" t="str">
        <f>A!R82</f>
        <v>x10</v>
      </c>
      <c r="U102" s="541" t="str">
        <f>A!S82</f>
        <v/>
      </c>
      <c r="V102" s="541">
        <f>A!T82</f>
        <v>0.2</v>
      </c>
      <c r="W102" s="541">
        <f t="shared" si="47"/>
        <v>0</v>
      </c>
      <c r="X102" s="541"/>
    </row>
    <row r="103" spans="1:24" ht="11.25" customHeight="1" x14ac:dyDescent="0.25">
      <c r="A103" s="121" t="str">
        <f>IF(S103=0,"",COUNTIF(A$23:A102,"&gt;0")+1)</f>
        <v/>
      </c>
      <c r="B103" s="289"/>
      <c r="C103" s="76" t="str">
        <f t="shared" si="44"/>
        <v>x10</v>
      </c>
      <c r="D103" s="77" t="str">
        <f>A!C83</f>
        <v>Lychnis flos cuculi</v>
      </c>
      <c r="E103" s="78"/>
      <c r="F103" s="78"/>
      <c r="G103" s="79" t="str">
        <f>A!N83</f>
        <v>ragged robin</v>
      </c>
      <c r="H103" s="87" t="str">
        <f>A!Q83</f>
        <v>star-shaped deep rose-pink flowers</v>
      </c>
      <c r="I103" s="69">
        <f>A!M83</f>
        <v>3</v>
      </c>
      <c r="J103" s="202">
        <f>A!P83</f>
        <v>0</v>
      </c>
      <c r="K103" s="83">
        <f>IF(A!G83="y",1,0)</f>
        <v>1</v>
      </c>
      <c r="L103" s="83">
        <f>IF(A!H83="y",1,0)</f>
        <v>1</v>
      </c>
      <c r="M103" s="84" t="str">
        <f>IF(A!F83="y","NEW","")</f>
        <v/>
      </c>
      <c r="N103" s="85">
        <f>A!I83</f>
        <v>0</v>
      </c>
      <c r="O103" s="290">
        <f>A!O83</f>
        <v>1</v>
      </c>
      <c r="P103" s="541" t="str">
        <f>A!K83</f>
        <v>s</v>
      </c>
      <c r="Q103" s="541" t="str">
        <f>A!E83</f>
        <v>y</v>
      </c>
      <c r="R103" s="541" t="s">
        <v>110</v>
      </c>
      <c r="S103" s="541">
        <f t="shared" si="43"/>
        <v>0</v>
      </c>
      <c r="T103" s="541" t="str">
        <f>A!R83</f>
        <v>x10</v>
      </c>
      <c r="U103" s="541">
        <f>A!S83</f>
        <v>25</v>
      </c>
      <c r="V103" s="541">
        <f>A!T83</f>
        <v>0.2</v>
      </c>
      <c r="W103" s="541">
        <f t="shared" si="47"/>
        <v>0</v>
      </c>
      <c r="X103" s="541"/>
    </row>
    <row r="104" spans="1:24" ht="11.25" hidden="1" customHeight="1" x14ac:dyDescent="0.25">
      <c r="A104" s="121" t="str">
        <f>IF(S104=0,"",COUNTIF(A$23:A103,"&gt;0")+1)</f>
        <v/>
      </c>
      <c r="B104" s="289"/>
      <c r="C104" s="76" t="str">
        <f t="shared" si="44"/>
        <v>x10</v>
      </c>
      <c r="D104" s="77" t="str">
        <f>A!C84</f>
        <v>Lychnis flos cuculi 'Alba'</v>
      </c>
      <c r="E104" s="78"/>
      <c r="F104" s="78"/>
      <c r="G104" s="79" t="str">
        <f>A!N84</f>
        <v>ragged robin</v>
      </c>
      <c r="H104" s="87" t="str">
        <f>A!Q84</f>
        <v>white flowers over scruffy green leaves</v>
      </c>
      <c r="I104" s="69">
        <f>A!M84</f>
        <v>3</v>
      </c>
      <c r="J104" s="202">
        <f>A!P84</f>
        <v>0</v>
      </c>
      <c r="K104" s="83">
        <f>IF(A!G84="y",1,0)</f>
        <v>0</v>
      </c>
      <c r="L104" s="83">
        <f>IF(A!H84="y",1,0)</f>
        <v>0</v>
      </c>
      <c r="M104" s="84" t="str">
        <f>IF(A!F84="y","NEW","")</f>
        <v/>
      </c>
      <c r="N104" s="85">
        <f>A!I84</f>
        <v>0</v>
      </c>
      <c r="O104" s="290">
        <f>A!O84</f>
        <v>1</v>
      </c>
      <c r="P104" s="541">
        <f>A!K84</f>
        <v>0</v>
      </c>
      <c r="Q104" s="541">
        <f>A!E84</f>
        <v>0</v>
      </c>
      <c r="R104" s="541" t="s">
        <v>110</v>
      </c>
      <c r="S104" s="541">
        <f t="shared" si="43"/>
        <v>0</v>
      </c>
      <c r="T104" s="541" t="str">
        <f>A!R84</f>
        <v>x10</v>
      </c>
      <c r="U104" s="541" t="str">
        <f>A!S84</f>
        <v/>
      </c>
      <c r="V104" s="541">
        <f>A!T84</f>
        <v>0.2</v>
      </c>
      <c r="W104" s="541">
        <f t="shared" si="47"/>
        <v>0</v>
      </c>
      <c r="X104" s="541"/>
    </row>
    <row r="105" spans="1:24" ht="11.25" customHeight="1" x14ac:dyDescent="0.25">
      <c r="A105" s="121" t="str">
        <f>IF(S105=0,"",COUNTIF(A$23:A104,"&gt;0")+1)</f>
        <v/>
      </c>
      <c r="B105" s="289"/>
      <c r="C105" s="76" t="str">
        <f t="shared" si="44"/>
        <v>x10</v>
      </c>
      <c r="D105" s="77" t="str">
        <f>A!C85</f>
        <v>Lysichiton camtschatcensis</v>
      </c>
      <c r="E105" s="78"/>
      <c r="F105" s="78"/>
      <c r="G105" s="79" t="str">
        <f>A!N85</f>
        <v>white skunk cabbage</v>
      </c>
      <c r="H105" s="87" t="str">
        <f>A!Q85</f>
        <v>large white spathe over fragrant green foliage</v>
      </c>
      <c r="I105" s="69">
        <f>A!M85</f>
        <v>3</v>
      </c>
      <c r="J105" s="202">
        <f>A!P85</f>
        <v>0</v>
      </c>
      <c r="K105" s="83">
        <f>IF(A!G85="y",1,0)</f>
        <v>1</v>
      </c>
      <c r="L105" s="83">
        <f>IF(A!H85="y",1,0)</f>
        <v>0</v>
      </c>
      <c r="M105" s="84" t="str">
        <f>IF(A!F85="y","NEW","")</f>
        <v/>
      </c>
      <c r="N105" s="85">
        <f>A!I85</f>
        <v>0</v>
      </c>
      <c r="O105" s="290" t="str">
        <f>A!O85</f>
        <v>1,2</v>
      </c>
      <c r="P105" s="541" t="str">
        <f>A!K85</f>
        <v>m</v>
      </c>
      <c r="Q105" s="541" t="str">
        <f>A!E85</f>
        <v>y</v>
      </c>
      <c r="R105" s="541" t="s">
        <v>110</v>
      </c>
      <c r="S105" s="541">
        <f t="shared" si="43"/>
        <v>0</v>
      </c>
      <c r="T105" s="541" t="str">
        <f>A!R85</f>
        <v>x10</v>
      </c>
      <c r="U105" s="541">
        <f>A!S85</f>
        <v>35</v>
      </c>
      <c r="V105" s="541">
        <f>A!T85</f>
        <v>0.2</v>
      </c>
      <c r="W105" s="541">
        <f t="shared" si="47"/>
        <v>0</v>
      </c>
      <c r="X105" s="541"/>
    </row>
    <row r="106" spans="1:24" ht="11.25" customHeight="1" x14ac:dyDescent="0.25">
      <c r="A106" s="121" t="str">
        <f>IF(S106=0,"",COUNTIF(A$23:A105,"&gt;0")+1)</f>
        <v/>
      </c>
      <c r="B106" s="289"/>
      <c r="C106" s="76" t="str">
        <f t="shared" si="44"/>
        <v>x10</v>
      </c>
      <c r="D106" s="77" t="str">
        <f>A!C86</f>
        <v>Lysimachia nummularia</v>
      </c>
      <c r="E106" s="78"/>
      <c r="F106" s="78"/>
      <c r="G106" s="79" t="str">
        <f>A!N86</f>
        <v>creeping jenny</v>
      </c>
      <c r="H106" s="87" t="str">
        <f>A!Q86</f>
        <v>perfect for the pondside or margin</v>
      </c>
      <c r="I106" s="69">
        <f>A!M86</f>
        <v>2</v>
      </c>
      <c r="J106" s="202" t="str">
        <f>A!P86</f>
        <v>Yes</v>
      </c>
      <c r="K106" s="83">
        <f>IF(A!G86="y",1,0)</f>
        <v>1</v>
      </c>
      <c r="L106" s="83">
        <f>IF(A!H86="y",1,0)</f>
        <v>1</v>
      </c>
      <c r="M106" s="84" t="str">
        <f>IF(A!F86="y","NEW","")</f>
        <v/>
      </c>
      <c r="N106" s="85">
        <f>A!I86</f>
        <v>0</v>
      </c>
      <c r="O106" s="290" t="str">
        <f>A!O86</f>
        <v>1,2</v>
      </c>
      <c r="P106" s="541" t="str">
        <f>A!K86</f>
        <v>S</v>
      </c>
      <c r="Q106" s="541" t="str">
        <f>A!E86</f>
        <v>y</v>
      </c>
      <c r="R106" s="541" t="s">
        <v>110</v>
      </c>
      <c r="S106" s="541">
        <f t="shared" si="43"/>
        <v>0</v>
      </c>
      <c r="T106" s="541" t="str">
        <f>A!R86</f>
        <v>x10</v>
      </c>
      <c r="U106" s="541">
        <f>A!S86</f>
        <v>25</v>
      </c>
      <c r="V106" s="541">
        <f>A!T86</f>
        <v>0.2</v>
      </c>
      <c r="W106" s="541">
        <f t="shared" si="47"/>
        <v>0</v>
      </c>
      <c r="X106" s="541"/>
    </row>
    <row r="107" spans="1:24" ht="11.25" customHeight="1" x14ac:dyDescent="0.25">
      <c r="A107" s="121" t="str">
        <f>IF(S107=0,"",COUNTIF(A$23:A106,"&gt;0")+1)</f>
        <v/>
      </c>
      <c r="B107" s="289"/>
      <c r="C107" s="76" t="str">
        <f t="shared" si="44"/>
        <v>x10</v>
      </c>
      <c r="D107" s="77" t="str">
        <f>A!C87</f>
        <v>Lysimachia nummularia 'aurea'</v>
      </c>
      <c r="E107" s="78"/>
      <c r="F107" s="78"/>
      <c r="G107" s="79" t="str">
        <f>A!N87</f>
        <v>golden jenny</v>
      </c>
      <c r="H107" s="87" t="str">
        <f>A!Q87</f>
        <v>low rafting mat of golden foliage with yellow flowers</v>
      </c>
      <c r="I107" s="69">
        <f>A!M87</f>
        <v>1</v>
      </c>
      <c r="J107" s="202">
        <f>A!P87</f>
        <v>0</v>
      </c>
      <c r="K107" s="83">
        <f>IF(A!G87="y",1,0)</f>
        <v>1</v>
      </c>
      <c r="L107" s="83">
        <f>IF(A!H87="y",1,0)</f>
        <v>0</v>
      </c>
      <c r="M107" s="84" t="str">
        <f>IF(A!F87="y","NEW","")</f>
        <v/>
      </c>
      <c r="N107" s="85">
        <f>A!I87</f>
        <v>0</v>
      </c>
      <c r="O107" s="290" t="str">
        <f>A!O87</f>
        <v>1,2</v>
      </c>
      <c r="P107" s="541" t="str">
        <f>A!K87</f>
        <v>M</v>
      </c>
      <c r="Q107" s="541" t="str">
        <f>A!E87</f>
        <v>Y</v>
      </c>
      <c r="R107" s="541" t="s">
        <v>110</v>
      </c>
      <c r="S107" s="541">
        <f t="shared" si="43"/>
        <v>0</v>
      </c>
      <c r="T107" s="541" t="str">
        <f>A!R87</f>
        <v>x10</v>
      </c>
      <c r="U107" s="541">
        <f>A!S87</f>
        <v>35</v>
      </c>
      <c r="V107" s="541">
        <f>A!T87</f>
        <v>0.2</v>
      </c>
      <c r="W107" s="541">
        <f t="shared" si="47"/>
        <v>0</v>
      </c>
      <c r="X107" s="541"/>
    </row>
    <row r="108" spans="1:24" ht="11.25" customHeight="1" x14ac:dyDescent="0.25">
      <c r="A108" s="121" t="str">
        <f>IF(S108=0,"",COUNTIF(A$23:A107,"&gt;0")+1)</f>
        <v/>
      </c>
      <c r="B108" s="289"/>
      <c r="C108" s="76" t="str">
        <f t="shared" si="44"/>
        <v>x10</v>
      </c>
      <c r="D108" s="77" t="str">
        <f>A!C88</f>
        <v>Lythrum salicaria</v>
      </c>
      <c r="E108" s="78"/>
      <c r="F108" s="78"/>
      <c r="G108" s="79" t="str">
        <f>A!N88</f>
        <v>purple loosestrife</v>
      </c>
      <c r="H108" s="87" t="str">
        <f>A!Q88</f>
        <v>beautiful tall pink flowers throughout the season</v>
      </c>
      <c r="I108" s="69">
        <f>A!M88</f>
        <v>2</v>
      </c>
      <c r="J108" s="202" t="str">
        <f>A!P88</f>
        <v>Yes</v>
      </c>
      <c r="K108" s="83">
        <f>IF(A!G88="y",1,0)</f>
        <v>1</v>
      </c>
      <c r="L108" s="83">
        <f>IF(A!H88="y",1,0)</f>
        <v>0</v>
      </c>
      <c r="M108" s="84" t="str">
        <f>IF(A!F88="y","NEW","")</f>
        <v/>
      </c>
      <c r="N108" s="85">
        <f>A!I88</f>
        <v>0</v>
      </c>
      <c r="O108" s="290" t="str">
        <f>A!O88</f>
        <v>1,2</v>
      </c>
      <c r="P108" s="541" t="str">
        <f>A!K88</f>
        <v>M</v>
      </c>
      <c r="Q108" s="541" t="str">
        <f>A!E88</f>
        <v>y</v>
      </c>
      <c r="R108" s="541" t="s">
        <v>110</v>
      </c>
      <c r="S108" s="541">
        <f t="shared" si="43"/>
        <v>0</v>
      </c>
      <c r="T108" s="541" t="str">
        <f>A!R88</f>
        <v>x10</v>
      </c>
      <c r="U108" s="541">
        <f>A!S88</f>
        <v>35</v>
      </c>
      <c r="V108" s="541">
        <f>A!T88</f>
        <v>0.2</v>
      </c>
      <c r="W108" s="541">
        <f t="shared" si="47"/>
        <v>0</v>
      </c>
      <c r="X108" s="541"/>
    </row>
    <row r="109" spans="1:24" ht="11.25" customHeight="1" x14ac:dyDescent="0.25">
      <c r="A109" s="121" t="str">
        <f>IF(S109=0,"",COUNTIF(A$23:A108,"&gt;0")+1)</f>
        <v/>
      </c>
      <c r="B109" s="289"/>
      <c r="C109" s="76" t="str">
        <f t="shared" si="44"/>
        <v>x10</v>
      </c>
      <c r="D109" s="77" t="str">
        <f>A!C89</f>
        <v>Mazus reptans</v>
      </c>
      <c r="E109" s="78"/>
      <c r="F109" s="78"/>
      <c r="G109" s="79" t="str">
        <f>A!N89</f>
        <v>chinese marsh flower</v>
      </c>
      <c r="H109" s="87" t="str">
        <f>A!Q89</f>
        <v>native to Asia, abundance of blue flowers</v>
      </c>
      <c r="I109" s="69">
        <f>A!M89</f>
        <v>2</v>
      </c>
      <c r="J109" s="202">
        <f>A!P89</f>
        <v>0</v>
      </c>
      <c r="K109" s="83">
        <f>IF(A!G89="y",1,0)</f>
        <v>1</v>
      </c>
      <c r="L109" s="83">
        <f>IF(A!H89="y",1,0)</f>
        <v>0</v>
      </c>
      <c r="M109" s="84" t="str">
        <f>IF(A!F89="y","NEW","")</f>
        <v/>
      </c>
      <c r="N109" s="85">
        <f>A!I89</f>
        <v>0</v>
      </c>
      <c r="O109" s="290">
        <f>A!O89</f>
        <v>1</v>
      </c>
      <c r="P109" s="541" t="str">
        <f>A!K89</f>
        <v>S</v>
      </c>
      <c r="Q109" s="541" t="str">
        <f>A!E89</f>
        <v>y</v>
      </c>
      <c r="R109" s="541" t="s">
        <v>110</v>
      </c>
      <c r="S109" s="541">
        <f t="shared" si="43"/>
        <v>0</v>
      </c>
      <c r="T109" s="541" t="str">
        <f>A!R89</f>
        <v>x10</v>
      </c>
      <c r="U109" s="541">
        <f>A!S89</f>
        <v>25</v>
      </c>
      <c r="V109" s="541">
        <f>A!T89</f>
        <v>0.2</v>
      </c>
      <c r="W109" s="541">
        <f t="shared" si="47"/>
        <v>0</v>
      </c>
      <c r="X109" s="541"/>
    </row>
    <row r="110" spans="1:24" ht="11.25" customHeight="1" x14ac:dyDescent="0.25">
      <c r="A110" s="121" t="str">
        <f>IF(S110=0,"",COUNTIF(A$23:A109,"&gt;0")+1)</f>
        <v/>
      </c>
      <c r="B110" s="289"/>
      <c r="C110" s="76" t="str">
        <f t="shared" si="44"/>
        <v>x10</v>
      </c>
      <c r="D110" s="77" t="str">
        <f>A!C90</f>
        <v>Mazus reptans Alba</v>
      </c>
      <c r="E110" s="78"/>
      <c r="F110" s="78"/>
      <c r="G110" s="79" t="str">
        <f>A!N90</f>
        <v>white chinese marsh flower</v>
      </c>
      <c r="H110" s="87" t="str">
        <f>A!Q90</f>
        <v>native to Asia, abundance of white flowers</v>
      </c>
      <c r="I110" s="69">
        <f>A!M90</f>
        <v>2</v>
      </c>
      <c r="J110" s="202">
        <f>A!P90</f>
        <v>0</v>
      </c>
      <c r="K110" s="83">
        <f>IF(A!G90="y",1,0)</f>
        <v>1</v>
      </c>
      <c r="L110" s="83">
        <f>IF(A!H90="y",1,0)</f>
        <v>0</v>
      </c>
      <c r="M110" s="84" t="str">
        <f>IF(A!F90="y","NEW","")</f>
        <v/>
      </c>
      <c r="N110" s="85">
        <f>A!I90</f>
        <v>0</v>
      </c>
      <c r="O110" s="290">
        <f>A!O90</f>
        <v>1</v>
      </c>
      <c r="P110" s="541" t="str">
        <f>A!K90</f>
        <v>s</v>
      </c>
      <c r="Q110" s="541" t="str">
        <f>A!E90</f>
        <v>y</v>
      </c>
      <c r="R110" s="541" t="s">
        <v>110</v>
      </c>
      <c r="S110" s="541">
        <f t="shared" si="43"/>
        <v>0</v>
      </c>
      <c r="T110" s="541" t="str">
        <f>A!R90</f>
        <v>x10</v>
      </c>
      <c r="U110" s="541">
        <f>A!S90</f>
        <v>25</v>
      </c>
      <c r="V110" s="541">
        <f>A!T90</f>
        <v>0.2</v>
      </c>
      <c r="W110" s="541">
        <f t="shared" si="47"/>
        <v>0</v>
      </c>
      <c r="X110" s="541"/>
    </row>
    <row r="111" spans="1:24" ht="11.25" customHeight="1" x14ac:dyDescent="0.25">
      <c r="A111" s="121" t="str">
        <f>IF(S111=0,"",COUNTIF(A$23:A110,"&gt;0")+1)</f>
        <v/>
      </c>
      <c r="B111" s="289"/>
      <c r="C111" s="76" t="str">
        <f t="shared" si="44"/>
        <v>x10</v>
      </c>
      <c r="D111" s="77" t="str">
        <f>A!C91</f>
        <v>Mentha aquatica</v>
      </c>
      <c r="E111" s="78"/>
      <c r="F111" s="78"/>
      <c r="G111" s="79" t="str">
        <f>A!N91</f>
        <v>water mint</v>
      </c>
      <c r="H111" s="87" t="str">
        <f>A!Q91</f>
        <v>a must have herb for every pondkeeper</v>
      </c>
      <c r="I111" s="69">
        <f>A!M91</f>
        <v>1</v>
      </c>
      <c r="J111" s="202" t="str">
        <f>A!P91</f>
        <v>Yes</v>
      </c>
      <c r="K111" s="83">
        <f>IF(A!G91="y",1,0)</f>
        <v>1</v>
      </c>
      <c r="L111" s="83">
        <f>IF(A!H91="y",1,0)</f>
        <v>0</v>
      </c>
      <c r="M111" s="84" t="str">
        <f>IF(A!F91="y","NEW","")</f>
        <v/>
      </c>
      <c r="N111" s="85">
        <f>A!I91</f>
        <v>0</v>
      </c>
      <c r="O111" s="290" t="str">
        <f>A!O91</f>
        <v>1,2</v>
      </c>
      <c r="P111" s="541" t="str">
        <f>A!K91</f>
        <v>M</v>
      </c>
      <c r="Q111" s="541" t="str">
        <f>A!E91</f>
        <v>y</v>
      </c>
      <c r="R111" s="541" t="s">
        <v>110</v>
      </c>
      <c r="S111" s="541">
        <f t="shared" si="43"/>
        <v>0</v>
      </c>
      <c r="T111" s="541" t="str">
        <f>A!R91</f>
        <v>x10</v>
      </c>
      <c r="U111" s="541">
        <f>A!S91</f>
        <v>35</v>
      </c>
      <c r="V111" s="541">
        <f>A!T91</f>
        <v>0.2</v>
      </c>
      <c r="W111" s="541">
        <f t="shared" si="47"/>
        <v>0</v>
      </c>
      <c r="X111" s="541"/>
    </row>
    <row r="112" spans="1:24" ht="11.25" customHeight="1" x14ac:dyDescent="0.25">
      <c r="A112" s="121" t="str">
        <f>IF(S112=0,"",COUNTIF(A$23:A111,"&gt;0")+1)</f>
        <v/>
      </c>
      <c r="B112" s="289"/>
      <c r="C112" s="76" t="str">
        <f t="shared" si="44"/>
        <v>x10</v>
      </c>
      <c r="D112" s="77" t="str">
        <f>A!C92</f>
        <v>Mentha pulegium</v>
      </c>
      <c r="E112" s="78"/>
      <c r="F112" s="78"/>
      <c r="G112" s="79" t="str">
        <f>A!N92</f>
        <v>penny royal</v>
      </c>
      <c r="H112" s="87" t="str">
        <f>A!Q92</f>
        <v>a creeping mint, compact and aromatic</v>
      </c>
      <c r="I112" s="69">
        <f>A!M92</f>
        <v>1</v>
      </c>
      <c r="J112" s="202" t="str">
        <f>A!P92</f>
        <v>Yes</v>
      </c>
      <c r="K112" s="83">
        <f>IF(A!G92="y",1,0)</f>
        <v>1</v>
      </c>
      <c r="L112" s="83">
        <f>IF(A!H92="y",1,0)</f>
        <v>1</v>
      </c>
      <c r="M112" s="84" t="str">
        <f>IF(A!F92="y","NEW","")</f>
        <v/>
      </c>
      <c r="N112" s="85">
        <f>A!I92</f>
        <v>0</v>
      </c>
      <c r="O112" s="290" t="str">
        <f>A!O92</f>
        <v>1,2</v>
      </c>
      <c r="P112" s="541" t="str">
        <f>A!K92</f>
        <v>s</v>
      </c>
      <c r="Q112" s="541" t="str">
        <f>A!E92</f>
        <v>y</v>
      </c>
      <c r="R112" s="541" t="s">
        <v>110</v>
      </c>
      <c r="S112" s="541">
        <f t="shared" si="43"/>
        <v>0</v>
      </c>
      <c r="T112" s="541" t="str">
        <f>A!R92</f>
        <v>x10</v>
      </c>
      <c r="U112" s="541">
        <f>A!S92</f>
        <v>25</v>
      </c>
      <c r="V112" s="541">
        <f>A!T92</f>
        <v>0.2</v>
      </c>
      <c r="W112" s="541">
        <f t="shared" si="47"/>
        <v>0</v>
      </c>
      <c r="X112" s="541"/>
    </row>
    <row r="113" spans="1:24" ht="11.25" hidden="1" customHeight="1" x14ac:dyDescent="0.25">
      <c r="A113" s="121" t="str">
        <f>IF(S113=0,"",COUNTIF(A$23:A112,"&gt;0")+1)</f>
        <v/>
      </c>
      <c r="B113" s="289"/>
      <c r="C113" s="76" t="str">
        <f t="shared" si="44"/>
        <v>x10</v>
      </c>
      <c r="D113" s="77" t="str">
        <f>A!C93</f>
        <v>Menyanthes trifoliata</v>
      </c>
      <c r="E113" s="78"/>
      <c r="F113" s="78"/>
      <c r="G113" s="79" t="str">
        <f>A!N93</f>
        <v>bog bean</v>
      </c>
      <c r="H113" s="87" t="str">
        <f>A!Q93</f>
        <v>starry white flowers and unusual tri-lobed leaves</v>
      </c>
      <c r="I113" s="69">
        <f>A!M93</f>
        <v>2</v>
      </c>
      <c r="J113" s="202" t="str">
        <f>A!P93</f>
        <v>Yes</v>
      </c>
      <c r="K113" s="83">
        <f>IF(A!G93="y",1,0)</f>
        <v>0</v>
      </c>
      <c r="L113" s="83">
        <f>IF(A!H93="y",1,0)</f>
        <v>0</v>
      </c>
      <c r="M113" s="84" t="str">
        <f>IF(A!F93="y","NEW","")</f>
        <v/>
      </c>
      <c r="N113" s="85">
        <f>A!I93</f>
        <v>0</v>
      </c>
      <c r="O113" s="290" t="str">
        <f>A!O93</f>
        <v>2,3</v>
      </c>
      <c r="P113" s="541">
        <f>A!K93</f>
        <v>0</v>
      </c>
      <c r="Q113" s="541">
        <f>A!E93</f>
        <v>0</v>
      </c>
      <c r="R113" s="541" t="s">
        <v>110</v>
      </c>
      <c r="S113" s="541">
        <f t="shared" si="43"/>
        <v>0</v>
      </c>
      <c r="T113" s="541" t="str">
        <f>A!R93</f>
        <v>x10</v>
      </c>
      <c r="U113" s="541" t="str">
        <f>A!S93</f>
        <v/>
      </c>
      <c r="V113" s="541">
        <f>A!T93</f>
        <v>0.2</v>
      </c>
      <c r="W113" s="541">
        <f t="shared" si="47"/>
        <v>0</v>
      </c>
      <c r="X113" s="541"/>
    </row>
    <row r="114" spans="1:24" ht="11.25" hidden="1" customHeight="1" x14ac:dyDescent="0.25">
      <c r="A114" s="121" t="str">
        <f>IF(S114=0,"",COUNTIF(A$23:A113,"&gt;0")+1)</f>
        <v/>
      </c>
      <c r="B114" s="289"/>
      <c r="C114" s="76" t="str">
        <f t="shared" si="44"/>
        <v>x10</v>
      </c>
      <c r="D114" s="77" t="str">
        <f>A!C94</f>
        <v>Mimulus guttatus</v>
      </c>
      <c r="E114" s="78"/>
      <c r="F114" s="78"/>
      <c r="G114" s="79" t="str">
        <f>A!N94</f>
        <v>monkey flower</v>
      </c>
      <c r="H114" s="87" t="str">
        <f>A!Q94</f>
        <v>yellow flowers over green foliage, north american native</v>
      </c>
      <c r="I114" s="69">
        <f>A!M94</f>
        <v>1</v>
      </c>
      <c r="J114" s="202">
        <f>A!P94</f>
        <v>0</v>
      </c>
      <c r="K114" s="83">
        <f>IF(A!G94="y",1,0)</f>
        <v>0</v>
      </c>
      <c r="L114" s="83">
        <f>IF(A!H94="y",1,0)</f>
        <v>0</v>
      </c>
      <c r="M114" s="84" t="str">
        <f>IF(A!F94="y","NEW","")</f>
        <v/>
      </c>
      <c r="N114" s="85">
        <f>A!I94</f>
        <v>0</v>
      </c>
      <c r="O114" s="290" t="str">
        <f>A!O94</f>
        <v>1,2</v>
      </c>
      <c r="P114" s="541">
        <f>A!K94</f>
        <v>0</v>
      </c>
      <c r="Q114" s="541">
        <f>A!E94</f>
        <v>0</v>
      </c>
      <c r="R114" s="541" t="s">
        <v>110</v>
      </c>
      <c r="S114" s="541">
        <f t="shared" si="43"/>
        <v>0</v>
      </c>
      <c r="T114" s="541" t="str">
        <f>A!R94</f>
        <v>x10</v>
      </c>
      <c r="U114" s="541" t="str">
        <f>A!S94</f>
        <v/>
      </c>
      <c r="V114" s="541">
        <f>A!T94</f>
        <v>0.2</v>
      </c>
      <c r="W114" s="541">
        <f t="shared" si="47"/>
        <v>0</v>
      </c>
      <c r="X114" s="541"/>
    </row>
    <row r="115" spans="1:24" ht="11.25" hidden="1" customHeight="1" x14ac:dyDescent="0.25">
      <c r="A115" s="121" t="str">
        <f>IF(S115=0,"",COUNTIF(A$23:A114,"&gt;0")+1)</f>
        <v/>
      </c>
      <c r="B115" s="289"/>
      <c r="C115" s="76" t="str">
        <f t="shared" si="44"/>
        <v>x10</v>
      </c>
      <c r="D115" s="77" t="str">
        <f>A!C95</f>
        <v>Mimulus luteus</v>
      </c>
      <c r="E115" s="78"/>
      <c r="F115" s="78"/>
      <c r="G115" s="79" t="str">
        <f>A!N95</f>
        <v>blotched monkey flower</v>
      </c>
      <c r="H115" s="87" t="str">
        <f>A!Q95</f>
        <v>abundance of yellow and red blotched flowers</v>
      </c>
      <c r="I115" s="69">
        <f>A!M95</f>
        <v>1</v>
      </c>
      <c r="J115" s="202" t="str">
        <f>A!P95</f>
        <v>Yes</v>
      </c>
      <c r="K115" s="83">
        <f>IF(A!G95="y",1,0)</f>
        <v>0</v>
      </c>
      <c r="L115" s="83">
        <f>IF(A!H95="y",1,0)</f>
        <v>0</v>
      </c>
      <c r="M115" s="84" t="str">
        <f>IF(A!F95="y","NEW","")</f>
        <v/>
      </c>
      <c r="N115" s="85">
        <f>A!I95</f>
        <v>0</v>
      </c>
      <c r="O115" s="290" t="str">
        <f>A!O95</f>
        <v>1,2</v>
      </c>
      <c r="P115" s="541" t="str">
        <f>A!K95</f>
        <v>S</v>
      </c>
      <c r="Q115" s="541">
        <f>A!E95</f>
        <v>0</v>
      </c>
      <c r="R115" s="541" t="s">
        <v>110</v>
      </c>
      <c r="S115" s="541">
        <f t="shared" si="43"/>
        <v>0</v>
      </c>
      <c r="T115" s="541" t="str">
        <f>A!R95</f>
        <v>x10</v>
      </c>
      <c r="U115" s="541">
        <f>A!S95</f>
        <v>25</v>
      </c>
      <c r="V115" s="541">
        <f>A!T95</f>
        <v>0.2</v>
      </c>
      <c r="W115" s="541">
        <f t="shared" si="47"/>
        <v>0</v>
      </c>
      <c r="X115" s="541"/>
    </row>
    <row r="116" spans="1:24" ht="11.25" hidden="1" customHeight="1" x14ac:dyDescent="0.25">
      <c r="A116" s="121" t="str">
        <f>IF(S116=0,"",COUNTIF(A$23:A115,"&gt;0")+1)</f>
        <v/>
      </c>
      <c r="B116" s="289"/>
      <c r="C116" s="76" t="str">
        <f t="shared" si="44"/>
        <v>x10</v>
      </c>
      <c r="D116" s="77" t="str">
        <f>A!C96</f>
        <v>Mimulus Queen's Prize</v>
      </c>
      <c r="E116" s="78"/>
      <c r="F116" s="78"/>
      <c r="G116" s="79" t="str">
        <f>A!N96</f>
        <v>queens prize</v>
      </c>
      <c r="H116" s="87" t="str">
        <f>A!Q96</f>
        <v>blood-red blotches on yellow petals</v>
      </c>
      <c r="I116" s="69">
        <f>A!M96</f>
        <v>1</v>
      </c>
      <c r="J116" s="202">
        <f>A!P96</f>
        <v>0</v>
      </c>
      <c r="K116" s="83">
        <f>IF(A!G96="y",1,0)</f>
        <v>0</v>
      </c>
      <c r="L116" s="83">
        <f>IF(A!H96="y",1,0)</f>
        <v>0</v>
      </c>
      <c r="M116" s="84" t="str">
        <f>IF(A!F96="y","NEW","")</f>
        <v/>
      </c>
      <c r="N116" s="85">
        <f>A!I96</f>
        <v>0</v>
      </c>
      <c r="O116" s="290" t="str">
        <f>A!O96</f>
        <v>1,2</v>
      </c>
      <c r="P116" s="541">
        <f>A!K96</f>
        <v>0</v>
      </c>
      <c r="Q116" s="541">
        <f>A!E96</f>
        <v>0</v>
      </c>
      <c r="R116" s="541" t="s">
        <v>110</v>
      </c>
      <c r="S116" s="541">
        <f t="shared" si="43"/>
        <v>0</v>
      </c>
      <c r="T116" s="541" t="str">
        <f>A!R96</f>
        <v>x10</v>
      </c>
      <c r="U116" s="541" t="str">
        <f>A!S96</f>
        <v/>
      </c>
      <c r="V116" s="541">
        <f>A!T96</f>
        <v>0.2</v>
      </c>
      <c r="W116" s="541">
        <f t="shared" si="47"/>
        <v>0</v>
      </c>
      <c r="X116" s="541"/>
    </row>
    <row r="117" spans="1:24" ht="11.25" hidden="1" customHeight="1" x14ac:dyDescent="0.25">
      <c r="A117" s="121" t="str">
        <f>IF(S117=0,"",COUNTIF(A$23:A116,"&gt;0")+1)</f>
        <v/>
      </c>
      <c r="B117" s="289"/>
      <c r="C117" s="76" t="str">
        <f t="shared" si="44"/>
        <v>x10</v>
      </c>
      <c r="D117" s="77" t="str">
        <f>A!C97</f>
        <v>Mimulus ringens</v>
      </c>
      <c r="E117" s="78"/>
      <c r="F117" s="78"/>
      <c r="G117" s="79" t="str">
        <f>A!N97</f>
        <v>lavender musk</v>
      </c>
      <c r="H117" s="87" t="str">
        <f>A!Q97</f>
        <v>name stems from flowers likeness to a monkey's face</v>
      </c>
      <c r="I117" s="69">
        <f>A!M97</f>
        <v>1</v>
      </c>
      <c r="J117" s="202">
        <f>A!P97</f>
        <v>0</v>
      </c>
      <c r="K117" s="83">
        <f>IF(A!G97="y",1,0)</f>
        <v>0</v>
      </c>
      <c r="L117" s="83">
        <f>IF(A!H97="y",1,0)</f>
        <v>0</v>
      </c>
      <c r="M117" s="84" t="str">
        <f>IF(A!F97="y","NEW","")</f>
        <v/>
      </c>
      <c r="N117" s="85">
        <f>A!I97</f>
        <v>0</v>
      </c>
      <c r="O117" s="290" t="str">
        <f>A!O97</f>
        <v>1,2</v>
      </c>
      <c r="P117" s="541" t="str">
        <f>A!K97</f>
        <v>L</v>
      </c>
      <c r="Q117" s="541">
        <f>A!E97</f>
        <v>0</v>
      </c>
      <c r="R117" s="541" t="s">
        <v>110</v>
      </c>
      <c r="S117" s="541">
        <f t="shared" si="43"/>
        <v>0</v>
      </c>
      <c r="T117" s="541" t="str">
        <f>A!R97</f>
        <v>x10</v>
      </c>
      <c r="U117" s="541">
        <f>A!S97</f>
        <v>55</v>
      </c>
      <c r="V117" s="541">
        <f>A!T97</f>
        <v>0.2</v>
      </c>
      <c r="W117" s="541">
        <f t="shared" si="47"/>
        <v>0</v>
      </c>
      <c r="X117" s="541"/>
    </row>
    <row r="118" spans="1:24" ht="11.25" hidden="1" customHeight="1" x14ac:dyDescent="0.25">
      <c r="A118" s="121" t="str">
        <f>IF(S118=0,"",COUNTIF(A$23:A117,"&gt;0")+1)</f>
        <v/>
      </c>
      <c r="B118" s="289"/>
      <c r="C118" s="76" t="str">
        <f t="shared" si="44"/>
        <v>x10</v>
      </c>
      <c r="D118" s="77" t="str">
        <f>A!C98</f>
        <v>Myosotis palustris</v>
      </c>
      <c r="E118" s="78"/>
      <c r="F118" s="78"/>
      <c r="G118" s="79" t="str">
        <f>A!N98</f>
        <v>water forget-me-not</v>
      </c>
      <c r="H118" s="87" t="str">
        <f>A!Q98</f>
        <v>must have for every pond, small blue flowers</v>
      </c>
      <c r="I118" s="69">
        <f>A!M98</f>
        <v>1</v>
      </c>
      <c r="J118" s="202" t="str">
        <f>A!P98</f>
        <v>Yes</v>
      </c>
      <c r="K118" s="83">
        <f>IF(A!G98="y",1,0)</f>
        <v>0</v>
      </c>
      <c r="L118" s="83">
        <f>IF(A!H98="y",1,0)</f>
        <v>0</v>
      </c>
      <c r="M118" s="84" t="str">
        <f>IF(A!F98="y","NEW","")</f>
        <v/>
      </c>
      <c r="N118" s="85">
        <f>A!I98</f>
        <v>0</v>
      </c>
      <c r="O118" s="290">
        <f>A!O98</f>
        <v>2</v>
      </c>
      <c r="P118" s="541" t="str">
        <f>A!K98</f>
        <v>S</v>
      </c>
      <c r="Q118" s="541">
        <f>A!E98</f>
        <v>0</v>
      </c>
      <c r="R118" s="541" t="s">
        <v>110</v>
      </c>
      <c r="S118" s="541">
        <f t="shared" si="43"/>
        <v>0</v>
      </c>
      <c r="T118" s="541" t="str">
        <f>A!R98</f>
        <v>x10</v>
      </c>
      <c r="U118" s="541">
        <f>A!S98</f>
        <v>25</v>
      </c>
      <c r="V118" s="541">
        <f>A!T98</f>
        <v>0.2</v>
      </c>
      <c r="W118" s="541">
        <f t="shared" si="47"/>
        <v>0</v>
      </c>
      <c r="X118" s="541"/>
    </row>
    <row r="119" spans="1:24" ht="11.25" hidden="1" customHeight="1" x14ac:dyDescent="0.25">
      <c r="A119" s="121" t="str">
        <f>IF(S119=0,"",COUNTIF(A$23:A118,"&gt;0")+1)</f>
        <v/>
      </c>
      <c r="B119" s="289"/>
      <c r="C119" s="76" t="str">
        <f t="shared" si="44"/>
        <v>x10</v>
      </c>
      <c r="D119" s="77" t="str">
        <f>A!C99</f>
        <v>Myosotis palustris 'Alba'</v>
      </c>
      <c r="E119" s="78"/>
      <c r="F119" s="78"/>
      <c r="G119" s="79" t="str">
        <f>A!N99</f>
        <v>white water forget-me-not</v>
      </c>
      <c r="H119" s="87" t="str">
        <f>A!Q99</f>
        <v>white flowers over green foliage</v>
      </c>
      <c r="I119" s="69">
        <f>A!M99</f>
        <v>1</v>
      </c>
      <c r="J119" s="202">
        <f>A!P99</f>
        <v>0</v>
      </c>
      <c r="K119" s="83">
        <f>IF(A!G99="y",1,0)</f>
        <v>0</v>
      </c>
      <c r="L119" s="83">
        <f>IF(A!H99="y",1,0)</f>
        <v>0</v>
      </c>
      <c r="M119" s="84" t="str">
        <f>IF(A!F99="y","NEW","")</f>
        <v/>
      </c>
      <c r="N119" s="85">
        <f>A!I99</f>
        <v>0</v>
      </c>
      <c r="O119" s="290" t="str">
        <f>A!O99</f>
        <v>1,2</v>
      </c>
      <c r="P119" s="541">
        <f>A!K99</f>
        <v>0</v>
      </c>
      <c r="Q119" s="541">
        <f>A!E99</f>
        <v>0</v>
      </c>
      <c r="R119" s="541" t="s">
        <v>110</v>
      </c>
      <c r="S119" s="541">
        <f t="shared" si="43"/>
        <v>0</v>
      </c>
      <c r="T119" s="541" t="str">
        <f>A!R99</f>
        <v>x10</v>
      </c>
      <c r="U119" s="541" t="str">
        <f>A!S99</f>
        <v/>
      </c>
      <c r="V119" s="541">
        <f>A!T99</f>
        <v>0.2</v>
      </c>
      <c r="W119" s="541">
        <f t="shared" si="47"/>
        <v>0</v>
      </c>
      <c r="X119" s="541"/>
    </row>
    <row r="120" spans="1:24" ht="11.25" hidden="1" customHeight="1" x14ac:dyDescent="0.25">
      <c r="A120" s="121" t="str">
        <f>IF(S120=0,"",COUNTIF(A$23:A119,"&gt;0")+1)</f>
        <v/>
      </c>
      <c r="B120" s="289"/>
      <c r="C120" s="76" t="str">
        <f t="shared" si="44"/>
        <v>x10</v>
      </c>
      <c r="D120" s="77" t="str">
        <f>A!C100</f>
        <v>Myosotis palustris Pink</v>
      </c>
      <c r="E120" s="78"/>
      <c r="F120" s="78"/>
      <c r="G120" s="79" t="str">
        <f>A!N100</f>
        <v>pink water forget-me-not</v>
      </c>
      <c r="H120" s="87" t="str">
        <f>A!Q100</f>
        <v>pink flowers over green foliage</v>
      </c>
      <c r="I120" s="69">
        <f>A!M100</f>
        <v>1</v>
      </c>
      <c r="J120" s="202">
        <f>A!P100</f>
        <v>0</v>
      </c>
      <c r="K120" s="83">
        <f>IF(A!G100="y",1,0)</f>
        <v>0</v>
      </c>
      <c r="L120" s="83">
        <f>IF(A!H100="y",1,0)</f>
        <v>0</v>
      </c>
      <c r="M120" s="84" t="str">
        <f>IF(A!F100="y","NEW","")</f>
        <v/>
      </c>
      <c r="N120" s="85">
        <f>A!I100</f>
        <v>0</v>
      </c>
      <c r="O120" s="290" t="str">
        <f>A!O100</f>
        <v>1,2</v>
      </c>
      <c r="P120" s="541">
        <f>A!K100</f>
        <v>0</v>
      </c>
      <c r="Q120" s="541">
        <f>A!E100</f>
        <v>0</v>
      </c>
      <c r="R120" s="541" t="s">
        <v>110</v>
      </c>
      <c r="S120" s="541">
        <f t="shared" si="43"/>
        <v>0</v>
      </c>
      <c r="T120" s="541" t="str">
        <f>A!R100</f>
        <v>x10</v>
      </c>
      <c r="U120" s="541" t="str">
        <f>A!S100</f>
        <v/>
      </c>
      <c r="V120" s="541">
        <f>A!T100</f>
        <v>0.2</v>
      </c>
      <c r="W120" s="541">
        <f t="shared" si="47"/>
        <v>0</v>
      </c>
      <c r="X120" s="541"/>
    </row>
    <row r="121" spans="1:24" ht="11.25" hidden="1" customHeight="1" x14ac:dyDescent="0.25">
      <c r="A121" s="121" t="str">
        <f>IF(S121=0,"",COUNTIF(A$23:A120,"&gt;0")+1)</f>
        <v/>
      </c>
      <c r="B121" s="289"/>
      <c r="C121" s="76" t="str">
        <f t="shared" si="44"/>
        <v>x10</v>
      </c>
      <c r="D121" s="77" t="str">
        <f>A!C101</f>
        <v>Nasturtium Aquaticum</v>
      </c>
      <c r="E121" s="78"/>
      <c r="F121" s="78"/>
      <c r="G121" s="79" t="str">
        <f>A!N101</f>
        <v>watercress</v>
      </c>
      <c r="H121" s="87" t="str">
        <f>A!Q101</f>
        <v>the natural way to keep green algae at bay</v>
      </c>
      <c r="I121" s="69">
        <f>A!M101</f>
        <v>1</v>
      </c>
      <c r="J121" s="202" t="str">
        <f>A!P101</f>
        <v>Yes</v>
      </c>
      <c r="K121" s="83">
        <f>IF(A!G101="y",1,0)</f>
        <v>0</v>
      </c>
      <c r="L121" s="83">
        <f>IF(A!H101="y",1,0)</f>
        <v>0</v>
      </c>
      <c r="M121" s="84" t="str">
        <f>IF(A!F101="y","NEW","")</f>
        <v/>
      </c>
      <c r="N121" s="85">
        <f>A!I101</f>
        <v>0</v>
      </c>
      <c r="O121" s="290">
        <f>A!O101</f>
        <v>2</v>
      </c>
      <c r="P121" s="541" t="str">
        <f>A!K101</f>
        <v>s</v>
      </c>
      <c r="Q121" s="541">
        <f>A!E101</f>
        <v>0</v>
      </c>
      <c r="R121" s="541" t="s">
        <v>110</v>
      </c>
      <c r="S121" s="541">
        <f t="shared" si="43"/>
        <v>0</v>
      </c>
      <c r="T121" s="541" t="str">
        <f>A!R101</f>
        <v>x10</v>
      </c>
      <c r="U121" s="541">
        <f>A!S101</f>
        <v>25</v>
      </c>
      <c r="V121" s="541">
        <f>A!T101</f>
        <v>0.2</v>
      </c>
      <c r="W121" s="541">
        <f t="shared" si="47"/>
        <v>0</v>
      </c>
      <c r="X121" s="541"/>
    </row>
    <row r="122" spans="1:24" ht="11.25" hidden="1" customHeight="1" x14ac:dyDescent="0.25">
      <c r="A122" s="121" t="str">
        <f>IF(S122=0,"",COUNTIF(A$23:A121,"&gt;0")+1)</f>
        <v/>
      </c>
      <c r="B122" s="289"/>
      <c r="C122" s="76" t="str">
        <f t="shared" si="44"/>
        <v>x10</v>
      </c>
      <c r="D122" s="77" t="str">
        <f>A!C102</f>
        <v>Oenathe fistulosa</v>
      </c>
      <c r="E122" s="78"/>
      <c r="F122" s="78"/>
      <c r="G122" s="79" t="str">
        <f>A!N102</f>
        <v>water dropwort</v>
      </c>
      <c r="H122" s="87" t="str">
        <f>A!Q102</f>
        <v>white flowers over carrot top looking leaves</v>
      </c>
      <c r="I122" s="69">
        <f>A!M102</f>
        <v>3</v>
      </c>
      <c r="J122" s="202">
        <f>A!P102</f>
        <v>0</v>
      </c>
      <c r="K122" s="83">
        <f>IF(A!G102="y",1,0)</f>
        <v>0</v>
      </c>
      <c r="L122" s="83">
        <f>IF(A!H102="y",1,0)</f>
        <v>0</v>
      </c>
      <c r="M122" s="84" t="str">
        <f>IF(A!F102="y","NEW","")</f>
        <v/>
      </c>
      <c r="N122" s="85">
        <f>A!I102</f>
        <v>0</v>
      </c>
      <c r="O122" s="290" t="str">
        <f>A!O102</f>
        <v>1,2</v>
      </c>
      <c r="P122" s="541">
        <f>A!K102</f>
        <v>0</v>
      </c>
      <c r="Q122" s="541">
        <f>A!E102</f>
        <v>0</v>
      </c>
      <c r="R122" s="541" t="s">
        <v>110</v>
      </c>
      <c r="S122" s="541">
        <f t="shared" si="43"/>
        <v>0</v>
      </c>
      <c r="T122" s="541" t="str">
        <f>A!R102</f>
        <v>x10</v>
      </c>
      <c r="U122" s="541" t="str">
        <f>A!S102</f>
        <v/>
      </c>
      <c r="V122" s="541">
        <f>A!T102</f>
        <v>0.2</v>
      </c>
      <c r="W122" s="541">
        <f t="shared" si="47"/>
        <v>0</v>
      </c>
      <c r="X122" s="541"/>
    </row>
    <row r="123" spans="1:24" ht="11.25" customHeight="1" x14ac:dyDescent="0.25">
      <c r="A123" s="121" t="str">
        <f>IF(S123=0,"",COUNTIF(A$23:A122,"&gt;0")+1)</f>
        <v/>
      </c>
      <c r="B123" s="289"/>
      <c r="C123" s="76" t="str">
        <f t="shared" si="44"/>
        <v>x10</v>
      </c>
      <c r="D123" s="77" t="str">
        <f>A!C103</f>
        <v>Oenanthe 'Flamingo'</v>
      </c>
      <c r="E123" s="78"/>
      <c r="F123" s="78"/>
      <c r="G123" s="79" t="str">
        <f>A!N103</f>
        <v>variegated water dropwort</v>
      </c>
      <c r="H123" s="87" t="str">
        <f>A!Q103</f>
        <v>wonderful tricolour, pink, green and white foliage</v>
      </c>
      <c r="I123" s="69">
        <f>A!M103</f>
        <v>1</v>
      </c>
      <c r="J123" s="202">
        <f>A!P103</f>
        <v>0</v>
      </c>
      <c r="K123" s="83">
        <f>IF(A!G103="y",1,0)</f>
        <v>1</v>
      </c>
      <c r="L123" s="83">
        <f>IF(A!H103="y",1,0)</f>
        <v>0</v>
      </c>
      <c r="M123" s="84" t="str">
        <f>IF(A!F103="y","NEW","")</f>
        <v>NEW</v>
      </c>
      <c r="N123" s="85">
        <f>A!I103</f>
        <v>0</v>
      </c>
      <c r="O123" s="290" t="str">
        <f>A!O103</f>
        <v>1,2</v>
      </c>
      <c r="P123" s="541" t="str">
        <f>A!K103</f>
        <v>M</v>
      </c>
      <c r="Q123" s="541" t="str">
        <f>A!E103</f>
        <v>y</v>
      </c>
      <c r="R123" s="541" t="s">
        <v>110</v>
      </c>
      <c r="S123" s="541">
        <f t="shared" si="43"/>
        <v>0</v>
      </c>
      <c r="T123" s="541" t="str">
        <f>A!R103</f>
        <v>x10</v>
      </c>
      <c r="U123" s="541">
        <f>A!S103</f>
        <v>35</v>
      </c>
      <c r="V123" s="541">
        <f>A!T103</f>
        <v>0.2</v>
      </c>
      <c r="W123" s="541">
        <f t="shared" si="47"/>
        <v>0</v>
      </c>
      <c r="X123" s="541"/>
    </row>
    <row r="124" spans="1:24" ht="11.25" hidden="1" customHeight="1" x14ac:dyDescent="0.25">
      <c r="A124" s="121" t="str">
        <f>IF(S124=0,"",COUNTIF(A$23:A123,"&gt;0")+1)</f>
        <v/>
      </c>
      <c r="B124" s="289"/>
      <c r="C124" s="76" t="str">
        <f t="shared" si="44"/>
        <v>x10</v>
      </c>
      <c r="D124" s="77" t="str">
        <f>A!C104</f>
        <v xml:space="preserve">Phalaris arundinacea 'Picta'   </v>
      </c>
      <c r="E124" s="78"/>
      <c r="F124" s="78"/>
      <c r="G124" s="79" t="str">
        <f>A!N104</f>
        <v>gardener's garters</v>
      </c>
      <c r="H124" s="87" t="str">
        <f>A!Q104</f>
        <v>offering bold stripes of white, pale and dark green</v>
      </c>
      <c r="I124" s="69">
        <f>A!M104</f>
        <v>2</v>
      </c>
      <c r="J124" s="202">
        <f>A!P104</f>
        <v>0</v>
      </c>
      <c r="K124" s="83">
        <f>IF(A!G104="y",1,0)</f>
        <v>0</v>
      </c>
      <c r="L124" s="83">
        <f>IF(A!H104="y",1,0)</f>
        <v>0</v>
      </c>
      <c r="M124" s="84" t="str">
        <f>IF(A!F104="y","NEW","")</f>
        <v/>
      </c>
      <c r="N124" s="85">
        <f>A!I104</f>
        <v>0</v>
      </c>
      <c r="O124" s="290" t="str">
        <f>A!O104</f>
        <v>1,2</v>
      </c>
      <c r="P124" s="541" t="str">
        <f>A!K104</f>
        <v>L</v>
      </c>
      <c r="Q124" s="541">
        <f>A!E104</f>
        <v>0</v>
      </c>
      <c r="R124" s="541" t="s">
        <v>110</v>
      </c>
      <c r="S124" s="541">
        <f t="shared" si="43"/>
        <v>0</v>
      </c>
      <c r="T124" s="541" t="str">
        <f>A!R104</f>
        <v>x10</v>
      </c>
      <c r="U124" s="541">
        <f>A!S104</f>
        <v>55</v>
      </c>
      <c r="V124" s="541">
        <f>A!T104</f>
        <v>0.2</v>
      </c>
      <c r="W124" s="541">
        <f t="shared" si="47"/>
        <v>0</v>
      </c>
      <c r="X124" s="541"/>
    </row>
    <row r="125" spans="1:24" ht="11.25" hidden="1" customHeight="1" x14ac:dyDescent="0.25">
      <c r="A125" s="121" t="str">
        <f>IF(S125=0,"",COUNTIF(A$23:A124,"&gt;0")+1)</f>
        <v/>
      </c>
      <c r="B125" s="289"/>
      <c r="C125" s="76" t="str">
        <f t="shared" ref="C125" si="48">T125</f>
        <v>x10</v>
      </c>
      <c r="D125" s="77" t="str">
        <f>A!C105</f>
        <v>Phalaris Arctic Sun</v>
      </c>
      <c r="E125" s="78"/>
      <c r="F125" s="78"/>
      <c r="G125" s="79" t="str">
        <f>A!N105</f>
        <v>Golden Ribbon Grass</v>
      </c>
      <c r="H125" s="87" t="str">
        <f>A!Q105</f>
        <v>striking golden foliage on this new hybrid</v>
      </c>
      <c r="I125" s="69">
        <f>A!M105</f>
        <v>2</v>
      </c>
      <c r="J125" s="202">
        <f>A!P105</f>
        <v>0</v>
      </c>
      <c r="K125" s="83">
        <f>IF(A!G105="y",1,0)</f>
        <v>0</v>
      </c>
      <c r="L125" s="83">
        <f>IF(A!H105="y",1,0)</f>
        <v>0</v>
      </c>
      <c r="M125" s="84" t="str">
        <f>IF(A!F105="y","NEW","")</f>
        <v/>
      </c>
      <c r="N125" s="85">
        <f>A!I105</f>
        <v>0</v>
      </c>
      <c r="O125" s="290" t="str">
        <f>A!O105</f>
        <v>1,2</v>
      </c>
      <c r="P125" s="541" t="str">
        <f>A!K105</f>
        <v>M</v>
      </c>
      <c r="Q125" s="541">
        <f>A!E105</f>
        <v>0</v>
      </c>
      <c r="R125" s="541" t="s">
        <v>110</v>
      </c>
      <c r="S125" s="541">
        <f t="shared" ref="S125" si="49">B125</f>
        <v>0</v>
      </c>
      <c r="T125" s="541" t="str">
        <f>A!R105</f>
        <v>x10</v>
      </c>
      <c r="U125" s="541">
        <f>A!S105</f>
        <v>35</v>
      </c>
      <c r="V125" s="541">
        <f>A!T105</f>
        <v>0.2</v>
      </c>
      <c r="W125" s="541">
        <f t="shared" si="47"/>
        <v>0</v>
      </c>
      <c r="X125" s="541"/>
    </row>
    <row r="126" spans="1:24" ht="11.25" hidden="1" customHeight="1" x14ac:dyDescent="0.25">
      <c r="A126" s="121" t="str">
        <f>IF(S126=0,"",COUNTIF(A$23:A125,"&gt;0")+1)</f>
        <v/>
      </c>
      <c r="B126" s="289"/>
      <c r="C126" s="76" t="str">
        <f t="shared" si="44"/>
        <v>x10</v>
      </c>
      <c r="D126" s="77" t="str">
        <f>A!C106</f>
        <v>Pontederia cordata</v>
      </c>
      <c r="E126" s="78"/>
      <c r="F126" s="78"/>
      <c r="G126" s="79" t="str">
        <f>A!N106</f>
        <v>pickeral weed</v>
      </c>
      <c r="H126" s="87" t="str">
        <f>A!Q106</f>
        <v>american native with handsome blue flowers</v>
      </c>
      <c r="I126" s="69">
        <f>A!M106</f>
        <v>1</v>
      </c>
      <c r="J126" s="202">
        <f>A!P106</f>
        <v>0</v>
      </c>
      <c r="K126" s="83">
        <f>IF(A!G106="y",1,0)</f>
        <v>0</v>
      </c>
      <c r="L126" s="83">
        <f>IF(A!H106="y",1,0)</f>
        <v>0</v>
      </c>
      <c r="M126" s="84" t="str">
        <f>IF(A!F106="y","NEW","")</f>
        <v/>
      </c>
      <c r="N126" s="85">
        <f>A!I106</f>
        <v>0</v>
      </c>
      <c r="O126" s="290" t="str">
        <f>A!O106</f>
        <v>2,3</v>
      </c>
      <c r="P126" s="541" t="str">
        <f>A!K106</f>
        <v>M</v>
      </c>
      <c r="Q126" s="541">
        <f>A!E106</f>
        <v>0</v>
      </c>
      <c r="R126" s="541" t="s">
        <v>110</v>
      </c>
      <c r="S126" s="541">
        <f t="shared" si="43"/>
        <v>0</v>
      </c>
      <c r="T126" s="541" t="str">
        <f>A!R106</f>
        <v>x10</v>
      </c>
      <c r="U126" s="541">
        <f>A!S106</f>
        <v>35</v>
      </c>
      <c r="V126" s="541">
        <f>A!T106</f>
        <v>0.2</v>
      </c>
      <c r="W126" s="541">
        <f t="shared" si="47"/>
        <v>0</v>
      </c>
      <c r="X126" s="541"/>
    </row>
    <row r="127" spans="1:24" ht="11.25" hidden="1" customHeight="1" x14ac:dyDescent="0.25">
      <c r="A127" s="121" t="str">
        <f>IF(S127=0,"",COUNTIF(A$23:A126,"&gt;0")+1)</f>
        <v/>
      </c>
      <c r="B127" s="289"/>
      <c r="C127" s="76" t="str">
        <f t="shared" si="44"/>
        <v>x10</v>
      </c>
      <c r="D127" s="77" t="str">
        <f>A!C107</f>
        <v>Pontederia cordata 'Alba'</v>
      </c>
      <c r="E127" s="78"/>
      <c r="F127" s="78"/>
      <c r="G127" s="79" t="str">
        <f>A!N107</f>
        <v>pickeral weed</v>
      </c>
      <c r="H127" s="87" t="str">
        <f>A!Q107</f>
        <v>handsome white flowering form of pickeral weed</v>
      </c>
      <c r="I127" s="69">
        <f>A!M107</f>
        <v>1</v>
      </c>
      <c r="J127" s="202">
        <f>A!P107</f>
        <v>0</v>
      </c>
      <c r="K127" s="83">
        <f>IF(A!G107="y",1,0)</f>
        <v>0</v>
      </c>
      <c r="L127" s="83">
        <f>IF(A!H107="y",1,0)</f>
        <v>0</v>
      </c>
      <c r="M127" s="84" t="str">
        <f>IF(A!F107="y","NEW","")</f>
        <v/>
      </c>
      <c r="N127" s="85">
        <f>A!I107</f>
        <v>0</v>
      </c>
      <c r="O127" s="290" t="str">
        <f>A!O107</f>
        <v>2,3</v>
      </c>
      <c r="P127" s="541">
        <f>A!K107</f>
        <v>0</v>
      </c>
      <c r="Q127" s="541">
        <f>A!E107</f>
        <v>0</v>
      </c>
      <c r="R127" s="541" t="s">
        <v>110</v>
      </c>
      <c r="S127" s="541">
        <f t="shared" si="43"/>
        <v>0</v>
      </c>
      <c r="T127" s="541" t="str">
        <f>A!R107</f>
        <v>x10</v>
      </c>
      <c r="U127" s="541" t="str">
        <f>A!S107</f>
        <v/>
      </c>
      <c r="V127" s="541">
        <f>A!T107</f>
        <v>0.2</v>
      </c>
      <c r="W127" s="541">
        <f t="shared" si="47"/>
        <v>0</v>
      </c>
      <c r="X127" s="541"/>
    </row>
    <row r="128" spans="1:24" ht="11.25" hidden="1" customHeight="1" x14ac:dyDescent="0.25">
      <c r="A128" s="121" t="str">
        <f>IF(S128=0,"",COUNTIF(A$23:A127,"&gt;0")+1)</f>
        <v/>
      </c>
      <c r="B128" s="289"/>
      <c r="C128" s="76" t="str">
        <f t="shared" si="44"/>
        <v>x10</v>
      </c>
      <c r="D128" s="77" t="str">
        <f>A!C108</f>
        <v>Pontederia Lanceolata</v>
      </c>
      <c r="E128" s="78"/>
      <c r="F128" s="78"/>
      <c r="G128" s="79" t="str">
        <f>A!N108</f>
        <v>pickeral weed</v>
      </c>
      <c r="H128" s="87" t="str">
        <f>A!Q108</f>
        <v>blue  poker-like flowers overlance shaped leaves</v>
      </c>
      <c r="I128" s="69">
        <f>A!M108</f>
        <v>1</v>
      </c>
      <c r="J128" s="202">
        <f>A!P108</f>
        <v>0</v>
      </c>
      <c r="K128" s="83">
        <f>IF(A!G108="y",1,0)</f>
        <v>0</v>
      </c>
      <c r="L128" s="83">
        <f>IF(A!H108="y",1,0)</f>
        <v>0</v>
      </c>
      <c r="M128" s="84" t="str">
        <f>IF(A!F108="y","NEW","")</f>
        <v/>
      </c>
      <c r="N128" s="85">
        <f>A!I108</f>
        <v>0</v>
      </c>
      <c r="O128" s="290" t="str">
        <f>A!O108</f>
        <v>2,3</v>
      </c>
      <c r="P128" s="541">
        <f>A!K108</f>
        <v>0</v>
      </c>
      <c r="Q128" s="541">
        <f>A!E108</f>
        <v>0</v>
      </c>
      <c r="R128" s="541" t="s">
        <v>110</v>
      </c>
      <c r="S128" s="541">
        <f t="shared" ref="S128:S129" si="50">B128</f>
        <v>0</v>
      </c>
      <c r="T128" s="541" t="str">
        <f>A!R108</f>
        <v>x10</v>
      </c>
      <c r="U128" s="541" t="str">
        <f>A!S108</f>
        <v/>
      </c>
      <c r="V128" s="541">
        <f>A!T108</f>
        <v>0.2</v>
      </c>
      <c r="W128" s="541">
        <f t="shared" si="47"/>
        <v>0</v>
      </c>
      <c r="X128" s="541"/>
    </row>
    <row r="129" spans="1:24" ht="11.25" customHeight="1" x14ac:dyDescent="0.25">
      <c r="A129" s="121" t="str">
        <f>IF(S129=0,"",COUNTIF(A$23:A128,"&gt;0")+1)</f>
        <v/>
      </c>
      <c r="B129" s="289"/>
      <c r="C129" s="76" t="str">
        <f t="shared" si="44"/>
        <v>x10</v>
      </c>
      <c r="D129" s="77" t="str">
        <f>A!C109</f>
        <v>Preslia cervina</v>
      </c>
      <c r="E129" s="78"/>
      <c r="F129" s="78"/>
      <c r="G129" s="79" t="str">
        <f>A!N109</f>
        <v>water spearmint</v>
      </c>
      <c r="H129" s="87" t="str">
        <f>A!Q109</f>
        <v>attractive lilac flowers and strongly scented foliage</v>
      </c>
      <c r="I129" s="69">
        <f>A!M109</f>
        <v>2</v>
      </c>
      <c r="J129" s="202">
        <f>A!P109</f>
        <v>0</v>
      </c>
      <c r="K129" s="83">
        <f>IF(A!G109="y",1,0)</f>
        <v>1</v>
      </c>
      <c r="L129" s="83">
        <f>IF(A!H109="y",1,0)</f>
        <v>0</v>
      </c>
      <c r="M129" s="84" t="str">
        <f>IF(A!F109="y","NEW","")</f>
        <v/>
      </c>
      <c r="N129" s="85">
        <f>A!I109</f>
        <v>0</v>
      </c>
      <c r="O129" s="290">
        <f>A!O109</f>
        <v>2</v>
      </c>
      <c r="P129" s="541" t="str">
        <f>A!K109</f>
        <v>m</v>
      </c>
      <c r="Q129" s="541" t="str">
        <f>A!E109</f>
        <v>Y</v>
      </c>
      <c r="R129" s="541" t="s">
        <v>110</v>
      </c>
      <c r="S129" s="541">
        <f t="shared" si="50"/>
        <v>0</v>
      </c>
      <c r="T129" s="541" t="str">
        <f>A!R109</f>
        <v>x10</v>
      </c>
      <c r="U129" s="541">
        <f>A!S109</f>
        <v>35</v>
      </c>
      <c r="V129" s="541">
        <f>A!T109</f>
        <v>0.2</v>
      </c>
      <c r="W129" s="541">
        <f t="shared" si="47"/>
        <v>0</v>
      </c>
      <c r="X129" s="541"/>
    </row>
    <row r="130" spans="1:24" ht="11.25" customHeight="1" x14ac:dyDescent="0.25">
      <c r="A130" s="121" t="str">
        <f>IF(S130=0,"",COUNTIF(A$23:A129,"&gt;0")+1)</f>
        <v/>
      </c>
      <c r="B130" s="289"/>
      <c r="C130" s="76" t="str">
        <f t="shared" si="44"/>
        <v>x10</v>
      </c>
      <c r="D130" s="77" t="str">
        <f>A!C110</f>
        <v>Preslia cervina alba</v>
      </c>
      <c r="E130" s="78"/>
      <c r="F130" s="78"/>
      <c r="G130" s="79" t="str">
        <f>A!N110</f>
        <v>water spearmint</v>
      </c>
      <c r="H130" s="87" t="str">
        <f>A!Q110</f>
        <v>attractive lilac flowers and strongly scented foliage</v>
      </c>
      <c r="I130" s="69">
        <f>A!M110</f>
        <v>2</v>
      </c>
      <c r="J130" s="202">
        <f>A!P110</f>
        <v>0</v>
      </c>
      <c r="K130" s="83">
        <f>IF(A!G110="y",1,0)</f>
        <v>1</v>
      </c>
      <c r="L130" s="83">
        <f>IF(A!H110="y",1,0)</f>
        <v>0</v>
      </c>
      <c r="M130" s="84" t="str">
        <f>IF(A!F110="y","NEW","")</f>
        <v/>
      </c>
      <c r="N130" s="85">
        <f>A!I110</f>
        <v>0</v>
      </c>
      <c r="O130" s="290">
        <f>A!O110</f>
        <v>2</v>
      </c>
      <c r="P130" s="541" t="str">
        <f>A!K110</f>
        <v>S</v>
      </c>
      <c r="Q130" s="541" t="str">
        <f>A!E110</f>
        <v>Y</v>
      </c>
      <c r="R130" s="541" t="s">
        <v>110</v>
      </c>
      <c r="S130" s="541">
        <f t="shared" ref="S130:S166" si="51">B130</f>
        <v>0</v>
      </c>
      <c r="T130" s="541" t="str">
        <f>A!R110</f>
        <v>x10</v>
      </c>
      <c r="U130" s="541">
        <f>A!S110</f>
        <v>25</v>
      </c>
      <c r="V130" s="541">
        <f>A!T110</f>
        <v>0.2</v>
      </c>
      <c r="W130" s="541">
        <f t="shared" si="47"/>
        <v>0</v>
      </c>
      <c r="X130" s="541"/>
    </row>
    <row r="131" spans="1:24" ht="11.25" hidden="1" customHeight="1" x14ac:dyDescent="0.25">
      <c r="A131" s="121" t="str">
        <f>IF(S131=0,"",COUNTIF(A$23:A130,"&gt;0")+1)</f>
        <v/>
      </c>
      <c r="B131" s="289"/>
      <c r="C131" s="76" t="str">
        <f t="shared" si="44"/>
        <v>x10</v>
      </c>
      <c r="D131" s="77" t="str">
        <f>A!C111</f>
        <v>Primula Beesiana</v>
      </c>
      <c r="E131" s="78"/>
      <c r="F131" s="78"/>
      <c r="G131" s="79" t="str">
        <f>A!N111</f>
        <v>candelabra primula</v>
      </c>
      <c r="H131" s="87" t="str">
        <f>A!Q111</f>
        <v>smaller growing Chinese variety</v>
      </c>
      <c r="I131" s="69">
        <f>A!M111</f>
        <v>2</v>
      </c>
      <c r="J131" s="202">
        <f>A!P111</f>
        <v>0</v>
      </c>
      <c r="K131" s="83">
        <f>IF(A!G111="y",1,0)</f>
        <v>0</v>
      </c>
      <c r="L131" s="83">
        <f>IF(A!H111="y",1,0)</f>
        <v>0</v>
      </c>
      <c r="M131" s="84" t="str">
        <f>IF(A!F111="y","NEW","")</f>
        <v/>
      </c>
      <c r="N131" s="85">
        <f>A!I111</f>
        <v>0</v>
      </c>
      <c r="O131" s="290">
        <f>A!O111</f>
        <v>1</v>
      </c>
      <c r="P131" s="541">
        <f>A!K111</f>
        <v>0</v>
      </c>
      <c r="Q131" s="541">
        <f>A!E111</f>
        <v>0</v>
      </c>
      <c r="R131" s="541" t="s">
        <v>110</v>
      </c>
      <c r="S131" s="541">
        <f t="shared" si="51"/>
        <v>0</v>
      </c>
      <c r="T131" s="541" t="str">
        <f>A!R111</f>
        <v>x10</v>
      </c>
      <c r="U131" s="541" t="str">
        <f>A!S111</f>
        <v/>
      </c>
      <c r="V131" s="541">
        <f>A!T111</f>
        <v>0.2</v>
      </c>
      <c r="W131" s="541">
        <f t="shared" si="47"/>
        <v>0</v>
      </c>
      <c r="X131" s="541"/>
    </row>
    <row r="132" spans="1:24" ht="11.25" hidden="1" customHeight="1" x14ac:dyDescent="0.25">
      <c r="A132" s="121" t="str">
        <f>IF(S132=0,"",COUNTIF(A$23:A131,"&gt;0")+1)</f>
        <v/>
      </c>
      <c r="B132" s="289"/>
      <c r="C132" s="76" t="str">
        <f t="shared" si="44"/>
        <v>x10</v>
      </c>
      <c r="D132" s="77" t="str">
        <f>A!C112</f>
        <v>Primula bulleyana</v>
      </c>
      <c r="E132" s="78"/>
      <c r="F132" s="78"/>
      <c r="G132" s="79" t="str">
        <f>A!N112</f>
        <v>candelabra</v>
      </c>
      <c r="H132" s="87" t="str">
        <f>A!Q112</f>
        <v>candelabra primula with orange-yellow flowers</v>
      </c>
      <c r="I132" s="69">
        <f>A!M112</f>
        <v>2</v>
      </c>
      <c r="J132" s="202">
        <f>A!P112</f>
        <v>0</v>
      </c>
      <c r="K132" s="83">
        <f>IF(A!G112="y",1,0)</f>
        <v>0</v>
      </c>
      <c r="L132" s="83">
        <f>IF(A!H112="y",1,0)</f>
        <v>0</v>
      </c>
      <c r="M132" s="84" t="str">
        <f>IF(A!F112="y","NEW","")</f>
        <v/>
      </c>
      <c r="N132" s="85">
        <f>A!I112</f>
        <v>0</v>
      </c>
      <c r="O132" s="290">
        <f>A!O112</f>
        <v>1</v>
      </c>
      <c r="P132" s="541">
        <f>A!K112</f>
        <v>0</v>
      </c>
      <c r="Q132" s="541">
        <f>A!E112</f>
        <v>0</v>
      </c>
      <c r="R132" s="541" t="s">
        <v>110</v>
      </c>
      <c r="S132" s="541">
        <f t="shared" si="51"/>
        <v>0</v>
      </c>
      <c r="T132" s="541" t="str">
        <f>A!R112</f>
        <v>x10</v>
      </c>
      <c r="U132" s="541" t="str">
        <f>A!S112</f>
        <v/>
      </c>
      <c r="V132" s="541">
        <f>A!T112</f>
        <v>0.2</v>
      </c>
      <c r="W132" s="541">
        <f t="shared" si="47"/>
        <v>0</v>
      </c>
      <c r="X132" s="541"/>
    </row>
    <row r="133" spans="1:24" ht="11.25" hidden="1" customHeight="1" x14ac:dyDescent="0.25">
      <c r="A133" s="121" t="str">
        <f>IF(S133=0,"",COUNTIF(A$23:A132,"&gt;0")+1)</f>
        <v/>
      </c>
      <c r="B133" s="289"/>
      <c r="C133" s="76" t="str">
        <f t="shared" si="44"/>
        <v>x10</v>
      </c>
      <c r="D133" s="77" t="str">
        <f>A!C113</f>
        <v>Primula denticulata</v>
      </c>
      <c r="E133" s="78"/>
      <c r="F133" s="78"/>
      <c r="G133" s="79" t="str">
        <f>A!N113</f>
        <v>himalayan primula</v>
      </c>
      <c r="H133" s="87" t="str">
        <f>A!Q113</f>
        <v>impressive rounded heads of flowers</v>
      </c>
      <c r="I133" s="69">
        <f>A!M113</f>
        <v>2</v>
      </c>
      <c r="J133" s="202">
        <f>A!P113</f>
        <v>0</v>
      </c>
      <c r="K133" s="83">
        <f>IF(A!G113="y",1,0)</f>
        <v>0</v>
      </c>
      <c r="L133" s="83">
        <f>IF(A!H113="y",1,0)</f>
        <v>0</v>
      </c>
      <c r="M133" s="84" t="str">
        <f>IF(A!F113="y","NEW","")</f>
        <v/>
      </c>
      <c r="N133" s="85">
        <f>A!I113</f>
        <v>0</v>
      </c>
      <c r="O133" s="290">
        <f>A!O113</f>
        <v>1</v>
      </c>
      <c r="P133" s="541">
        <f>A!K113</f>
        <v>0</v>
      </c>
      <c r="Q133" s="541">
        <f>A!E113</f>
        <v>0</v>
      </c>
      <c r="R133" s="541" t="s">
        <v>110</v>
      </c>
      <c r="S133" s="541">
        <f t="shared" si="51"/>
        <v>0</v>
      </c>
      <c r="T133" s="541" t="str">
        <f>A!R113</f>
        <v>x10</v>
      </c>
      <c r="U133" s="541" t="str">
        <f>A!S113</f>
        <v/>
      </c>
      <c r="V133" s="541">
        <f>A!T113</f>
        <v>0.2</v>
      </c>
      <c r="W133" s="541">
        <f t="shared" si="47"/>
        <v>0</v>
      </c>
      <c r="X133" s="541"/>
    </row>
    <row r="134" spans="1:24" ht="11.25" hidden="1" customHeight="1" x14ac:dyDescent="0.25">
      <c r="A134" s="121" t="str">
        <f>IF(S134=0,"",COUNTIF(A$23:A133,"&gt;0")+1)</f>
        <v/>
      </c>
      <c r="B134" s="289"/>
      <c r="C134" s="76" t="str">
        <f t="shared" si="44"/>
        <v>x10</v>
      </c>
      <c r="D134" s="77" t="str">
        <f>A!C114</f>
        <v>Primula denticulata 'Alba'</v>
      </c>
      <c r="E134" s="78"/>
      <c r="F134" s="78"/>
      <c r="G134" s="79" t="str">
        <f>A!N114</f>
        <v>himilayan primula</v>
      </c>
      <c r="H134" s="87" t="str">
        <f>A!Q114</f>
        <v>distinctive large spherical white flower heads</v>
      </c>
      <c r="I134" s="69">
        <f>A!M114</f>
        <v>2</v>
      </c>
      <c r="J134" s="202">
        <f>A!P114</f>
        <v>0</v>
      </c>
      <c r="K134" s="83">
        <f>IF(A!G114="y",1,0)</f>
        <v>0</v>
      </c>
      <c r="L134" s="83">
        <f>IF(A!H114="y",1,0)</f>
        <v>0</v>
      </c>
      <c r="M134" s="84" t="str">
        <f>IF(A!F114="y","NEW","")</f>
        <v/>
      </c>
      <c r="N134" s="85">
        <f>A!I114</f>
        <v>0</v>
      </c>
      <c r="O134" s="290">
        <f>A!O114</f>
        <v>1</v>
      </c>
      <c r="P134" s="541">
        <f>A!K114</f>
        <v>0</v>
      </c>
      <c r="Q134" s="541">
        <f>A!E114</f>
        <v>0</v>
      </c>
      <c r="R134" s="541" t="s">
        <v>110</v>
      </c>
      <c r="S134" s="541">
        <f t="shared" si="51"/>
        <v>0</v>
      </c>
      <c r="T134" s="541" t="str">
        <f>A!R114</f>
        <v>x10</v>
      </c>
      <c r="U134" s="541" t="str">
        <f>A!S114</f>
        <v/>
      </c>
      <c r="V134" s="541">
        <f>A!T114</f>
        <v>0.2</v>
      </c>
      <c r="W134" s="541">
        <f t="shared" si="47"/>
        <v>0</v>
      </c>
      <c r="X134" s="541"/>
    </row>
    <row r="135" spans="1:24" ht="11.25" hidden="1" customHeight="1" x14ac:dyDescent="0.25">
      <c r="A135" s="121" t="str">
        <f>IF(S135=0,"",COUNTIF(A$23:A134,"&gt;0")+1)</f>
        <v/>
      </c>
      <c r="B135" s="289"/>
      <c r="C135" s="76" t="str">
        <f t="shared" si="44"/>
        <v>x10</v>
      </c>
      <c r="D135" s="77" t="str">
        <f>A!C115</f>
        <v>Primula Denticulata Deep Rose</v>
      </c>
      <c r="E135" s="78"/>
      <c r="F135" s="78"/>
      <c r="G135" s="79" t="str">
        <f>A!N115</f>
        <v>drumstick primula</v>
      </c>
      <c r="H135" s="87" t="str">
        <f>A!Q115</f>
        <v>beautiful deep rose flowers with a yellow eye</v>
      </c>
      <c r="I135" s="69">
        <f>A!M115</f>
        <v>2</v>
      </c>
      <c r="J135" s="202">
        <f>A!P115</f>
        <v>0</v>
      </c>
      <c r="K135" s="83">
        <f>IF(A!G115="y",1,0)</f>
        <v>0</v>
      </c>
      <c r="L135" s="83">
        <f>IF(A!H115="y",1,0)</f>
        <v>0</v>
      </c>
      <c r="M135" s="84" t="str">
        <f>IF(A!F115="y","NEW","")</f>
        <v/>
      </c>
      <c r="N135" s="85">
        <f>A!I115</f>
        <v>0</v>
      </c>
      <c r="O135" s="290">
        <f>A!O115</f>
        <v>1</v>
      </c>
      <c r="P135" s="541">
        <f>A!K115</f>
        <v>0</v>
      </c>
      <c r="Q135" s="541">
        <f>A!E115</f>
        <v>0</v>
      </c>
      <c r="R135" s="541" t="s">
        <v>110</v>
      </c>
      <c r="S135" s="541">
        <f t="shared" ref="S135:S136" si="52">B135</f>
        <v>0</v>
      </c>
      <c r="T135" s="541" t="str">
        <f>A!R115</f>
        <v>x10</v>
      </c>
      <c r="U135" s="541" t="str">
        <f>A!S115</f>
        <v/>
      </c>
      <c r="V135" s="541">
        <f>A!T115</f>
        <v>0.2</v>
      </c>
      <c r="W135" s="541">
        <f t="shared" si="47"/>
        <v>0</v>
      </c>
      <c r="X135" s="541"/>
    </row>
    <row r="136" spans="1:24" ht="11.25" hidden="1" customHeight="1" x14ac:dyDescent="0.25">
      <c r="A136" s="121" t="str">
        <f>IF(S136=0,"",COUNTIF(A$23:A135,"&gt;0")+1)</f>
        <v/>
      </c>
      <c r="B136" s="289"/>
      <c r="C136" s="76" t="str">
        <f t="shared" si="44"/>
        <v>x10</v>
      </c>
      <c r="D136" s="77" t="str">
        <f>A!C116</f>
        <v>Primula Denticulata Lilac</v>
      </c>
      <c r="E136" s="78"/>
      <c r="F136" s="78"/>
      <c r="G136" s="79" t="str">
        <f>A!N116</f>
        <v>drumstick primula</v>
      </c>
      <c r="H136" s="87" t="str">
        <f>A!Q116</f>
        <v>tiny lilac-purple flowers in spring until early summer</v>
      </c>
      <c r="I136" s="69">
        <f>A!M116</f>
        <v>2</v>
      </c>
      <c r="J136" s="202">
        <f>A!P116</f>
        <v>0</v>
      </c>
      <c r="K136" s="83">
        <f>IF(A!G116="y",1,0)</f>
        <v>0</v>
      </c>
      <c r="L136" s="83">
        <f>IF(A!H116="y",1,0)</f>
        <v>0</v>
      </c>
      <c r="M136" s="84" t="str">
        <f>IF(A!F116="y","NEW","")</f>
        <v/>
      </c>
      <c r="N136" s="85">
        <f>A!I116</f>
        <v>0</v>
      </c>
      <c r="O136" s="290">
        <f>A!O116</f>
        <v>1</v>
      </c>
      <c r="P136" s="541">
        <f>A!K116</f>
        <v>0</v>
      </c>
      <c r="Q136" s="541">
        <f>A!E116</f>
        <v>0</v>
      </c>
      <c r="R136" s="541" t="s">
        <v>110</v>
      </c>
      <c r="S136" s="541">
        <f t="shared" si="52"/>
        <v>0</v>
      </c>
      <c r="T136" s="541" t="str">
        <f>A!R116</f>
        <v>x10</v>
      </c>
      <c r="U136" s="541" t="str">
        <f>A!S116</f>
        <v/>
      </c>
      <c r="V136" s="541">
        <f>A!T116</f>
        <v>0.2</v>
      </c>
      <c r="W136" s="541">
        <f t="shared" si="47"/>
        <v>0</v>
      </c>
      <c r="X136" s="541"/>
    </row>
    <row r="137" spans="1:24" ht="11.25" hidden="1" customHeight="1" x14ac:dyDescent="0.25">
      <c r="A137" s="121" t="str">
        <f>IF(S137=0,"",COUNTIF(A$23:A136,"&gt;0")+1)</f>
        <v/>
      </c>
      <c r="B137" s="289"/>
      <c r="C137" s="76" t="str">
        <f t="shared" si="44"/>
        <v>x10</v>
      </c>
      <c r="D137" s="77" t="str">
        <f>A!C117</f>
        <v>Primula denticulata 'Rubin'</v>
      </c>
      <c r="E137" s="78"/>
      <c r="F137" s="78"/>
      <c r="G137" s="79" t="str">
        <f>A!N117</f>
        <v>himilayan primula</v>
      </c>
      <c r="H137" s="87" t="str">
        <f>A!Q117</f>
        <v>Asian native, stunning cylindrical flowers</v>
      </c>
      <c r="I137" s="69">
        <f>A!M117</f>
        <v>2</v>
      </c>
      <c r="J137" s="202">
        <f>A!P117</f>
        <v>0</v>
      </c>
      <c r="K137" s="83">
        <f>IF(A!G117="y",1,0)</f>
        <v>0</v>
      </c>
      <c r="L137" s="83">
        <f>IF(A!H117="y",1,0)</f>
        <v>0</v>
      </c>
      <c r="M137" s="84" t="str">
        <f>IF(A!F117="y","NEW","")</f>
        <v/>
      </c>
      <c r="N137" s="85">
        <f>A!I117</f>
        <v>0</v>
      </c>
      <c r="O137" s="290">
        <f>A!O117</f>
        <v>1</v>
      </c>
      <c r="P137" s="541">
        <f>A!K117</f>
        <v>0</v>
      </c>
      <c r="Q137" s="541">
        <f>A!E117</f>
        <v>0</v>
      </c>
      <c r="R137" s="541" t="s">
        <v>110</v>
      </c>
      <c r="S137" s="541">
        <f t="shared" si="51"/>
        <v>0</v>
      </c>
      <c r="T137" s="541" t="str">
        <f>A!R117</f>
        <v>x10</v>
      </c>
      <c r="U137" s="541" t="str">
        <f>A!S117</f>
        <v/>
      </c>
      <c r="V137" s="541">
        <f>A!T117</f>
        <v>0.2</v>
      </c>
      <c r="W137" s="541">
        <f t="shared" si="47"/>
        <v>0</v>
      </c>
      <c r="X137" s="541"/>
    </row>
    <row r="138" spans="1:24" ht="11.25" hidden="1" customHeight="1" x14ac:dyDescent="0.25">
      <c r="A138" s="121" t="str">
        <f>IF(S138=0,"",COUNTIF(A$23:A137,"&gt;0")+1)</f>
        <v/>
      </c>
      <c r="B138" s="289"/>
      <c r="C138" s="76" t="str">
        <f t="shared" si="44"/>
        <v>x10</v>
      </c>
      <c r="D138" s="77" t="str">
        <f>A!C118</f>
        <v>Primula florindae</v>
      </c>
      <c r="E138" s="78"/>
      <c r="F138" s="78"/>
      <c r="G138" s="79" t="str">
        <f>A!N118</f>
        <v>himalayan cowslip</v>
      </c>
      <c r="H138" s="87" t="str">
        <f>A!Q118</f>
        <v>heavily scented Tibetan native primula</v>
      </c>
      <c r="I138" s="69">
        <f>A!M118</f>
        <v>2</v>
      </c>
      <c r="J138" s="202">
        <f>A!P118</f>
        <v>0</v>
      </c>
      <c r="K138" s="83">
        <f>IF(A!G118="y",1,0)</f>
        <v>0</v>
      </c>
      <c r="L138" s="83">
        <f>IF(A!H118="y",1,0)</f>
        <v>0</v>
      </c>
      <c r="M138" s="84" t="str">
        <f>IF(A!F118="y","NEW","")</f>
        <v/>
      </c>
      <c r="N138" s="85">
        <f>A!I118</f>
        <v>0</v>
      </c>
      <c r="O138" s="290">
        <f>A!O118</f>
        <v>1</v>
      </c>
      <c r="P138" s="541">
        <f>A!K118</f>
        <v>0</v>
      </c>
      <c r="Q138" s="541">
        <f>A!E118</f>
        <v>0</v>
      </c>
      <c r="R138" s="541" t="s">
        <v>110</v>
      </c>
      <c r="S138" s="541">
        <f t="shared" si="51"/>
        <v>0</v>
      </c>
      <c r="T138" s="541" t="str">
        <f>A!R118</f>
        <v>x10</v>
      </c>
      <c r="U138" s="541" t="str">
        <f>A!S118</f>
        <v/>
      </c>
      <c r="V138" s="541">
        <f>A!T118</f>
        <v>0.2</v>
      </c>
      <c r="W138" s="541">
        <f t="shared" si="47"/>
        <v>0</v>
      </c>
      <c r="X138" s="541"/>
    </row>
    <row r="139" spans="1:24" ht="11.25" hidden="1" customHeight="1" x14ac:dyDescent="0.25">
      <c r="A139" s="121" t="str">
        <f>IF(S139=0,"",COUNTIF(A$23:A138,"&gt;0")+1)</f>
        <v/>
      </c>
      <c r="B139" s="289"/>
      <c r="C139" s="76" t="str">
        <f t="shared" si="44"/>
        <v>x10</v>
      </c>
      <c r="D139" s="77" t="str">
        <f>A!C119</f>
        <v>Primula Japonica White</v>
      </c>
      <c r="E139" s="78"/>
      <c r="F139" s="78"/>
      <c r="G139" s="79" t="str">
        <f>A!N119</f>
        <v>candelabra primrose</v>
      </c>
      <c r="H139" s="87" t="str">
        <f>A!Q119</f>
        <v>beautiful japanese primula with white flowers</v>
      </c>
      <c r="I139" s="69">
        <f>A!M119</f>
        <v>1</v>
      </c>
      <c r="J139" s="202">
        <f>A!P119</f>
        <v>0</v>
      </c>
      <c r="K139" s="83">
        <f>IF(A!G119="y",1,0)</f>
        <v>0</v>
      </c>
      <c r="L139" s="83">
        <f>IF(A!H119="y",1,0)</f>
        <v>0</v>
      </c>
      <c r="M139" s="84" t="str">
        <f>IF(A!F119="y","NEW","")</f>
        <v/>
      </c>
      <c r="N139" s="85">
        <f>A!I119</f>
        <v>0</v>
      </c>
      <c r="O139" s="290">
        <f>A!O119</f>
        <v>1</v>
      </c>
      <c r="P139" s="541">
        <f>A!K119</f>
        <v>0</v>
      </c>
      <c r="Q139" s="541">
        <f>A!E119</f>
        <v>0</v>
      </c>
      <c r="R139" s="541" t="s">
        <v>110</v>
      </c>
      <c r="S139" s="541">
        <f t="shared" ref="S139" si="53">B139</f>
        <v>0</v>
      </c>
      <c r="T139" s="541" t="str">
        <f>A!R119</f>
        <v>x10</v>
      </c>
      <c r="U139" s="541" t="str">
        <f>A!S119</f>
        <v/>
      </c>
      <c r="V139" s="541">
        <f>A!T119</f>
        <v>0.2</v>
      </c>
      <c r="W139" s="541">
        <f t="shared" si="47"/>
        <v>0</v>
      </c>
      <c r="X139" s="541"/>
    </row>
    <row r="140" spans="1:24" ht="11.25" hidden="1" customHeight="1" x14ac:dyDescent="0.25">
      <c r="A140" s="121" t="str">
        <f>IF(S140=0,"",COUNTIF(A$23:A139,"&gt;0")+1)</f>
        <v/>
      </c>
      <c r="B140" s="289"/>
      <c r="C140" s="76" t="str">
        <f t="shared" si="44"/>
        <v>x10</v>
      </c>
      <c r="D140" s="77" t="str">
        <f>A!C120</f>
        <v>Primula 'Miller's Crimson'</v>
      </c>
      <c r="E140" s="78"/>
      <c r="F140" s="78"/>
      <c r="G140" s="79" t="str">
        <f>A!N120</f>
        <v>drumstick primula</v>
      </c>
      <c r="H140" s="87" t="str">
        <f>A!Q120</f>
        <v>classic, elegant red, candleabra primula</v>
      </c>
      <c r="I140" s="69">
        <f>A!M120</f>
        <v>2</v>
      </c>
      <c r="J140" s="202">
        <f>A!P120</f>
        <v>0</v>
      </c>
      <c r="K140" s="83">
        <f>IF(A!G120="y",1,0)</f>
        <v>0</v>
      </c>
      <c r="L140" s="83">
        <f>IF(A!H120="y",1,0)</f>
        <v>0</v>
      </c>
      <c r="M140" s="84" t="str">
        <f>IF(A!F120="y","NEW","")</f>
        <v/>
      </c>
      <c r="N140" s="85">
        <f>A!I120</f>
        <v>0</v>
      </c>
      <c r="O140" s="290">
        <f>A!O120</f>
        <v>1</v>
      </c>
      <c r="P140" s="541">
        <f>A!K120</f>
        <v>0</v>
      </c>
      <c r="Q140" s="541">
        <f>A!E120</f>
        <v>0</v>
      </c>
      <c r="R140" s="541" t="s">
        <v>110</v>
      </c>
      <c r="S140" s="541">
        <f t="shared" si="51"/>
        <v>0</v>
      </c>
      <c r="T140" s="541" t="str">
        <f>A!R120</f>
        <v>x10</v>
      </c>
      <c r="U140" s="541" t="str">
        <f>A!S120</f>
        <v/>
      </c>
      <c r="V140" s="541">
        <f>A!T120</f>
        <v>0.2</v>
      </c>
      <c r="W140" s="541">
        <f t="shared" si="47"/>
        <v>0</v>
      </c>
      <c r="X140" s="541"/>
    </row>
    <row r="141" spans="1:24" ht="11.25" hidden="1" customHeight="1" x14ac:dyDescent="0.25">
      <c r="A141" s="121" t="str">
        <f>IF(S141=0,"",COUNTIF(A$23:A140,"&gt;0")+1)</f>
        <v/>
      </c>
      <c r="B141" s="289"/>
      <c r="C141" s="76" t="str">
        <f t="shared" ref="C141" si="54">T141</f>
        <v>x10</v>
      </c>
      <c r="D141" s="77" t="str">
        <f>A!C121</f>
        <v>Primula Mix</v>
      </c>
      <c r="E141" s="78"/>
      <c r="F141" s="78"/>
      <c r="G141" s="79" t="str">
        <f>A!N121</f>
        <v>drumstick primula</v>
      </c>
      <c r="H141" s="87" t="str">
        <f>A!Q121</f>
        <v>a mix of beautiful flowers hand picked by our nursery</v>
      </c>
      <c r="I141" s="69">
        <f>A!M121</f>
        <v>2</v>
      </c>
      <c r="J141" s="202">
        <f>A!P121</f>
        <v>0</v>
      </c>
      <c r="K141" s="83">
        <f>IF(A!G121="y",1,0)</f>
        <v>0</v>
      </c>
      <c r="L141" s="83">
        <f>IF(A!H121="y",1,0)</f>
        <v>0</v>
      </c>
      <c r="M141" s="84" t="str">
        <f>IF(A!F121="y","NEW","")</f>
        <v/>
      </c>
      <c r="N141" s="85">
        <f>A!I121</f>
        <v>0</v>
      </c>
      <c r="O141" s="290">
        <f>A!O121</f>
        <v>1</v>
      </c>
      <c r="P141" s="541" t="str">
        <f>A!K121</f>
        <v>M</v>
      </c>
      <c r="Q141" s="541">
        <f>A!E121</f>
        <v>0</v>
      </c>
      <c r="R141" s="541" t="s">
        <v>110</v>
      </c>
      <c r="S141" s="541">
        <f t="shared" ref="S141" si="55">B141</f>
        <v>0</v>
      </c>
      <c r="T141" s="541" t="str">
        <f>A!R121</f>
        <v>x10</v>
      </c>
      <c r="U141" s="541">
        <f>A!S121</f>
        <v>35</v>
      </c>
      <c r="V141" s="541">
        <f>A!T121</f>
        <v>0.2</v>
      </c>
      <c r="W141" s="541">
        <f t="shared" ref="W141" si="56">V141*B141</f>
        <v>0</v>
      </c>
      <c r="X141" s="541"/>
    </row>
    <row r="142" spans="1:24" ht="11.25" hidden="1" customHeight="1" x14ac:dyDescent="0.25">
      <c r="A142" s="121" t="str">
        <f>IF(S142=0,"",COUNTIF(A$23:A141,"&gt;0")+1)</f>
        <v/>
      </c>
      <c r="B142" s="289"/>
      <c r="C142" s="76" t="str">
        <f t="shared" si="44"/>
        <v>x10</v>
      </c>
      <c r="D142" s="77" t="str">
        <f>A!C122</f>
        <v>Primula rosea</v>
      </c>
      <c r="E142" s="78"/>
      <c r="F142" s="78"/>
      <c r="G142" s="79" t="str">
        <f>A!N122</f>
        <v>meadow primrose</v>
      </c>
      <c r="H142" s="87" t="str">
        <f>A!Q122</f>
        <v>pretty primrose with rose red blooms</v>
      </c>
      <c r="I142" s="69">
        <f>A!M122</f>
        <v>2</v>
      </c>
      <c r="J142" s="202">
        <f>A!P122</f>
        <v>0</v>
      </c>
      <c r="K142" s="83">
        <f>IF(A!G122="y",1,0)</f>
        <v>0</v>
      </c>
      <c r="L142" s="83">
        <f>IF(A!H122="y",1,0)</f>
        <v>0</v>
      </c>
      <c r="M142" s="84" t="str">
        <f>IF(A!F122="y","NEW","")</f>
        <v/>
      </c>
      <c r="N142" s="85">
        <f>A!I122</f>
        <v>0</v>
      </c>
      <c r="O142" s="290">
        <f>A!O122</f>
        <v>1</v>
      </c>
      <c r="P142" s="541">
        <f>A!K122</f>
        <v>0</v>
      </c>
      <c r="Q142" s="541">
        <f>A!E122</f>
        <v>0</v>
      </c>
      <c r="R142" s="541" t="s">
        <v>110</v>
      </c>
      <c r="S142" s="541">
        <f t="shared" si="51"/>
        <v>0</v>
      </c>
      <c r="T142" s="541" t="str">
        <f>A!R122</f>
        <v>x10</v>
      </c>
      <c r="U142" s="541" t="str">
        <f>A!S122</f>
        <v/>
      </c>
      <c r="V142" s="541">
        <f>A!T122</f>
        <v>0.2</v>
      </c>
      <c r="W142" s="541">
        <f t="shared" si="47"/>
        <v>0</v>
      </c>
      <c r="X142" s="541"/>
    </row>
    <row r="143" spans="1:24" ht="11.25" hidden="1" customHeight="1" x14ac:dyDescent="0.25">
      <c r="A143" s="121" t="str">
        <f>IF(S143=0,"",COUNTIF(A$23:A142,"&gt;0")+1)</f>
        <v/>
      </c>
      <c r="B143" s="289"/>
      <c r="C143" s="76" t="str">
        <f t="shared" si="44"/>
        <v>x10</v>
      </c>
      <c r="D143" s="77" t="str">
        <f>A!C123</f>
        <v>Primula veris</v>
      </c>
      <c r="E143" s="78"/>
      <c r="F143" s="78"/>
      <c r="G143" s="79" t="str">
        <f>A!N123</f>
        <v>cowslip</v>
      </c>
      <c r="H143" s="87" t="str">
        <f>A!Q123</f>
        <v>dainty lemon-yellow flowers over crinkly, green leaves</v>
      </c>
      <c r="I143" s="69">
        <f>A!M123</f>
        <v>2</v>
      </c>
      <c r="J143" s="202" t="str">
        <f>A!P123</f>
        <v>Yes</v>
      </c>
      <c r="K143" s="83">
        <f>IF(A!G123="y",1,0)</f>
        <v>0</v>
      </c>
      <c r="L143" s="83">
        <f>IF(A!H123="y",1,0)</f>
        <v>0</v>
      </c>
      <c r="M143" s="84" t="str">
        <f>IF(A!F123="y","NEW","")</f>
        <v/>
      </c>
      <c r="N143" s="85">
        <f>A!I123</f>
        <v>0</v>
      </c>
      <c r="O143" s="290">
        <f>A!O123</f>
        <v>1</v>
      </c>
      <c r="P143" s="541">
        <f>A!K123</f>
        <v>0</v>
      </c>
      <c r="Q143" s="541">
        <f>A!E123</f>
        <v>0</v>
      </c>
      <c r="R143" s="541" t="s">
        <v>110</v>
      </c>
      <c r="S143" s="541">
        <f t="shared" si="51"/>
        <v>0</v>
      </c>
      <c r="T143" s="541" t="str">
        <f>A!R123</f>
        <v>x10</v>
      </c>
      <c r="U143" s="541" t="str">
        <f>A!S123</f>
        <v/>
      </c>
      <c r="V143" s="541">
        <f>A!T123</f>
        <v>0.2</v>
      </c>
      <c r="W143" s="541">
        <f t="shared" si="47"/>
        <v>0</v>
      </c>
      <c r="X143" s="541"/>
    </row>
    <row r="144" spans="1:24" ht="11.25" hidden="1" customHeight="1" x14ac:dyDescent="0.25">
      <c r="A144" s="121" t="str">
        <f>IF(S144=0,"",COUNTIF(A$23:A143,"&gt;0")+1)</f>
        <v/>
      </c>
      <c r="B144" s="289"/>
      <c r="C144" s="76" t="str">
        <f t="shared" si="44"/>
        <v>x10</v>
      </c>
      <c r="D144" s="77" t="str">
        <f>A!C124</f>
        <v>Primula vialii</v>
      </c>
      <c r="E144" s="78"/>
      <c r="F144" s="78"/>
      <c r="G144" s="79" t="str">
        <f>A!N124</f>
        <v>orchid primula</v>
      </c>
      <c r="H144" s="87" t="str">
        <f>A!Q124</f>
        <v>high impact purple flowers with red tips, unusual</v>
      </c>
      <c r="I144" s="69">
        <f>A!M124</f>
        <v>1</v>
      </c>
      <c r="J144" s="202">
        <f>A!P124</f>
        <v>0</v>
      </c>
      <c r="K144" s="83">
        <f>IF(A!G124="y",1,0)</f>
        <v>0</v>
      </c>
      <c r="L144" s="83">
        <f>IF(A!H124="y",1,0)</f>
        <v>0</v>
      </c>
      <c r="M144" s="84" t="str">
        <f>IF(A!F124="y","NEW","")</f>
        <v/>
      </c>
      <c r="N144" s="85">
        <f>A!I124</f>
        <v>0</v>
      </c>
      <c r="O144" s="290">
        <f>A!O124</f>
        <v>1</v>
      </c>
      <c r="P144" s="541" t="str">
        <f>A!K124</f>
        <v>M</v>
      </c>
      <c r="Q144" s="541">
        <f>A!E124</f>
        <v>0</v>
      </c>
      <c r="R144" s="541" t="s">
        <v>110</v>
      </c>
      <c r="S144" s="541">
        <f t="shared" si="51"/>
        <v>0</v>
      </c>
      <c r="T144" s="541" t="str">
        <f>A!R124</f>
        <v>x10</v>
      </c>
      <c r="U144" s="541">
        <f>A!S124</f>
        <v>35</v>
      </c>
      <c r="V144" s="541">
        <f>A!T124</f>
        <v>0.2</v>
      </c>
      <c r="W144" s="541">
        <f t="shared" si="47"/>
        <v>0</v>
      </c>
      <c r="X144" s="541"/>
    </row>
    <row r="145" spans="1:24" ht="11.25" hidden="1" customHeight="1" x14ac:dyDescent="0.25">
      <c r="A145" s="121" t="str">
        <f>IF(S145=0,"",COUNTIF(A$23:A144,"&gt;0")+1)</f>
        <v/>
      </c>
      <c r="B145" s="289"/>
      <c r="C145" s="76" t="str">
        <f t="shared" si="44"/>
        <v>x10</v>
      </c>
      <c r="D145" s="77" t="str">
        <f>A!C125</f>
        <v>Primula vulgaris</v>
      </c>
      <c r="E145" s="78"/>
      <c r="F145" s="78"/>
      <c r="G145" s="79" t="str">
        <f>A!N125</f>
        <v>primrose</v>
      </c>
      <c r="H145" s="87" t="str">
        <f>A!Q125</f>
        <v>native primrose, hails the start of spring</v>
      </c>
      <c r="I145" s="69">
        <f>A!M125</f>
        <v>2</v>
      </c>
      <c r="J145" s="202">
        <f>A!P125</f>
        <v>0</v>
      </c>
      <c r="K145" s="83">
        <f>IF(A!G125="y",1,0)</f>
        <v>0</v>
      </c>
      <c r="L145" s="83">
        <f>IF(A!H125="y",1,0)</f>
        <v>0</v>
      </c>
      <c r="M145" s="84" t="str">
        <f>IF(A!F125="y","NEW","")</f>
        <v/>
      </c>
      <c r="N145" s="85">
        <f>A!I125</f>
        <v>0</v>
      </c>
      <c r="O145" s="290">
        <f>A!O125</f>
        <v>1</v>
      </c>
      <c r="P145" s="541">
        <f>A!K125</f>
        <v>0</v>
      </c>
      <c r="Q145" s="541">
        <f>A!E125</f>
        <v>0</v>
      </c>
      <c r="R145" s="541" t="s">
        <v>110</v>
      </c>
      <c r="S145" s="541">
        <f t="shared" si="51"/>
        <v>0</v>
      </c>
      <c r="T145" s="541" t="str">
        <f>A!R125</f>
        <v>x10</v>
      </c>
      <c r="U145" s="541" t="str">
        <f>A!S125</f>
        <v/>
      </c>
      <c r="V145" s="541">
        <f>A!T125</f>
        <v>0.2</v>
      </c>
      <c r="W145" s="541">
        <f t="shared" si="47"/>
        <v>0</v>
      </c>
      <c r="X145" s="541"/>
    </row>
    <row r="146" spans="1:24" ht="11.25" hidden="1" customHeight="1" x14ac:dyDescent="0.25">
      <c r="A146" s="121" t="str">
        <f>IF(S146=0,"",COUNTIF(A$23:A145,"&gt;0")+1)</f>
        <v/>
      </c>
      <c r="B146" s="289"/>
      <c r="C146" s="76" t="str">
        <f t="shared" si="44"/>
        <v>x10</v>
      </c>
      <c r="D146" s="77" t="str">
        <f>A!C126</f>
        <v>Ranunculus flammula</v>
      </c>
      <c r="E146" s="78"/>
      <c r="F146" s="78"/>
      <c r="G146" s="79" t="str">
        <f>A!N126</f>
        <v>lesser spearwort</v>
      </c>
      <c r="H146" s="87" t="str">
        <f>A!Q126</f>
        <v>wonderful little yellow buttercup flowers</v>
      </c>
      <c r="I146" s="69">
        <f>A!M126</f>
        <v>1</v>
      </c>
      <c r="J146" s="202">
        <f>A!P126</f>
        <v>0</v>
      </c>
      <c r="K146" s="83">
        <f>IF(A!G126="y",1,0)</f>
        <v>0</v>
      </c>
      <c r="L146" s="83">
        <f>IF(A!H126="y",1,0)</f>
        <v>0</v>
      </c>
      <c r="M146" s="84" t="str">
        <f>IF(A!F126="y","NEW","")</f>
        <v/>
      </c>
      <c r="N146" s="85">
        <f>A!I126</f>
        <v>0</v>
      </c>
      <c r="O146" s="290">
        <f>A!O126</f>
        <v>2</v>
      </c>
      <c r="P146" s="541" t="str">
        <f>A!K126</f>
        <v>M</v>
      </c>
      <c r="Q146" s="541">
        <f>A!E126</f>
        <v>0</v>
      </c>
      <c r="R146" s="541" t="s">
        <v>110</v>
      </c>
      <c r="S146" s="541">
        <f t="shared" si="51"/>
        <v>0</v>
      </c>
      <c r="T146" s="541" t="str">
        <f>A!R126</f>
        <v>x10</v>
      </c>
      <c r="U146" s="541">
        <f>A!S126</f>
        <v>35</v>
      </c>
      <c r="V146" s="541">
        <f>A!T126</f>
        <v>0.2</v>
      </c>
      <c r="W146" s="541">
        <f t="shared" si="47"/>
        <v>0</v>
      </c>
      <c r="X146" s="541"/>
    </row>
    <row r="147" spans="1:24" ht="11.25" hidden="1" customHeight="1" x14ac:dyDescent="0.25">
      <c r="A147" s="121" t="str">
        <f>IF(S147=0,"",COUNTIF(A$23:A146,"&gt;0")+1)</f>
        <v/>
      </c>
      <c r="B147" s="289"/>
      <c r="C147" s="76" t="str">
        <f t="shared" si="44"/>
        <v>x10</v>
      </c>
      <c r="D147" s="77" t="str">
        <f>A!C127</f>
        <v>Ranunculus lingua grandiflora</v>
      </c>
      <c r="E147" s="78"/>
      <c r="F147" s="78"/>
      <c r="G147" s="79" t="str">
        <f>A!N127</f>
        <v>greater spearwort</v>
      </c>
      <c r="H147" s="87" t="str">
        <f>A!Q127</f>
        <v>largest of the buttercup family</v>
      </c>
      <c r="I147" s="69">
        <f>A!M127</f>
        <v>1</v>
      </c>
      <c r="J147" s="202" t="str">
        <f>A!P127</f>
        <v>Yes</v>
      </c>
      <c r="K147" s="83">
        <f>IF(A!G127="y",1,0)</f>
        <v>0</v>
      </c>
      <c r="L147" s="83">
        <f>IF(A!H127="y",1,0)</f>
        <v>0</v>
      </c>
      <c r="M147" s="84" t="str">
        <f>IF(A!F127="y","NEW","")</f>
        <v/>
      </c>
      <c r="N147" s="85">
        <f>A!I127</f>
        <v>0</v>
      </c>
      <c r="O147" s="290">
        <f>A!O127</f>
        <v>2</v>
      </c>
      <c r="P147" s="541" t="str">
        <f>A!K127</f>
        <v>M</v>
      </c>
      <c r="Q147" s="541">
        <f>A!E127</f>
        <v>0</v>
      </c>
      <c r="R147" s="541" t="s">
        <v>110</v>
      </c>
      <c r="S147" s="541">
        <f t="shared" si="51"/>
        <v>0</v>
      </c>
      <c r="T147" s="541" t="str">
        <f>A!R127</f>
        <v>x10</v>
      </c>
      <c r="U147" s="541">
        <f>A!S127</f>
        <v>35</v>
      </c>
      <c r="V147" s="541">
        <f>A!T127</f>
        <v>0.2</v>
      </c>
      <c r="W147" s="541">
        <f t="shared" si="47"/>
        <v>0</v>
      </c>
      <c r="X147" s="541"/>
    </row>
    <row r="148" spans="1:24" ht="11.25" hidden="1" customHeight="1" x14ac:dyDescent="0.25">
      <c r="A148" s="121" t="str">
        <f>IF(S148=0,"",COUNTIF(A$23:A147,"&gt;0")+1)</f>
        <v/>
      </c>
      <c r="B148" s="289"/>
      <c r="C148" s="76" t="str">
        <f t="shared" si="44"/>
        <v>x10</v>
      </c>
      <c r="D148" s="77" t="str">
        <f>A!C128</f>
        <v>Rumex Sanguineus</v>
      </c>
      <c r="E148" s="78"/>
      <c r="F148" s="78"/>
      <c r="G148" s="79" t="str">
        <f>A!N128</f>
        <v>red vein dock</v>
      </c>
      <c r="H148" s="87" t="str">
        <f>A!Q128</f>
        <v>large green ovate leaves with red veins</v>
      </c>
      <c r="I148" s="69">
        <f>A!M128</f>
        <v>3</v>
      </c>
      <c r="J148" s="202">
        <f>A!P128</f>
        <v>0</v>
      </c>
      <c r="K148" s="83">
        <f>IF(A!G128="y",1,0)</f>
        <v>0</v>
      </c>
      <c r="L148" s="83">
        <f>IF(A!H128="y",1,0)</f>
        <v>0</v>
      </c>
      <c r="M148" s="84" t="str">
        <f>IF(A!F128="y","NEW","")</f>
        <v/>
      </c>
      <c r="N148" s="85">
        <f>A!I128</f>
        <v>0</v>
      </c>
      <c r="O148" s="290">
        <f>A!O128</f>
        <v>2</v>
      </c>
      <c r="P148" s="541">
        <f>A!K128</f>
        <v>0</v>
      </c>
      <c r="Q148" s="541">
        <f>A!E128</f>
        <v>0</v>
      </c>
      <c r="R148" s="541" t="s">
        <v>110</v>
      </c>
      <c r="S148" s="541">
        <f t="shared" si="51"/>
        <v>0</v>
      </c>
      <c r="T148" s="541" t="str">
        <f>A!R128</f>
        <v>x10</v>
      </c>
      <c r="U148" s="541" t="str">
        <f>A!S128</f>
        <v/>
      </c>
      <c r="V148" s="541">
        <f>A!T128</f>
        <v>0.2</v>
      </c>
      <c r="W148" s="541">
        <f t="shared" si="47"/>
        <v>0</v>
      </c>
      <c r="X148" s="541"/>
    </row>
    <row r="149" spans="1:24" ht="11.25" hidden="1" customHeight="1" x14ac:dyDescent="0.25">
      <c r="A149" s="121" t="str">
        <f>IF(S149=0,"",COUNTIF(A$23:A148,"&gt;0")+1)</f>
        <v/>
      </c>
      <c r="B149" s="289"/>
      <c r="C149" s="76" t="str">
        <f t="shared" si="44"/>
        <v>x10</v>
      </c>
      <c r="D149" s="77" t="str">
        <f>A!C129</f>
        <v>Sagittaria latifolia</v>
      </c>
      <c r="E149" s="78"/>
      <c r="F149" s="78"/>
      <c r="G149" s="79" t="str">
        <f>A!N129</f>
        <v>arrowhead</v>
      </c>
      <c r="H149" s="87" t="str">
        <f>A!Q129</f>
        <v>emergant plant with broadleaf arrowhead leaves</v>
      </c>
      <c r="I149" s="69">
        <f>A!M129</f>
        <v>1</v>
      </c>
      <c r="J149" s="202">
        <f>A!P129</f>
        <v>0</v>
      </c>
      <c r="K149" s="83">
        <f>IF(A!G129="y",1,0)</f>
        <v>0</v>
      </c>
      <c r="L149" s="83">
        <f>IF(A!H129="y",1,0)</f>
        <v>0</v>
      </c>
      <c r="M149" s="84" t="str">
        <f>IF(A!F129="y","NEW","")</f>
        <v/>
      </c>
      <c r="N149" s="85">
        <f>A!I129</f>
        <v>0</v>
      </c>
      <c r="O149" s="290">
        <f>A!O129</f>
        <v>2</v>
      </c>
      <c r="P149" s="541" t="str">
        <f>A!K129</f>
        <v>L</v>
      </c>
      <c r="Q149" s="541">
        <f>A!E129</f>
        <v>0</v>
      </c>
      <c r="R149" s="541" t="s">
        <v>110</v>
      </c>
      <c r="S149" s="541">
        <f t="shared" si="51"/>
        <v>0</v>
      </c>
      <c r="T149" s="541" t="str">
        <f>A!R129</f>
        <v>x10</v>
      </c>
      <c r="U149" s="541">
        <f>A!S129</f>
        <v>55</v>
      </c>
      <c r="V149" s="541">
        <f>A!T129</f>
        <v>0.2</v>
      </c>
      <c r="W149" s="541">
        <f t="shared" si="47"/>
        <v>0</v>
      </c>
      <c r="X149" s="541"/>
    </row>
    <row r="150" spans="1:24" ht="11.25" hidden="1" customHeight="1" x14ac:dyDescent="0.25">
      <c r="A150" s="121" t="str">
        <f>IF(S150=0,"",COUNTIF(A$23:A149,"&gt;0")+1)</f>
        <v/>
      </c>
      <c r="B150" s="289"/>
      <c r="C150" s="76" t="str">
        <f t="shared" si="44"/>
        <v>x10</v>
      </c>
      <c r="D150" s="77" t="str">
        <f>A!C130</f>
        <v>Sagittaria sagittifolia</v>
      </c>
      <c r="E150" s="78"/>
      <c r="F150" s="78"/>
      <c r="G150" s="79" t="str">
        <f>A!N130</f>
        <v>arrowhead</v>
      </c>
      <c r="H150" s="87" t="str">
        <f>A!Q130</f>
        <v>white flowers contrasting with green arrowhead foliage</v>
      </c>
      <c r="I150" s="69">
        <f>A!M130</f>
        <v>1</v>
      </c>
      <c r="J150" s="202" t="str">
        <f>A!P130</f>
        <v>Yes</v>
      </c>
      <c r="K150" s="83">
        <f>IF(A!G130="y",1,0)</f>
        <v>0</v>
      </c>
      <c r="L150" s="83">
        <f>IF(A!H130="y",1,0)</f>
        <v>0</v>
      </c>
      <c r="M150" s="84" t="str">
        <f>IF(A!F130="y","NEW","")</f>
        <v/>
      </c>
      <c r="N150" s="85">
        <f>A!I130</f>
        <v>0</v>
      </c>
      <c r="O150" s="290">
        <f>A!O130</f>
        <v>2</v>
      </c>
      <c r="P150" s="541">
        <f>A!K130</f>
        <v>0</v>
      </c>
      <c r="Q150" s="541">
        <f>A!E130</f>
        <v>0</v>
      </c>
      <c r="R150" s="541" t="s">
        <v>110</v>
      </c>
      <c r="S150" s="541">
        <f t="shared" si="51"/>
        <v>0</v>
      </c>
      <c r="T150" s="541" t="str">
        <f>A!R130</f>
        <v>x10</v>
      </c>
      <c r="U150" s="541" t="str">
        <f>A!S130</f>
        <v/>
      </c>
      <c r="V150" s="541">
        <f>A!T130</f>
        <v>0.2</v>
      </c>
      <c r="W150" s="541">
        <f t="shared" si="47"/>
        <v>0</v>
      </c>
      <c r="X150" s="541"/>
    </row>
    <row r="151" spans="1:24" ht="11.25" hidden="1" customHeight="1" x14ac:dyDescent="0.25">
      <c r="A151" s="121" t="str">
        <f>IF(S151=0,"",COUNTIF(A$23:A150,"&gt;0")+1)</f>
        <v/>
      </c>
      <c r="B151" s="289"/>
      <c r="C151" s="76" t="str">
        <f t="shared" si="44"/>
        <v>x10</v>
      </c>
      <c r="D151" s="77" t="str">
        <f>A!C131</f>
        <v>Saururus cernuus</v>
      </c>
      <c r="E151" s="78"/>
      <c r="F151" s="78"/>
      <c r="G151" s="79" t="str">
        <f>A!N131</f>
        <v>lizard's tail</v>
      </c>
      <c r="H151" s="87" t="str">
        <f>A!Q131</f>
        <v>unusual flower resembling a lizard's tail</v>
      </c>
      <c r="I151" s="69">
        <f>A!M131</f>
        <v>2</v>
      </c>
      <c r="J151" s="202">
        <f>A!P131</f>
        <v>0</v>
      </c>
      <c r="K151" s="83">
        <f>IF(A!G131="y",1,0)</f>
        <v>0</v>
      </c>
      <c r="L151" s="83">
        <f>IF(A!H131="y",1,0)</f>
        <v>0</v>
      </c>
      <c r="M151" s="84" t="str">
        <f>IF(A!F131="y","NEW","")</f>
        <v/>
      </c>
      <c r="N151" s="85">
        <f>A!I131</f>
        <v>0</v>
      </c>
      <c r="O151" s="290" t="str">
        <f>A!O131</f>
        <v>1,2</v>
      </c>
      <c r="P151" s="541" t="str">
        <f>A!K131</f>
        <v>M</v>
      </c>
      <c r="Q151" s="541">
        <f>A!E131</f>
        <v>0</v>
      </c>
      <c r="R151" s="541" t="s">
        <v>110</v>
      </c>
      <c r="S151" s="541">
        <f t="shared" si="51"/>
        <v>0</v>
      </c>
      <c r="T151" s="541" t="str">
        <f>A!R131</f>
        <v>x10</v>
      </c>
      <c r="U151" s="541">
        <f>A!S131</f>
        <v>35</v>
      </c>
      <c r="V151" s="541">
        <f>A!T131</f>
        <v>0.2</v>
      </c>
      <c r="W151" s="541">
        <f t="shared" si="47"/>
        <v>0</v>
      </c>
      <c r="X151" s="541"/>
    </row>
    <row r="152" spans="1:24" ht="11.25" hidden="1" customHeight="1" x14ac:dyDescent="0.25">
      <c r="A152" s="121" t="str">
        <f>IF(S152=0,"",COUNTIF(A$23:A151,"&gt;0")+1)</f>
        <v/>
      </c>
      <c r="B152" s="289"/>
      <c r="C152" s="76" t="str">
        <f t="shared" si="44"/>
        <v>x10</v>
      </c>
      <c r="D152" s="77" t="str">
        <f>A!C132</f>
        <v>Schizostylis Alba</v>
      </c>
      <c r="E152" s="78"/>
      <c r="F152" s="78"/>
      <c r="G152" s="79" t="str">
        <f>A!N132</f>
        <v>white flag</v>
      </c>
      <c r="H152" s="87" t="str">
        <f>A!Q132</f>
        <v>pretty white flowers in the late summer</v>
      </c>
      <c r="I152" s="69">
        <f>A!M132</f>
        <v>2</v>
      </c>
      <c r="J152" s="202">
        <f>A!P132</f>
        <v>0</v>
      </c>
      <c r="K152" s="83">
        <f>IF(A!G132="y",1,0)</f>
        <v>0</v>
      </c>
      <c r="L152" s="83">
        <f>IF(A!H132="y",1,0)</f>
        <v>0</v>
      </c>
      <c r="M152" s="84" t="str">
        <f>IF(A!F132="y","NEW","")</f>
        <v/>
      </c>
      <c r="N152" s="85">
        <f>A!I132</f>
        <v>0</v>
      </c>
      <c r="O152" s="290">
        <f>A!O132</f>
        <v>1</v>
      </c>
      <c r="P152" s="541" t="str">
        <f>A!K132</f>
        <v>M</v>
      </c>
      <c r="Q152" s="541">
        <f>A!E132</f>
        <v>0</v>
      </c>
      <c r="R152" s="541" t="s">
        <v>110</v>
      </c>
      <c r="S152" s="541">
        <f t="shared" si="51"/>
        <v>0</v>
      </c>
      <c r="T152" s="541" t="str">
        <f>A!R132</f>
        <v>x10</v>
      </c>
      <c r="U152" s="541">
        <f>A!S132</f>
        <v>35</v>
      </c>
      <c r="V152" s="541">
        <f>A!T132</f>
        <v>0.2</v>
      </c>
      <c r="W152" s="541">
        <f t="shared" si="47"/>
        <v>0</v>
      </c>
      <c r="X152" s="541"/>
    </row>
    <row r="153" spans="1:24" ht="11.25" customHeight="1" x14ac:dyDescent="0.25">
      <c r="A153" s="121" t="str">
        <f>IF(S153=0,"",COUNTIF(A$23:A152,"&gt;0")+1)</f>
        <v/>
      </c>
      <c r="B153" s="289"/>
      <c r="C153" s="76" t="str">
        <f t="shared" si="44"/>
        <v>x10</v>
      </c>
      <c r="D153" s="77" t="str">
        <f>A!C133</f>
        <v xml:space="preserve">Schizostylis Pink      </v>
      </c>
      <c r="E153" s="78"/>
      <c r="F153" s="78"/>
      <c r="G153" s="79" t="str">
        <f>A!N133</f>
        <v>pink flag</v>
      </c>
      <c r="H153" s="87" t="str">
        <f>A!Q133</f>
        <v>subtle pink flowers over iris-like foliage</v>
      </c>
      <c r="I153" s="69">
        <f>A!M133</f>
        <v>2</v>
      </c>
      <c r="J153" s="202">
        <f>A!P133</f>
        <v>0</v>
      </c>
      <c r="K153" s="83">
        <f>IF(A!G133="y",1,0)</f>
        <v>1</v>
      </c>
      <c r="L153" s="83">
        <f>IF(A!H133="y",1,0)</f>
        <v>0</v>
      </c>
      <c r="M153" s="84" t="str">
        <f>IF(A!F133="y","NEW","")</f>
        <v/>
      </c>
      <c r="N153" s="85">
        <f>A!I133</f>
        <v>0</v>
      </c>
      <c r="O153" s="290">
        <f>A!O133</f>
        <v>1</v>
      </c>
      <c r="P153" s="541" t="str">
        <f>A!K133</f>
        <v>M</v>
      </c>
      <c r="Q153" s="541" t="str">
        <f>A!E133</f>
        <v>Y</v>
      </c>
      <c r="R153" s="541" t="s">
        <v>110</v>
      </c>
      <c r="S153" s="541">
        <f t="shared" si="51"/>
        <v>0</v>
      </c>
      <c r="T153" s="541" t="str">
        <f>A!R133</f>
        <v>x10</v>
      </c>
      <c r="U153" s="541">
        <f>A!S133</f>
        <v>35</v>
      </c>
      <c r="V153" s="541">
        <f>A!T133</f>
        <v>0.2</v>
      </c>
      <c r="W153" s="541">
        <f t="shared" si="47"/>
        <v>0</v>
      </c>
      <c r="X153" s="541"/>
    </row>
    <row r="154" spans="1:24" ht="11.25" customHeight="1" x14ac:dyDescent="0.25">
      <c r="A154" s="121" t="str">
        <f>IF(S154=0,"",COUNTIF(A$23:A153,"&gt;0")+1)</f>
        <v/>
      </c>
      <c r="B154" s="289"/>
      <c r="C154" s="76" t="str">
        <f t="shared" si="44"/>
        <v>x10</v>
      </c>
      <c r="D154" s="77" t="str">
        <f>A!C134</f>
        <v>Schizostylis Red</v>
      </c>
      <c r="E154" s="78"/>
      <c r="F154" s="78"/>
      <c r="G154" s="79" t="str">
        <f>A!N134</f>
        <v>red flag</v>
      </c>
      <c r="H154" s="87" t="str">
        <f>A!Q134</f>
        <v>deep red flowers throughout autumn</v>
      </c>
      <c r="I154" s="69">
        <f>A!M134</f>
        <v>2</v>
      </c>
      <c r="J154" s="202">
        <f>A!P134</f>
        <v>0</v>
      </c>
      <c r="K154" s="83">
        <f>IF(A!G134="y",1,0)</f>
        <v>1</v>
      </c>
      <c r="L154" s="83">
        <f>IF(A!H134="y",1,0)</f>
        <v>0</v>
      </c>
      <c r="M154" s="84" t="str">
        <f>IF(A!F134="y","NEW","")</f>
        <v/>
      </c>
      <c r="N154" s="85">
        <f>A!I134</f>
        <v>0</v>
      </c>
      <c r="O154" s="290">
        <f>A!O134</f>
        <v>1</v>
      </c>
      <c r="P154" s="541" t="str">
        <f>A!K134</f>
        <v>M</v>
      </c>
      <c r="Q154" s="541" t="str">
        <f>A!E134</f>
        <v>y</v>
      </c>
      <c r="R154" s="541" t="s">
        <v>110</v>
      </c>
      <c r="S154" s="541">
        <f t="shared" si="51"/>
        <v>0</v>
      </c>
      <c r="T154" s="541" t="str">
        <f>A!R134</f>
        <v>x10</v>
      </c>
      <c r="U154" s="541">
        <f>A!S134</f>
        <v>35</v>
      </c>
      <c r="V154" s="541">
        <f>A!T134</f>
        <v>0.2</v>
      </c>
      <c r="W154" s="541">
        <f t="shared" si="47"/>
        <v>0</v>
      </c>
      <c r="X154" s="541"/>
    </row>
    <row r="155" spans="1:24" ht="11.25" hidden="1" customHeight="1" x14ac:dyDescent="0.25">
      <c r="A155" s="121" t="str">
        <f>IF(S155=0,"",COUNTIF(A$23:A154,"&gt;0")+1)</f>
        <v/>
      </c>
      <c r="B155" s="289"/>
      <c r="C155" s="76" t="str">
        <f t="shared" si="44"/>
        <v>x10</v>
      </c>
      <c r="D155" s="77" t="str">
        <f>A!C135</f>
        <v>Scirpus albescens</v>
      </c>
      <c r="E155" s="78"/>
      <c r="F155" s="78"/>
      <c r="G155" s="79" t="str">
        <f>A!N135</f>
        <v>striped rush</v>
      </c>
      <c r="H155" s="87" t="str">
        <f>A!Q135</f>
        <v>contrasting longitudinal stripes of green and cream</v>
      </c>
      <c r="I155" s="69">
        <f>A!M135</f>
        <v>2</v>
      </c>
      <c r="J155" s="202">
        <f>A!P135</f>
        <v>0</v>
      </c>
      <c r="K155" s="83">
        <f>IF(A!G135="y",1,0)</f>
        <v>0</v>
      </c>
      <c r="L155" s="83">
        <f>IF(A!H135="y",1,0)</f>
        <v>0</v>
      </c>
      <c r="M155" s="84" t="str">
        <f>IF(A!F135="y","NEW","")</f>
        <v/>
      </c>
      <c r="N155" s="85">
        <f>A!I135</f>
        <v>0</v>
      </c>
      <c r="O155" s="290" t="str">
        <f>A!O135</f>
        <v>2,3</v>
      </c>
      <c r="P155" s="541">
        <f>A!K135</f>
        <v>0</v>
      </c>
      <c r="Q155" s="541">
        <f>A!E135</f>
        <v>0</v>
      </c>
      <c r="R155" s="541" t="s">
        <v>110</v>
      </c>
      <c r="S155" s="541">
        <f t="shared" si="51"/>
        <v>0</v>
      </c>
      <c r="T155" s="541" t="str">
        <f>A!R135</f>
        <v>x10</v>
      </c>
      <c r="U155" s="541" t="str">
        <f>A!S135</f>
        <v/>
      </c>
      <c r="V155" s="541">
        <f>A!T135</f>
        <v>0.2</v>
      </c>
      <c r="W155" s="541">
        <f t="shared" si="47"/>
        <v>0</v>
      </c>
      <c r="X155" s="541"/>
    </row>
    <row r="156" spans="1:24" ht="11.25" customHeight="1" x14ac:dyDescent="0.25">
      <c r="A156" s="121" t="str">
        <f>IF(S156=0,"",COUNTIF(A$23:A155,"&gt;0")+1)</f>
        <v/>
      </c>
      <c r="B156" s="289"/>
      <c r="C156" s="76" t="str">
        <f t="shared" si="44"/>
        <v>x10</v>
      </c>
      <c r="D156" s="77" t="str">
        <f>A!C136</f>
        <v>Scirpus lacustris</v>
      </c>
      <c r="E156" s="78"/>
      <c r="F156" s="78"/>
      <c r="G156" s="79" t="str">
        <f>A!N136</f>
        <v>bulrush</v>
      </c>
      <c r="H156" s="87" t="str">
        <f>A!Q136</f>
        <v>a great native, suitable for larger ponds- BIG</v>
      </c>
      <c r="I156" s="69">
        <f>A!M136</f>
        <v>3</v>
      </c>
      <c r="J156" s="202" t="str">
        <f>A!P136</f>
        <v>Yes</v>
      </c>
      <c r="K156" s="83">
        <f>IF(A!G136="y",1,0)</f>
        <v>1</v>
      </c>
      <c r="L156" s="83">
        <f>IF(A!H136="y",1,0)</f>
        <v>1</v>
      </c>
      <c r="M156" s="84" t="str">
        <f>IF(A!F136="y","NEW","")</f>
        <v/>
      </c>
      <c r="N156" s="85">
        <f>A!I136</f>
        <v>0</v>
      </c>
      <c r="O156" s="290" t="str">
        <f>A!O136</f>
        <v>2,3</v>
      </c>
      <c r="P156" s="541" t="str">
        <f>A!K136</f>
        <v>L</v>
      </c>
      <c r="Q156" s="541" t="str">
        <f>A!E136</f>
        <v>y</v>
      </c>
      <c r="R156" s="541" t="s">
        <v>110</v>
      </c>
      <c r="S156" s="541">
        <f t="shared" si="51"/>
        <v>0</v>
      </c>
      <c r="T156" s="541" t="str">
        <f>A!R136</f>
        <v>x10</v>
      </c>
      <c r="U156" s="541">
        <f>A!S136</f>
        <v>55</v>
      </c>
      <c r="V156" s="541">
        <f>A!T136</f>
        <v>0.2</v>
      </c>
      <c r="W156" s="541">
        <f t="shared" si="47"/>
        <v>0</v>
      </c>
      <c r="X156" s="541"/>
    </row>
    <row r="157" spans="1:24" ht="11.25" hidden="1" customHeight="1" x14ac:dyDescent="0.25">
      <c r="A157" s="121" t="str">
        <f>IF(S157=0,"",COUNTIF(A$23:A156,"&gt;0")+1)</f>
        <v/>
      </c>
      <c r="B157" s="289"/>
      <c r="C157" s="76" t="str">
        <f t="shared" si="44"/>
        <v>x10</v>
      </c>
      <c r="D157" s="77" t="str">
        <f>A!C137</f>
        <v>Scirpus Zebrinus</v>
      </c>
      <c r="E157" s="78"/>
      <c r="F157" s="78"/>
      <c r="G157" s="79" t="str">
        <f>A!N137</f>
        <v>zebra rush</v>
      </c>
      <c r="H157" s="87" t="str">
        <f>A!Q137</f>
        <v>striking green and creamy-white horizontally banded stems</v>
      </c>
      <c r="I157" s="69">
        <f>A!M137</f>
        <v>1</v>
      </c>
      <c r="J157" s="202">
        <f>A!P137</f>
        <v>0</v>
      </c>
      <c r="K157" s="83">
        <f>IF(A!G137="y",1,0)</f>
        <v>0</v>
      </c>
      <c r="L157" s="83">
        <f>IF(A!H137="y",1,0)</f>
        <v>0</v>
      </c>
      <c r="M157" s="84" t="str">
        <f>IF(A!F137="y","NEW","")</f>
        <v/>
      </c>
      <c r="N157" s="85">
        <f>A!I137</f>
        <v>0</v>
      </c>
      <c r="O157" s="290" t="str">
        <f>A!O137</f>
        <v>2,3</v>
      </c>
      <c r="P157" s="541" t="str">
        <f>A!K137</f>
        <v>L</v>
      </c>
      <c r="Q157" s="541">
        <f>A!E137</f>
        <v>0</v>
      </c>
      <c r="R157" s="541" t="s">
        <v>110</v>
      </c>
      <c r="S157" s="541">
        <f t="shared" si="51"/>
        <v>0</v>
      </c>
      <c r="T157" s="541" t="str">
        <f>A!R137</f>
        <v>x10</v>
      </c>
      <c r="U157" s="541">
        <f>A!S137</f>
        <v>55</v>
      </c>
      <c r="V157" s="541">
        <f>A!T137</f>
        <v>0.2</v>
      </c>
      <c r="W157" s="541">
        <f t="shared" si="47"/>
        <v>0</v>
      </c>
      <c r="X157" s="541"/>
    </row>
    <row r="158" spans="1:24" ht="11.25" hidden="1" customHeight="1" x14ac:dyDescent="0.25">
      <c r="A158" s="121" t="str">
        <f>IF(S158=0,"",COUNTIF(A$23:A157,"&gt;0")+1)</f>
        <v/>
      </c>
      <c r="B158" s="289"/>
      <c r="C158" s="76" t="str">
        <f t="shared" si="44"/>
        <v>x10</v>
      </c>
      <c r="D158" s="77" t="str">
        <f>A!C138</f>
        <v>Scrophularia Aquatica</v>
      </c>
      <c r="E158" s="78"/>
      <c r="F158" s="78"/>
      <c r="G158" s="79" t="str">
        <f>A!N138</f>
        <v>water figwort</v>
      </c>
      <c r="H158" s="87" t="str">
        <f>A!Q138</f>
        <v>summer maroon blooms over nettle-like foliage</v>
      </c>
      <c r="I158" s="69">
        <f>A!M138</f>
        <v>2</v>
      </c>
      <c r="J158" s="202">
        <f>A!P138</f>
        <v>0</v>
      </c>
      <c r="K158" s="83">
        <f>IF(A!G138="y",1,0)</f>
        <v>0</v>
      </c>
      <c r="L158" s="83">
        <f>IF(A!H138="y",1,0)</f>
        <v>0</v>
      </c>
      <c r="M158" s="84" t="str">
        <f>IF(A!F138="y","NEW","")</f>
        <v/>
      </c>
      <c r="N158" s="85">
        <f>A!I138</f>
        <v>0</v>
      </c>
      <c r="O158" s="290" t="str">
        <f>A!O138</f>
        <v>1,2</v>
      </c>
      <c r="P158" s="541">
        <f>A!K138</f>
        <v>0</v>
      </c>
      <c r="Q158" s="541">
        <f>A!E138</f>
        <v>0</v>
      </c>
      <c r="R158" s="541" t="s">
        <v>110</v>
      </c>
      <c r="S158" s="541">
        <f t="shared" si="51"/>
        <v>0</v>
      </c>
      <c r="T158" s="541" t="str">
        <f>A!R138</f>
        <v>x10</v>
      </c>
      <c r="U158" s="541" t="str">
        <f>A!S138</f>
        <v/>
      </c>
      <c r="V158" s="541">
        <f>A!T138</f>
        <v>0.2</v>
      </c>
      <c r="W158" s="541">
        <f t="shared" si="47"/>
        <v>0</v>
      </c>
      <c r="X158" s="541"/>
    </row>
    <row r="159" spans="1:24" ht="11.25" hidden="1" customHeight="1" x14ac:dyDescent="0.25">
      <c r="A159" s="121" t="str">
        <f>IF(S159=0,"",COUNTIF(A$23:A158,"&gt;0")+1)</f>
        <v/>
      </c>
      <c r="B159" s="289"/>
      <c r="C159" s="76" t="str">
        <f t="shared" si="44"/>
        <v>x10</v>
      </c>
      <c r="D159" s="77" t="str">
        <f>A!C139</f>
        <v>Sisyrinchium Californicum</v>
      </c>
      <c r="E159" s="78"/>
      <c r="F159" s="78"/>
      <c r="G159" s="79" t="str">
        <f>A!N139</f>
        <v>yellow satin flower</v>
      </c>
      <c r="H159" s="87" t="str">
        <f>A!Q139</f>
        <v>tiny iris-like foliage with an abundance of yellow flowers</v>
      </c>
      <c r="I159" s="69">
        <f>A!M139</f>
        <v>2</v>
      </c>
      <c r="J159" s="202">
        <f>A!P139</f>
        <v>0</v>
      </c>
      <c r="K159" s="83">
        <f>IF(A!G139="y",1,0)</f>
        <v>0</v>
      </c>
      <c r="L159" s="83">
        <f>IF(A!H139="y",1,0)</f>
        <v>0</v>
      </c>
      <c r="M159" s="84" t="str">
        <f>IF(A!F139="y","NEW","")</f>
        <v/>
      </c>
      <c r="N159" s="85">
        <f>A!I139</f>
        <v>0</v>
      </c>
      <c r="O159" s="290">
        <f>A!O139</f>
        <v>1</v>
      </c>
      <c r="P159" s="541" t="str">
        <f>A!K139</f>
        <v>M</v>
      </c>
      <c r="Q159" s="541">
        <f>A!E139</f>
        <v>0</v>
      </c>
      <c r="R159" s="541" t="s">
        <v>110</v>
      </c>
      <c r="S159" s="541">
        <f t="shared" si="51"/>
        <v>0</v>
      </c>
      <c r="T159" s="541" t="str">
        <f>A!R139</f>
        <v>x10</v>
      </c>
      <c r="U159" s="541">
        <f>A!S139</f>
        <v>35</v>
      </c>
      <c r="V159" s="541">
        <f>A!T139</f>
        <v>0.2</v>
      </c>
      <c r="W159" s="541">
        <f t="shared" si="47"/>
        <v>0</v>
      </c>
      <c r="X159" s="541"/>
    </row>
    <row r="160" spans="1:24" ht="11.25" customHeight="1" x14ac:dyDescent="0.25">
      <c r="A160" s="121" t="str">
        <f>IF(S160=0,"",COUNTIF(A$23:A159,"&gt;0")+1)</f>
        <v/>
      </c>
      <c r="B160" s="289"/>
      <c r="C160" s="76" t="str">
        <f t="shared" si="44"/>
        <v>x10</v>
      </c>
      <c r="D160" s="77" t="str">
        <f>A!C140</f>
        <v>Sparganum erectum</v>
      </c>
      <c r="E160" s="78"/>
      <c r="F160" s="78"/>
      <c r="G160" s="79" t="str">
        <f>A!N140</f>
        <v>bur reed</v>
      </c>
      <c r="H160" s="87" t="str">
        <f>A!Q140</f>
        <v>scented white flowers turn to spiky seed heads</v>
      </c>
      <c r="I160" s="69">
        <f>A!M140</f>
        <v>3</v>
      </c>
      <c r="J160" s="202" t="str">
        <f>A!P140</f>
        <v>Yes</v>
      </c>
      <c r="K160" s="83">
        <f>IF(A!G140="y",1,0)</f>
        <v>1</v>
      </c>
      <c r="L160" s="83">
        <f>IF(A!H140="y",1,0)</f>
        <v>0</v>
      </c>
      <c r="M160" s="84" t="str">
        <f>IF(A!F140="y","NEW","")</f>
        <v/>
      </c>
      <c r="N160" s="85">
        <f>A!I140</f>
        <v>0</v>
      </c>
      <c r="O160" s="290" t="str">
        <f>A!O140</f>
        <v>2,3</v>
      </c>
      <c r="P160" s="541" t="str">
        <f>A!K140</f>
        <v>L</v>
      </c>
      <c r="Q160" s="541" t="str">
        <f>A!E140</f>
        <v>y</v>
      </c>
      <c r="R160" s="541" t="s">
        <v>110</v>
      </c>
      <c r="S160" s="541">
        <f t="shared" si="51"/>
        <v>0</v>
      </c>
      <c r="T160" s="541" t="str">
        <f>A!R140</f>
        <v>x10</v>
      </c>
      <c r="U160" s="541">
        <f>A!S140</f>
        <v>55</v>
      </c>
      <c r="V160" s="541">
        <f>A!T140</f>
        <v>0.2</v>
      </c>
      <c r="W160" s="541">
        <f t="shared" si="47"/>
        <v>0</v>
      </c>
      <c r="X160" s="541"/>
    </row>
    <row r="161" spans="1:24" ht="11.25" hidden="1" customHeight="1" x14ac:dyDescent="0.25">
      <c r="A161" s="121" t="str">
        <f>IF(S161=0,"",COUNTIF(A$23:A160,"&gt;0")+1)</f>
        <v/>
      </c>
      <c r="B161" s="289"/>
      <c r="C161" s="76" t="str">
        <f t="shared" si="44"/>
        <v>x10</v>
      </c>
      <c r="D161" s="77" t="str">
        <f>A!C141</f>
        <v>Sagittaria japonica</v>
      </c>
      <c r="E161" s="78"/>
      <c r="F161" s="78"/>
      <c r="G161" s="79" t="str">
        <f>A!N141</f>
        <v>double japanese arrowhead</v>
      </c>
      <c r="H161" s="87" t="str">
        <f>A!Q141</f>
        <v xml:space="preserve">snowball’ flowers with striking arrow-shaped foliage. </v>
      </c>
      <c r="I161" s="69">
        <f>A!M141</f>
        <v>2</v>
      </c>
      <c r="J161" s="202">
        <f>A!P141</f>
        <v>0</v>
      </c>
      <c r="K161" s="83">
        <f>IF(A!G141="y",1,0)</f>
        <v>0</v>
      </c>
      <c r="L161" s="83">
        <f>IF(A!H141="y",1,0)</f>
        <v>0</v>
      </c>
      <c r="M161" s="84" t="str">
        <f>IF(A!F141="y","NEW","")</f>
        <v/>
      </c>
      <c r="N161" s="85">
        <f>A!I141</f>
        <v>0</v>
      </c>
      <c r="O161" s="290" t="str">
        <f>A!O141</f>
        <v>2,3</v>
      </c>
      <c r="P161" s="541">
        <f>A!K141</f>
        <v>0</v>
      </c>
      <c r="Q161" s="541">
        <f>A!E141</f>
        <v>0</v>
      </c>
      <c r="R161" s="541" t="s">
        <v>110</v>
      </c>
      <c r="S161" s="541">
        <f t="shared" ref="S161" si="57">B161</f>
        <v>0</v>
      </c>
      <c r="T161" s="541" t="str">
        <f>A!R141</f>
        <v>x10</v>
      </c>
      <c r="U161" s="541" t="str">
        <f>A!S141</f>
        <v/>
      </c>
      <c r="V161" s="541">
        <f>A!T141</f>
        <v>0.2</v>
      </c>
      <c r="W161" s="541">
        <f t="shared" si="47"/>
        <v>0</v>
      </c>
      <c r="X161" s="541"/>
    </row>
    <row r="162" spans="1:24" ht="11.25" hidden="1" customHeight="1" x14ac:dyDescent="0.25">
      <c r="A162" s="121" t="str">
        <f>IF(S162=0,"",COUNTIF(A$23:A161,"&gt;0")+1)</f>
        <v/>
      </c>
      <c r="B162" s="289"/>
      <c r="C162" s="76" t="str">
        <f t="shared" si="44"/>
        <v>x10</v>
      </c>
      <c r="D162" s="77" t="str">
        <f>A!C142</f>
        <v>Thalia Dealbata</v>
      </c>
      <c r="E162" s="78"/>
      <c r="F162" s="78"/>
      <c r="G162" s="79" t="str">
        <f>A!N142</f>
        <v>alligator flag</v>
      </c>
      <c r="H162" s="87" t="str">
        <f>A!Q142</f>
        <v xml:space="preserve">native to swamps and ponds in southern USA </v>
      </c>
      <c r="I162" s="69">
        <f>A!M142</f>
        <v>1</v>
      </c>
      <c r="J162" s="202">
        <f>A!P142</f>
        <v>0</v>
      </c>
      <c r="K162" s="83">
        <f>IF(A!G142="y",1,0)</f>
        <v>0</v>
      </c>
      <c r="L162" s="83">
        <f>IF(A!H142="y",1,0)</f>
        <v>0</v>
      </c>
      <c r="M162" s="84" t="str">
        <f>IF(A!F142="y","NEW","")</f>
        <v/>
      </c>
      <c r="N162" s="85">
        <f>A!I142</f>
        <v>0</v>
      </c>
      <c r="O162" s="290" t="str">
        <f>A!O142</f>
        <v>2,3</v>
      </c>
      <c r="P162" s="541">
        <f>A!K142</f>
        <v>0</v>
      </c>
      <c r="Q162" s="541">
        <f>A!E142</f>
        <v>0</v>
      </c>
      <c r="R162" s="541" t="s">
        <v>110</v>
      </c>
      <c r="S162" s="541">
        <f t="shared" si="51"/>
        <v>0</v>
      </c>
      <c r="T162" s="541" t="str">
        <f>A!R142</f>
        <v>x10</v>
      </c>
      <c r="U162" s="541" t="str">
        <f>A!S142</f>
        <v/>
      </c>
      <c r="V162" s="541">
        <f>A!T142</f>
        <v>0.2</v>
      </c>
      <c r="W162" s="541">
        <f t="shared" ref="W162:W170" si="58">V162*B162</f>
        <v>0</v>
      </c>
      <c r="X162" s="541"/>
    </row>
    <row r="163" spans="1:24" ht="11.25" hidden="1" customHeight="1" x14ac:dyDescent="0.25">
      <c r="A163" s="121" t="str">
        <f>IF(S163=0,"",COUNTIF(A$23:A162,"&gt;0")+1)</f>
        <v/>
      </c>
      <c r="B163" s="289"/>
      <c r="C163" s="76" t="str">
        <f t="shared" si="44"/>
        <v>x10</v>
      </c>
      <c r="D163" s="77" t="str">
        <f>A!C143</f>
        <v>Tulbaghia Violacea</v>
      </c>
      <c r="E163" s="78"/>
      <c r="F163" s="78"/>
      <c r="G163" s="79" t="str">
        <f>A!N143</f>
        <v>society garlic</v>
      </c>
      <c r="H163" s="87" t="str">
        <f>A!Q143</f>
        <v>offering large umbels of fragrant lilac flowers</v>
      </c>
      <c r="I163" s="69">
        <f>A!M143</f>
        <v>2</v>
      </c>
      <c r="J163" s="202">
        <f>A!P143</f>
        <v>0</v>
      </c>
      <c r="K163" s="83">
        <f>IF(A!G143="y",1,0)</f>
        <v>0</v>
      </c>
      <c r="L163" s="83">
        <f>IF(A!H143="y",1,0)</f>
        <v>0</v>
      </c>
      <c r="M163" s="84" t="str">
        <f>IF(A!F143="y","NEW","")</f>
        <v/>
      </c>
      <c r="N163" s="85">
        <f>A!I143</f>
        <v>0</v>
      </c>
      <c r="O163" s="290">
        <f>A!O143</f>
        <v>1</v>
      </c>
      <c r="P163" s="541" t="str">
        <f>A!K143</f>
        <v>M</v>
      </c>
      <c r="Q163" s="541">
        <f>A!E143</f>
        <v>0</v>
      </c>
      <c r="R163" s="541" t="s">
        <v>110</v>
      </c>
      <c r="S163" s="541">
        <f t="shared" si="51"/>
        <v>0</v>
      </c>
      <c r="T163" s="541" t="str">
        <f>A!R143</f>
        <v>x10</v>
      </c>
      <c r="U163" s="541">
        <f>A!S143</f>
        <v>35</v>
      </c>
      <c r="V163" s="541">
        <f>A!T143</f>
        <v>0.2</v>
      </c>
      <c r="W163" s="541">
        <f t="shared" si="58"/>
        <v>0</v>
      </c>
      <c r="X163" s="541"/>
    </row>
    <row r="164" spans="1:24" ht="11.25" hidden="1" customHeight="1" x14ac:dyDescent="0.25">
      <c r="A164" s="121" t="str">
        <f>IF(S164=0,"",COUNTIF(A$23:A163,"&gt;0")+1)</f>
        <v/>
      </c>
      <c r="B164" s="289"/>
      <c r="C164" s="76" t="str">
        <f t="shared" si="44"/>
        <v>x10</v>
      </c>
      <c r="D164" s="77" t="str">
        <f>A!C144</f>
        <v>Typha angustifolia</v>
      </c>
      <c r="E164" s="682" t="s">
        <v>1380</v>
      </c>
      <c r="F164" s="78"/>
      <c r="G164" s="79" t="str">
        <f>A!N144</f>
        <v>lesser reedmace</v>
      </c>
      <c r="H164" s="87" t="str">
        <f>A!Q144</f>
        <v>often wrongly named lesser bulrush</v>
      </c>
      <c r="I164" s="69">
        <f>A!M144</f>
        <v>1</v>
      </c>
      <c r="J164" s="202" t="str">
        <f>A!P144</f>
        <v>Yes</v>
      </c>
      <c r="K164" s="83">
        <f>IF(A!G144="y",1,0)</f>
        <v>0</v>
      </c>
      <c r="L164" s="83">
        <f>IF(A!H144="y",1,0)</f>
        <v>0</v>
      </c>
      <c r="M164" s="84" t="str">
        <f>IF(A!F144="y","NEW","")</f>
        <v/>
      </c>
      <c r="N164" s="85">
        <f>A!I144</f>
        <v>0</v>
      </c>
      <c r="O164" s="290" t="str">
        <f>A!O144</f>
        <v>2,3</v>
      </c>
      <c r="P164" s="541" t="str">
        <f>A!K144</f>
        <v>L</v>
      </c>
      <c r="Q164" s="541">
        <f>A!E144</f>
        <v>0</v>
      </c>
      <c r="R164" s="541" t="s">
        <v>110</v>
      </c>
      <c r="S164" s="541">
        <f t="shared" si="51"/>
        <v>0</v>
      </c>
      <c r="T164" s="541" t="str">
        <f>A!R144</f>
        <v>x10</v>
      </c>
      <c r="U164" s="541">
        <f>A!S144</f>
        <v>55</v>
      </c>
      <c r="V164" s="541">
        <f>A!T144</f>
        <v>0.2</v>
      </c>
      <c r="W164" s="541">
        <f t="shared" si="58"/>
        <v>0</v>
      </c>
      <c r="X164" s="541"/>
    </row>
    <row r="165" spans="1:24" ht="11.25" customHeight="1" x14ac:dyDescent="0.25">
      <c r="A165" s="121" t="str">
        <f>IF(S165=0,"",COUNTIF(A$23:A164,"&gt;0")+1)</f>
        <v/>
      </c>
      <c r="B165" s="289"/>
      <c r="C165" s="76" t="str">
        <f t="shared" si="44"/>
        <v>x10</v>
      </c>
      <c r="D165" s="77" t="str">
        <f>A!C145</f>
        <v>Typha latifolia</v>
      </c>
      <c r="E165" s="78"/>
      <c r="F165" s="78"/>
      <c r="G165" s="79" t="str">
        <f>A!N145</f>
        <v xml:space="preserve"> reedmace</v>
      </c>
      <c r="H165" s="87" t="str">
        <f>A!Q145</f>
        <v>incorrectly named bullrush, large specimen</v>
      </c>
      <c r="I165" s="69">
        <f>A!M145</f>
        <v>2</v>
      </c>
      <c r="J165" s="202" t="str">
        <f>A!P145</f>
        <v>Yes</v>
      </c>
      <c r="K165" s="83">
        <f>IF(A!G145="y",1,0)</f>
        <v>1</v>
      </c>
      <c r="L165" s="83">
        <f>IF(A!H145="y",1,0)</f>
        <v>1</v>
      </c>
      <c r="M165" s="84" t="s">
        <v>1378</v>
      </c>
      <c r="N165" s="85">
        <f>A!I145</f>
        <v>0</v>
      </c>
      <c r="O165" s="290" t="str">
        <f>A!O145</f>
        <v>2,3</v>
      </c>
      <c r="P165" s="541" t="str">
        <f>A!K145</f>
        <v>L</v>
      </c>
      <c r="Q165" s="541" t="str">
        <f>A!E145</f>
        <v>Y</v>
      </c>
      <c r="R165" s="541" t="s">
        <v>110</v>
      </c>
      <c r="S165" s="541">
        <f t="shared" si="51"/>
        <v>0</v>
      </c>
      <c r="T165" s="541" t="str">
        <f>A!R145</f>
        <v>x10</v>
      </c>
      <c r="U165" s="541">
        <f>A!S145</f>
        <v>55</v>
      </c>
      <c r="V165" s="541">
        <f>A!T145</f>
        <v>0.2</v>
      </c>
      <c r="W165" s="541">
        <f t="shared" si="58"/>
        <v>0</v>
      </c>
      <c r="X165" s="541"/>
    </row>
    <row r="166" spans="1:24" ht="11.25" hidden="1" customHeight="1" x14ac:dyDescent="0.25">
      <c r="A166" s="121" t="str">
        <f>IF(S166=0,"",COUNTIF(A$23:A165,"&gt;0")+1)</f>
        <v/>
      </c>
      <c r="B166" s="289"/>
      <c r="C166" s="76" t="str">
        <f t="shared" si="44"/>
        <v>x10</v>
      </c>
      <c r="D166" s="77" t="str">
        <f>A!C146</f>
        <v>Typha laxmanii</v>
      </c>
      <c r="E166" s="682" t="s">
        <v>1380</v>
      </c>
      <c r="F166" s="78"/>
      <c r="G166" s="79" t="str">
        <f>A!N146</f>
        <v>slender reedmace</v>
      </c>
      <c r="H166" s="87" t="str">
        <f>A!Q146</f>
        <v>probably the most elegant of the reedmace family</v>
      </c>
      <c r="I166" s="69">
        <f>A!M146</f>
        <v>1</v>
      </c>
      <c r="J166" s="202">
        <f>A!P146</f>
        <v>0</v>
      </c>
      <c r="K166" s="83">
        <f>IF(A!G146="y",1,0)</f>
        <v>0</v>
      </c>
      <c r="L166" s="83">
        <f>IF(A!H146="y",1,0)</f>
        <v>0</v>
      </c>
      <c r="M166" s="84" t="str">
        <f>IF(A!F146="y","NEW","")</f>
        <v/>
      </c>
      <c r="N166" s="85">
        <f>A!I146</f>
        <v>0</v>
      </c>
      <c r="O166" s="290" t="str">
        <f>A!O146</f>
        <v>2,3</v>
      </c>
      <c r="P166" s="541" t="str">
        <f>A!K146</f>
        <v>L</v>
      </c>
      <c r="Q166" s="541">
        <f>A!E146</f>
        <v>0</v>
      </c>
      <c r="R166" s="541" t="s">
        <v>110</v>
      </c>
      <c r="S166" s="541">
        <f t="shared" si="51"/>
        <v>0</v>
      </c>
      <c r="T166" s="541" t="str">
        <f>A!R146</f>
        <v>x10</v>
      </c>
      <c r="U166" s="541">
        <f>A!S146</f>
        <v>55</v>
      </c>
      <c r="V166" s="541">
        <f>A!T146</f>
        <v>0.2</v>
      </c>
      <c r="W166" s="541">
        <f t="shared" si="58"/>
        <v>0</v>
      </c>
      <c r="X166" s="541"/>
    </row>
    <row r="167" spans="1:24" ht="11.25" customHeight="1" thickBot="1" x14ac:dyDescent="0.3">
      <c r="A167" s="121" t="str">
        <f>IF(S167=0,"",COUNTIF(A$23:A166,"&gt;0")+1)</f>
        <v/>
      </c>
      <c r="B167" s="291"/>
      <c r="C167" s="292" t="str">
        <f t="shared" si="44"/>
        <v>x10</v>
      </c>
      <c r="D167" s="293" t="str">
        <f>A!C147</f>
        <v>Typha minima</v>
      </c>
      <c r="E167" s="294"/>
      <c r="F167" s="294"/>
      <c r="G167" s="295" t="str">
        <f>A!N147</f>
        <v>dwarf reedmace</v>
      </c>
      <c r="H167" s="705" t="str">
        <f>A!Q147</f>
        <v>the most delicate of the reedmace, ideal for features</v>
      </c>
      <c r="I167" s="297">
        <f>A!M147</f>
        <v>1</v>
      </c>
      <c r="J167" s="298">
        <f>A!P147</f>
        <v>0</v>
      </c>
      <c r="K167" s="299">
        <f>IF(A!G147="y",1,0)</f>
        <v>1</v>
      </c>
      <c r="L167" s="299">
        <f>IF(A!H147="y",1,0)</f>
        <v>1</v>
      </c>
      <c r="M167" s="300" t="str">
        <f>IF(A!F147="y","NEW","")</f>
        <v/>
      </c>
      <c r="N167" s="301">
        <f>A!I147</f>
        <v>0</v>
      </c>
      <c r="O167" s="302">
        <f>A!O147</f>
        <v>2</v>
      </c>
      <c r="P167" s="541" t="str">
        <f>A!K147</f>
        <v>L</v>
      </c>
      <c r="Q167" s="541" t="str">
        <f>A!E147</f>
        <v>Y</v>
      </c>
      <c r="R167" s="541" t="s">
        <v>110</v>
      </c>
      <c r="S167" s="541">
        <f t="shared" ref="S167:S171" si="59">B167</f>
        <v>0</v>
      </c>
      <c r="T167" s="541" t="str">
        <f>A!R147</f>
        <v>x10</v>
      </c>
      <c r="U167" s="541">
        <f>A!S147</f>
        <v>55</v>
      </c>
      <c r="V167" s="541">
        <f>A!T147</f>
        <v>0.2</v>
      </c>
      <c r="W167" s="541">
        <f t="shared" si="58"/>
        <v>0</v>
      </c>
      <c r="X167" s="541"/>
    </row>
    <row r="168" spans="1:24" ht="11.25" hidden="1" customHeight="1" thickBot="1" x14ac:dyDescent="0.3">
      <c r="A168" s="121" t="str">
        <f>IF(S168=0,"",COUNTIF(A$23:A167,"&gt;0")+1)</f>
        <v/>
      </c>
      <c r="B168" s="702"/>
      <c r="C168" s="569" t="str">
        <f t="shared" ref="C168:C170" si="60">T168</f>
        <v>x10</v>
      </c>
      <c r="D168" s="703" t="str">
        <f>A!C148</f>
        <v>Veronica beccabunga</v>
      </c>
      <c r="E168" s="571"/>
      <c r="F168" s="571"/>
      <c r="G168" s="704" t="str">
        <f>A!N148</f>
        <v>brooklime</v>
      </c>
      <c r="H168" s="573" t="str">
        <f>A!Q148</f>
        <v>a real functional native, great for all ponds</v>
      </c>
      <c r="I168" s="574">
        <f>A!M148</f>
        <v>1</v>
      </c>
      <c r="J168" s="575" t="str">
        <f>A!P148</f>
        <v>Yes</v>
      </c>
      <c r="K168" s="576">
        <f>IF(A!G148="y",1,0)</f>
        <v>0</v>
      </c>
      <c r="L168" s="576">
        <f>IF(A!H148="y",1,0)</f>
        <v>0</v>
      </c>
      <c r="M168" s="577" t="str">
        <f>IF(A!F148="y","NEW","")</f>
        <v/>
      </c>
      <c r="N168" s="578">
        <f>A!I148</f>
        <v>0</v>
      </c>
      <c r="O168" s="579" t="str">
        <f>A!O148</f>
        <v>1,2</v>
      </c>
      <c r="P168" s="541" t="str">
        <f>A!K148</f>
        <v>S</v>
      </c>
      <c r="Q168" s="541">
        <f>A!E148</f>
        <v>0</v>
      </c>
      <c r="R168" s="541" t="s">
        <v>110</v>
      </c>
      <c r="S168" s="541">
        <f t="shared" si="59"/>
        <v>0</v>
      </c>
      <c r="T168" s="541" t="str">
        <f>A!R148</f>
        <v>x10</v>
      </c>
      <c r="U168" s="541">
        <f>A!S148</f>
        <v>25</v>
      </c>
      <c r="V168" s="541">
        <f>A!T148</f>
        <v>0.2</v>
      </c>
      <c r="W168" s="541">
        <f t="shared" si="58"/>
        <v>0</v>
      </c>
      <c r="X168" s="541"/>
    </row>
    <row r="169" spans="1:24" ht="11.25" hidden="1" customHeight="1" x14ac:dyDescent="0.25">
      <c r="A169" s="121" t="str">
        <f>IF(S169=0,"",COUNTIF(A$23:A168,"&gt;0")+1)</f>
        <v/>
      </c>
      <c r="B169" s="286"/>
      <c r="C169" s="128" t="str">
        <f t="shared" si="60"/>
        <v>x10</v>
      </c>
      <c r="D169" s="287" t="str">
        <f>A!C149</f>
        <v>Zantedeschia aethiopica</v>
      </c>
      <c r="E169" s="113"/>
      <c r="F169" s="113"/>
      <c r="G169" s="288" t="str">
        <f>A!N149</f>
        <v>arum lily</v>
      </c>
      <c r="H169" s="129" t="str">
        <f>A!Q149</f>
        <v>wonderull funnel-shaped white spathe-like flowers</v>
      </c>
      <c r="I169" s="130">
        <f>A!M149</f>
        <v>1</v>
      </c>
      <c r="J169" s="203">
        <f>A!P149</f>
        <v>0</v>
      </c>
      <c r="K169" s="131">
        <f>IF(A!G149="y",1,0)</f>
        <v>0</v>
      </c>
      <c r="L169" s="131">
        <f>IF(A!H149="y",1,0)</f>
        <v>0</v>
      </c>
      <c r="M169" s="132" t="str">
        <f>IF(A!F149="y","NEW","")</f>
        <v/>
      </c>
      <c r="N169" s="133">
        <f>A!I149</f>
        <v>0</v>
      </c>
      <c r="O169" s="134" t="str">
        <f>A!O149</f>
        <v>1,2</v>
      </c>
      <c r="P169" s="541">
        <f>A!K149</f>
        <v>0</v>
      </c>
      <c r="Q169" s="541">
        <f>A!E149</f>
        <v>0</v>
      </c>
      <c r="R169" s="541" t="s">
        <v>110</v>
      </c>
      <c r="S169" s="541">
        <f t="shared" si="59"/>
        <v>0</v>
      </c>
      <c r="T169" s="541" t="str">
        <f>A!R149</f>
        <v>x10</v>
      </c>
      <c r="U169" s="541" t="str">
        <f>A!S149</f>
        <v/>
      </c>
      <c r="V169" s="541">
        <f>A!T149</f>
        <v>0.2</v>
      </c>
      <c r="W169" s="541">
        <f t="shared" si="58"/>
        <v>0</v>
      </c>
      <c r="X169" s="541"/>
    </row>
    <row r="170" spans="1:24" ht="11.25" hidden="1" customHeight="1" x14ac:dyDescent="0.25">
      <c r="A170" s="121" t="str">
        <f>IF(S170=0,"",COUNTIF(A$23:A169,"&gt;0")+1)</f>
        <v/>
      </c>
      <c r="B170" s="247"/>
      <c r="C170" s="76" t="str">
        <f t="shared" si="60"/>
        <v>x10</v>
      </c>
      <c r="D170" s="77" t="str">
        <f>A!C150</f>
        <v>Zantedeschia 'Crowborough'</v>
      </c>
      <c r="E170" s="78"/>
      <c r="F170" s="78"/>
      <c r="G170" s="88" t="str">
        <f>A!N150</f>
        <v>arum lily</v>
      </c>
      <c r="H170" s="89" t="str">
        <f>A!Q150</f>
        <v>discovered growing in a garden in England</v>
      </c>
      <c r="I170" s="69">
        <f>A!M150</f>
        <v>1</v>
      </c>
      <c r="J170" s="202">
        <f>A!P150</f>
        <v>0</v>
      </c>
      <c r="K170" s="83">
        <f>IF(A!G150="y",1,0)</f>
        <v>0</v>
      </c>
      <c r="L170" s="83">
        <f>IF(A!H150="y",1,0)</f>
        <v>0</v>
      </c>
      <c r="M170" s="84" t="str">
        <f>IF(A!F150="y","NEW","")</f>
        <v/>
      </c>
      <c r="N170" s="85">
        <f>A!I150</f>
        <v>0</v>
      </c>
      <c r="O170" s="82" t="str">
        <f>A!O150</f>
        <v>1,2</v>
      </c>
      <c r="P170" s="541">
        <f>A!K150</f>
        <v>0</v>
      </c>
      <c r="Q170" s="541">
        <f>A!E150</f>
        <v>0</v>
      </c>
      <c r="R170" s="541" t="s">
        <v>110</v>
      </c>
      <c r="S170" s="541">
        <f t="shared" si="59"/>
        <v>0</v>
      </c>
      <c r="T170" s="541" t="str">
        <f>A!R150</f>
        <v>x10</v>
      </c>
      <c r="U170" s="541" t="str">
        <f>A!S150</f>
        <v/>
      </c>
      <c r="V170" s="541">
        <f>A!T150</f>
        <v>0.2</v>
      </c>
      <c r="W170" s="541">
        <f t="shared" si="58"/>
        <v>0</v>
      </c>
      <c r="X170" s="541"/>
    </row>
    <row r="171" spans="1:24" ht="10.5" customHeight="1" x14ac:dyDescent="0.25">
      <c r="A171" s="121" t="str">
        <f>IF(S171=0,"",COUNTIF(A$23:A170,"&gt;0")+1)</f>
        <v/>
      </c>
      <c r="B171" s="248">
        <f>SUM(B23:B170)</f>
        <v>0</v>
      </c>
      <c r="C171" s="248"/>
      <c r="D171" s="93" t="s">
        <v>1358</v>
      </c>
      <c r="E171" s="56"/>
      <c r="F171" s="56"/>
      <c r="G171" s="56"/>
      <c r="H171" s="56"/>
      <c r="I171" s="94"/>
      <c r="J171" s="96"/>
      <c r="K171" s="94"/>
      <c r="L171" s="94"/>
      <c r="M171" s="95"/>
      <c r="N171" s="94"/>
      <c r="O171" s="96"/>
      <c r="P171" s="541"/>
      <c r="Q171" s="541"/>
      <c r="R171" s="541" t="s">
        <v>110</v>
      </c>
      <c r="S171" s="541">
        <f t="shared" si="59"/>
        <v>0</v>
      </c>
      <c r="T171" s="541" t="s">
        <v>215</v>
      </c>
      <c r="U171" s="541"/>
      <c r="V171" s="541"/>
      <c r="W171" s="541"/>
      <c r="X171" s="541"/>
    </row>
    <row r="172" spans="1:24" ht="7.5" customHeight="1" thickBot="1" x14ac:dyDescent="0.3">
      <c r="A172" s="121" t="str">
        <f>IF(S172=0,"",COUNTIF(A$23:A171,"&gt;0")+1)</f>
        <v/>
      </c>
      <c r="P172" s="541"/>
      <c r="Q172" s="541"/>
      <c r="R172" s="541"/>
      <c r="S172" s="541"/>
      <c r="T172" s="541"/>
      <c r="U172" s="541"/>
      <c r="V172" s="541"/>
      <c r="W172" s="541"/>
      <c r="X172" s="541"/>
    </row>
    <row r="173" spans="1:24" ht="9" customHeight="1" x14ac:dyDescent="0.25">
      <c r="A173" s="121" t="str">
        <f>IF(S173=0,"",COUNTIF(A$23:A172,"&gt;0")+1)</f>
        <v/>
      </c>
      <c r="B173" s="947" t="s">
        <v>115</v>
      </c>
      <c r="C173" s="948"/>
      <c r="D173" s="969" t="s">
        <v>1465</v>
      </c>
      <c r="E173" s="970"/>
      <c r="F173" s="970"/>
      <c r="G173" s="970"/>
      <c r="H173" s="970"/>
      <c r="I173" s="949" t="s">
        <v>1301</v>
      </c>
      <c r="J173" s="949"/>
      <c r="K173" s="949"/>
      <c r="L173" s="949"/>
      <c r="M173" s="949"/>
      <c r="N173" s="949"/>
      <c r="O173" s="950"/>
      <c r="P173" s="542"/>
      <c r="Q173" s="542"/>
      <c r="R173" s="541"/>
      <c r="S173" s="541"/>
      <c r="T173" s="541"/>
      <c r="U173" s="541"/>
      <c r="V173" s="541"/>
      <c r="W173" s="541"/>
      <c r="X173" s="541"/>
    </row>
    <row r="174" spans="1:24" ht="9.75" customHeight="1" thickBot="1" x14ac:dyDescent="0.3">
      <c r="A174" s="121" t="str">
        <f>IF(S174=0,"",COUNTIF(A$23:A173,"&gt;0")+1)</f>
        <v/>
      </c>
      <c r="B174" s="1137"/>
      <c r="C174" s="1138"/>
      <c r="D174" s="971"/>
      <c r="E174" s="972"/>
      <c r="F174" s="972"/>
      <c r="G174" s="972"/>
      <c r="H174" s="972"/>
      <c r="I174" s="327" t="s">
        <v>114</v>
      </c>
      <c r="J174" s="328"/>
      <c r="K174" s="329"/>
      <c r="L174" s="329"/>
      <c r="M174" s="327"/>
      <c r="N174" s="329"/>
      <c r="O174" s="330" t="s">
        <v>41</v>
      </c>
      <c r="P174" s="542"/>
      <c r="Q174" s="542"/>
      <c r="R174" s="541"/>
      <c r="S174" s="541"/>
      <c r="T174" s="541"/>
      <c r="U174" s="541"/>
      <c r="V174" s="541"/>
      <c r="W174" s="541"/>
      <c r="X174" s="541"/>
    </row>
    <row r="175" spans="1:24" ht="12" customHeight="1" x14ac:dyDescent="0.25">
      <c r="A175" s="121" t="str">
        <f>IF(S175=0,"",COUNTIF(A$23:A174,"&gt;0")+1)</f>
        <v/>
      </c>
      <c r="B175" s="862"/>
      <c r="C175" s="769" t="str">
        <f t="shared" ref="C175" si="61">T175</f>
        <v>x100</v>
      </c>
      <c r="D175" s="770" t="str">
        <f>A!C463</f>
        <v>Bunched Ceratophyllum Demersum</v>
      </c>
      <c r="E175" s="771"/>
      <c r="F175" s="771"/>
      <c r="G175" s="772" t="str">
        <f>A!N463</f>
        <v>Hornwort</v>
      </c>
      <c r="H175" s="773" t="str">
        <f>A!Q463</f>
        <v>bunch with lead</v>
      </c>
      <c r="I175" s="871">
        <f>A!M463</f>
        <v>1</v>
      </c>
      <c r="J175" s="774" t="str">
        <f>A!P463</f>
        <v>Yes</v>
      </c>
      <c r="K175" s="868">
        <f>IF(A!G463="y",1,0)</f>
        <v>1</v>
      </c>
      <c r="L175" s="868">
        <f>IF(A!H463="y",1,0)</f>
        <v>1</v>
      </c>
      <c r="M175" s="869" t="str">
        <f>IF(A!F463="y","NEW","")</f>
        <v/>
      </c>
      <c r="N175" s="863">
        <f>A!I463</f>
        <v>0</v>
      </c>
      <c r="O175" s="775" t="str">
        <f>A!O463</f>
        <v>3,4</v>
      </c>
      <c r="P175" s="541">
        <f>A!K463</f>
        <v>0</v>
      </c>
      <c r="Q175" s="541" t="str">
        <f>A!E463</f>
        <v>Y</v>
      </c>
      <c r="R175" s="541" t="s">
        <v>572</v>
      </c>
      <c r="S175" s="541">
        <f t="shared" ref="S175" si="62">B175</f>
        <v>0</v>
      </c>
      <c r="T175" s="541" t="str">
        <f>A!R463</f>
        <v>x100</v>
      </c>
      <c r="U175" s="541"/>
      <c r="V175" s="541"/>
      <c r="W175" s="541"/>
      <c r="X175" s="541"/>
    </row>
    <row r="176" spans="1:24" ht="11.25" customHeight="1" thickBot="1" x14ac:dyDescent="0.3">
      <c r="A176" s="121" t="str">
        <f>IF(S176=0,"",COUNTIF(A$23:A175,"&gt;0")+1)</f>
        <v/>
      </c>
      <c r="B176" s="870"/>
      <c r="C176" s="496" t="str">
        <f>T176</f>
        <v>x100</v>
      </c>
      <c r="D176" s="497" t="str">
        <f>A!C467</f>
        <v>Bunched Myriophyllum Spicatum</v>
      </c>
      <c r="E176" s="498"/>
      <c r="F176" s="498"/>
      <c r="G176" s="499" t="str">
        <f>A!N467</f>
        <v>water milfoil</v>
      </c>
      <c r="H176" s="500" t="str">
        <f>A!Q467</f>
        <v>bunch with lead</v>
      </c>
      <c r="I176" s="501">
        <f>A!M467</f>
        <v>1</v>
      </c>
      <c r="J176" s="502" t="str">
        <f>A!P467</f>
        <v>Yes</v>
      </c>
      <c r="K176" s="503">
        <f>IF(A!G467="y",1,0)</f>
        <v>1</v>
      </c>
      <c r="L176" s="503">
        <f>IF(A!H467="y",1,0)</f>
        <v>1</v>
      </c>
      <c r="M176" s="504" t="str">
        <f>IF(A!F467="y","NEW","")</f>
        <v/>
      </c>
      <c r="N176" s="505">
        <f>A!I467</f>
        <v>0</v>
      </c>
      <c r="O176" s="334" t="str">
        <f>A!O467</f>
        <v>3,4</v>
      </c>
      <c r="P176" s="541">
        <f>A!K467</f>
        <v>0</v>
      </c>
      <c r="Q176" s="541" t="str">
        <f>A!E467</f>
        <v>Y</v>
      </c>
      <c r="R176" s="541" t="s">
        <v>572</v>
      </c>
      <c r="S176" s="541">
        <f>B176</f>
        <v>0</v>
      </c>
      <c r="T176" s="541" t="str">
        <f>A!R467</f>
        <v>x100</v>
      </c>
      <c r="U176" s="541"/>
      <c r="V176" s="541"/>
      <c r="W176" s="541"/>
      <c r="X176" s="541"/>
    </row>
    <row r="177" spans="1:24" ht="12" customHeight="1" x14ac:dyDescent="0.25">
      <c r="A177" s="121" t="str">
        <f>IF(S177=0,"",COUNTIF(A$23:A176,"&gt;0")+1)</f>
        <v/>
      </c>
      <c r="B177" s="862"/>
      <c r="C177" s="769" t="str">
        <f>T177</f>
        <v>x50</v>
      </c>
      <c r="D177" s="770" t="str">
        <f>A!C471</f>
        <v>Netted Ceratophyllum Demersum</v>
      </c>
      <c r="E177" s="771"/>
      <c r="F177" s="771"/>
      <c r="G177" s="772" t="str">
        <f>A!N471</f>
        <v>Hornwort</v>
      </c>
      <c r="H177" s="773" t="str">
        <f>A!Q471</f>
        <v>with label and barcode</v>
      </c>
      <c r="I177" s="867">
        <f>A!M471</f>
        <v>1</v>
      </c>
      <c r="J177" s="774" t="str">
        <f>A!P471</f>
        <v>Yes</v>
      </c>
      <c r="K177" s="868">
        <f>IF(A!G471="y",1,0)</f>
        <v>1</v>
      </c>
      <c r="L177" s="868">
        <f>IF(A!H471="y",1,0)</f>
        <v>1</v>
      </c>
      <c r="M177" s="869" t="str">
        <f>IF(A!F471="y","NEW","")</f>
        <v/>
      </c>
      <c r="N177" s="863">
        <f>A!I471</f>
        <v>0</v>
      </c>
      <c r="O177" s="775" t="str">
        <f>A!O471</f>
        <v>3,4</v>
      </c>
      <c r="P177" s="542"/>
      <c r="Q177" s="541" t="str">
        <f>A!E471</f>
        <v>y</v>
      </c>
      <c r="R177" s="541" t="s">
        <v>580</v>
      </c>
      <c r="S177" s="541">
        <f>B177</f>
        <v>0</v>
      </c>
      <c r="T177" s="541" t="str">
        <f>A!R471</f>
        <v>x50</v>
      </c>
      <c r="U177" s="541"/>
      <c r="V177" s="541"/>
      <c r="W177" s="541"/>
      <c r="X177" s="541"/>
    </row>
    <row r="178" spans="1:24" ht="11.25" customHeight="1" thickBot="1" x14ac:dyDescent="0.3">
      <c r="A178" s="121" t="str">
        <f>IF(S178=0,"",COUNTIF(A$23:A177,"&gt;0")+1)</f>
        <v/>
      </c>
      <c r="B178" s="706"/>
      <c r="C178" s="496" t="str">
        <f>T178</f>
        <v>x50</v>
      </c>
      <c r="D178" s="497" t="str">
        <f>A!C475</f>
        <v>Netted Myriophyllum Spicatum</v>
      </c>
      <c r="E178" s="498"/>
      <c r="F178" s="498"/>
      <c r="G178" s="499" t="str">
        <f>A!N475</f>
        <v>water milfoil</v>
      </c>
      <c r="H178" s="500" t="str">
        <f>A!Q475</f>
        <v>with label and barcode</v>
      </c>
      <c r="I178" s="866">
        <f>A!M475</f>
        <v>1</v>
      </c>
      <c r="J178" s="502" t="str">
        <f>A!P475</f>
        <v>Yes</v>
      </c>
      <c r="K178" s="503">
        <f>IF(A!G475="y",1,0)</f>
        <v>1</v>
      </c>
      <c r="L178" s="503">
        <f>IF(A!H475="y",1,0)</f>
        <v>1</v>
      </c>
      <c r="M178" s="504" t="str">
        <f>IF(A!F475="y","NEW","")</f>
        <v/>
      </c>
      <c r="N178" s="505">
        <f>A!I475</f>
        <v>0</v>
      </c>
      <c r="O178" s="334" t="str">
        <f>A!O475</f>
        <v>3,4</v>
      </c>
      <c r="P178" s="542"/>
      <c r="Q178" s="541" t="str">
        <f>A!E475</f>
        <v>Y</v>
      </c>
      <c r="R178" s="541" t="s">
        <v>580</v>
      </c>
      <c r="S178" s="541">
        <f>B178</f>
        <v>0</v>
      </c>
      <c r="T178" s="541" t="str">
        <f>A!R475</f>
        <v>x50</v>
      </c>
      <c r="U178" s="541"/>
      <c r="V178" s="541"/>
      <c r="W178" s="541"/>
      <c r="X178" s="541"/>
    </row>
    <row r="179" spans="1:24" ht="11.25" hidden="1" customHeight="1" x14ac:dyDescent="0.25">
      <c r="A179" s="121" t="str">
        <f>IF(S179=0,"",COUNTIF(A$23:A178,"&gt;0")+1)</f>
        <v/>
      </c>
      <c r="B179" s="342"/>
      <c r="C179" s="506" t="str">
        <f t="shared" ref="C179:C180" si="63">T179</f>
        <v>x100</v>
      </c>
      <c r="D179" s="507" t="str">
        <f>A!C464</f>
        <v>Bunched Elodea Canadensis</v>
      </c>
      <c r="E179" s="514"/>
      <c r="F179" s="514"/>
      <c r="G179" s="508" t="str">
        <f>A!N464</f>
        <v>canadian pondweed</v>
      </c>
      <c r="H179" s="509" t="str">
        <f>A!Q464</f>
        <v>bunch with lead</v>
      </c>
      <c r="I179" s="490">
        <f>A!M464</f>
        <v>1</v>
      </c>
      <c r="J179" s="510">
        <f>A!P464</f>
        <v>0</v>
      </c>
      <c r="K179" s="511">
        <f>IF(A!G464="y",1,0)</f>
        <v>0</v>
      </c>
      <c r="L179" s="511">
        <f>IF(A!H464="y",1,0)</f>
        <v>0</v>
      </c>
      <c r="M179" s="512" t="str">
        <f>IF(A!F464="y","NEW","")</f>
        <v/>
      </c>
      <c r="N179" s="513">
        <f>A!I464</f>
        <v>0</v>
      </c>
      <c r="O179" s="761" t="str">
        <f>A!O464</f>
        <v>3,4</v>
      </c>
      <c r="P179" s="541">
        <f>A!K464</f>
        <v>0</v>
      </c>
      <c r="Q179" s="541">
        <f>A!E464</f>
        <v>0</v>
      </c>
      <c r="R179" s="541" t="s">
        <v>572</v>
      </c>
      <c r="S179" s="541">
        <f t="shared" ref="S179:S180" si="64">B179</f>
        <v>0</v>
      </c>
      <c r="T179" s="541" t="str">
        <f>A!R464</f>
        <v>x100</v>
      </c>
      <c r="U179" s="541">
        <f>A!S464</f>
        <v>0</v>
      </c>
      <c r="V179" s="541">
        <f>A!T464</f>
        <v>0</v>
      </c>
      <c r="W179" s="541">
        <f t="shared" ref="W179" si="65">V179*B179</f>
        <v>0</v>
      </c>
      <c r="X179" s="541"/>
    </row>
    <row r="180" spans="1:24" ht="11.25" hidden="1" customHeight="1" x14ac:dyDescent="0.25">
      <c r="A180" s="121" t="str">
        <f>IF(S180=0,"",COUNTIF(A$23:A179,"&gt;0")+1)</f>
        <v/>
      </c>
      <c r="B180" s="75"/>
      <c r="C180" s="76" t="str">
        <f t="shared" si="63"/>
        <v>x100</v>
      </c>
      <c r="D180" s="98" t="str">
        <f>A!C465</f>
        <v>Bunched Fontinalis</v>
      </c>
      <c r="E180" s="78"/>
      <c r="F180" s="78"/>
      <c r="G180" s="99" t="str">
        <f>A!N465</f>
        <v>willow moss</v>
      </c>
      <c r="H180" s="89" t="str">
        <f>A!Q465</f>
        <v>bunch with lead</v>
      </c>
      <c r="I180" s="69">
        <f>A!M465</f>
        <v>1</v>
      </c>
      <c r="J180" s="202" t="str">
        <f>A!P465</f>
        <v>Yes</v>
      </c>
      <c r="K180" s="83">
        <f>IF(A!G465="y",1,0)</f>
        <v>0</v>
      </c>
      <c r="L180" s="83">
        <f>IF(A!H465="y",1,0)</f>
        <v>0</v>
      </c>
      <c r="M180" s="84" t="str">
        <f>IF(A!F465="y","NEW","")</f>
        <v/>
      </c>
      <c r="N180" s="85">
        <f>A!I465</f>
        <v>0</v>
      </c>
      <c r="O180" s="314" t="str">
        <f>A!O465</f>
        <v>3,4</v>
      </c>
      <c r="P180" s="541">
        <f>A!K465</f>
        <v>0</v>
      </c>
      <c r="Q180" s="541">
        <f>A!E465</f>
        <v>0</v>
      </c>
      <c r="R180" s="541" t="s">
        <v>572</v>
      </c>
      <c r="S180" s="541">
        <f t="shared" si="64"/>
        <v>0</v>
      </c>
      <c r="T180" s="541" t="str">
        <f>A!R465</f>
        <v>x100</v>
      </c>
      <c r="U180" s="541"/>
      <c r="V180" s="541"/>
      <c r="W180" s="541"/>
      <c r="X180" s="541"/>
    </row>
    <row r="181" spans="1:24" ht="11.25" hidden="1" customHeight="1" x14ac:dyDescent="0.25">
      <c r="A181" s="121" t="str">
        <f>IF(S181=0,"",COUNTIF(A$23:A180,"&gt;0")+1)</f>
        <v/>
      </c>
      <c r="B181" s="75"/>
      <c r="C181" s="76" t="str">
        <f t="shared" ref="C181" si="66">T181</f>
        <v>x100</v>
      </c>
      <c r="D181" s="98" t="str">
        <f>A!C466</f>
        <v>Bunched Hottonia palustris</v>
      </c>
      <c r="E181" s="78"/>
      <c r="F181" s="78"/>
      <c r="G181" s="99" t="str">
        <f>A!N466</f>
        <v>water violet</v>
      </c>
      <c r="H181" s="89" t="s">
        <v>1348</v>
      </c>
      <c r="I181" s="69">
        <f>A!M466</f>
        <v>1</v>
      </c>
      <c r="J181" s="202" t="str">
        <f>A!P466</f>
        <v>Yes</v>
      </c>
      <c r="K181" s="83">
        <f>IF(A!G466="y",1,0)</f>
        <v>0</v>
      </c>
      <c r="L181" s="83">
        <f>IF(A!H466="y",1,0)</f>
        <v>0</v>
      </c>
      <c r="M181" s="84" t="str">
        <f>IF(A!F466="y","NEW","")</f>
        <v/>
      </c>
      <c r="N181" s="85">
        <f>A!I466</f>
        <v>0</v>
      </c>
      <c r="O181" s="314" t="str">
        <f>A!O466</f>
        <v>3,4</v>
      </c>
      <c r="P181" s="541">
        <f>A!K466</f>
        <v>0</v>
      </c>
      <c r="Q181" s="541">
        <f>A!E466</f>
        <v>0</v>
      </c>
      <c r="R181" s="541" t="s">
        <v>572</v>
      </c>
      <c r="S181" s="541">
        <f t="shared" ref="S181" si="67">B181</f>
        <v>0</v>
      </c>
      <c r="T181" s="541" t="str">
        <f>A!R466</f>
        <v>x100</v>
      </c>
      <c r="U181" s="541"/>
      <c r="V181" s="541"/>
      <c r="W181" s="541"/>
      <c r="X181" s="541"/>
    </row>
    <row r="182" spans="1:24" ht="11.25" hidden="1" customHeight="1" x14ac:dyDescent="0.25">
      <c r="A182" s="121" t="str">
        <f>IF(S182=0,"",COUNTIF(A$23:A181,"&gt;0")+1)</f>
        <v/>
      </c>
      <c r="B182" s="118"/>
      <c r="C182" s="128" t="str">
        <f t="shared" ref="C182:C183" si="68">T182</f>
        <v>x100</v>
      </c>
      <c r="D182" s="119" t="str">
        <f>A!C468</f>
        <v>Bunched Potamogeton Crispus</v>
      </c>
      <c r="E182" s="113"/>
      <c r="F182" s="113"/>
      <c r="G182" s="197" t="str">
        <f>A!N468</f>
        <v>curly-leaf pondweed</v>
      </c>
      <c r="H182" s="129" t="str">
        <f>A!Q468</f>
        <v>bunch with lead</v>
      </c>
      <c r="I182" s="130">
        <f>A!M468</f>
        <v>1</v>
      </c>
      <c r="J182" s="203" t="str">
        <f>A!P468</f>
        <v>Yes</v>
      </c>
      <c r="K182" s="131">
        <f>IF(A!G468="y",1,0)</f>
        <v>0</v>
      </c>
      <c r="L182" s="131">
        <f>IF(A!H468="y",1,0)</f>
        <v>0</v>
      </c>
      <c r="M182" s="132" t="str">
        <f>IF(A!F468="y","NEW","")</f>
        <v/>
      </c>
      <c r="N182" s="133">
        <f>A!I468</f>
        <v>0</v>
      </c>
      <c r="O182" s="326" t="str">
        <f>A!O468</f>
        <v>3,4</v>
      </c>
      <c r="P182" s="541">
        <f>A!K468</f>
        <v>0</v>
      </c>
      <c r="Q182" s="541">
        <f>A!E468</f>
        <v>0</v>
      </c>
      <c r="R182" s="541" t="s">
        <v>572</v>
      </c>
      <c r="S182" s="541">
        <f t="shared" ref="S182:S183" si="69">B182</f>
        <v>0</v>
      </c>
      <c r="T182" s="541" t="str">
        <f>A!R468</f>
        <v>x100</v>
      </c>
      <c r="U182" s="541"/>
      <c r="V182" s="541"/>
      <c r="W182" s="541"/>
      <c r="X182" s="541"/>
    </row>
    <row r="183" spans="1:24" ht="11.25" hidden="1" customHeight="1" thickBot="1" x14ac:dyDescent="0.3">
      <c r="A183" s="121" t="str">
        <f>IF(S183=0,"",COUNTIF(A$23:A182,"&gt;0")+1)</f>
        <v/>
      </c>
      <c r="B183" s="341"/>
      <c r="C183" s="315" t="str">
        <f t="shared" si="68"/>
        <v>x100</v>
      </c>
      <c r="D183" s="316" t="str">
        <f>A!C469</f>
        <v>Bunched Ranunculus Aquatilis</v>
      </c>
      <c r="E183" s="317"/>
      <c r="F183" s="317"/>
      <c r="G183" s="318" t="str">
        <f>A!N469</f>
        <v>water crowfoot</v>
      </c>
      <c r="H183" s="319" t="str">
        <f>A!Q469</f>
        <v>bunch with lead</v>
      </c>
      <c r="I183" s="320">
        <f>A!M469</f>
        <v>1</v>
      </c>
      <c r="J183" s="321" t="str">
        <f>A!P469</f>
        <v>Yes</v>
      </c>
      <c r="K183" s="322">
        <f>IF(A!G469="y",1,0)</f>
        <v>0</v>
      </c>
      <c r="L183" s="322">
        <f>IF(A!H469="y",1,0)</f>
        <v>0</v>
      </c>
      <c r="M183" s="323" t="str">
        <f>IF(A!F469="y","NEW","")</f>
        <v/>
      </c>
      <c r="N183" s="324">
        <f>A!I469</f>
        <v>0</v>
      </c>
      <c r="O183" s="325" t="str">
        <f>A!O469</f>
        <v>3,4</v>
      </c>
      <c r="P183" s="541">
        <f>A!K469</f>
        <v>0</v>
      </c>
      <c r="Q183" s="541">
        <f>A!E469</f>
        <v>0</v>
      </c>
      <c r="R183" s="541" t="s">
        <v>572</v>
      </c>
      <c r="S183" s="541">
        <f t="shared" si="69"/>
        <v>0</v>
      </c>
      <c r="T183" s="541" t="str">
        <f>A!R469</f>
        <v>x100</v>
      </c>
      <c r="U183" s="541"/>
      <c r="V183" s="541"/>
      <c r="W183" s="541"/>
      <c r="X183" s="541"/>
    </row>
    <row r="184" spans="1:24" ht="11.25" customHeight="1" x14ac:dyDescent="0.25">
      <c r="A184" s="121" t="str">
        <f>IF(S184=0,"",COUNTIF(A$23:A183,"&gt;0")+1)</f>
        <v/>
      </c>
      <c r="B184" s="92">
        <f>B175*100+B176*100+B177*50+B178*50</f>
        <v>0</v>
      </c>
      <c r="C184" s="279"/>
      <c r="D184" s="1136" t="s">
        <v>1453</v>
      </c>
      <c r="E184" s="1136"/>
      <c r="F184" s="1136"/>
      <c r="G184" s="1136"/>
      <c r="H184" s="1136"/>
      <c r="I184" s="1136"/>
      <c r="J184" s="1136"/>
      <c r="K184" s="1136"/>
      <c r="L184" s="1136"/>
      <c r="M184" s="1136"/>
      <c r="N184" s="1136"/>
      <c r="O184" s="1136"/>
      <c r="P184" s="541"/>
      <c r="Q184" s="541"/>
      <c r="R184" s="541" t="s">
        <v>572</v>
      </c>
      <c r="S184" s="541">
        <f>B184</f>
        <v>0</v>
      </c>
      <c r="T184" s="541" t="s">
        <v>548</v>
      </c>
      <c r="U184" s="541"/>
      <c r="V184" s="541"/>
      <c r="W184" s="541"/>
      <c r="X184" s="541"/>
    </row>
    <row r="185" spans="1:24" ht="5.25" customHeight="1" thickBot="1" x14ac:dyDescent="0.3">
      <c r="A185" s="121" t="str">
        <f>IF(S185=0,"",COUNTIF(A$23:A184,"&gt;0")+1)</f>
        <v/>
      </c>
      <c r="P185" s="541"/>
      <c r="Q185" s="541"/>
      <c r="R185" s="541"/>
      <c r="S185" s="541"/>
      <c r="T185" s="541"/>
      <c r="U185" s="541"/>
      <c r="V185" s="541"/>
      <c r="W185" s="541"/>
      <c r="X185" s="541"/>
    </row>
    <row r="186" spans="1:24" ht="9" customHeight="1" x14ac:dyDescent="0.25">
      <c r="A186" s="121" t="str">
        <f>IF(S186=0,"",COUNTIF(A$23:A185,"&gt;0")+1)</f>
        <v/>
      </c>
      <c r="B186" s="947" t="s">
        <v>115</v>
      </c>
      <c r="C186" s="948"/>
      <c r="D186" s="973" t="s">
        <v>1069</v>
      </c>
      <c r="E186" s="974"/>
      <c r="F186" s="974"/>
      <c r="G186" s="974"/>
      <c r="H186" s="1037" t="s">
        <v>1179</v>
      </c>
      <c r="I186" s="949" t="s">
        <v>1248</v>
      </c>
      <c r="J186" s="949"/>
      <c r="K186" s="949"/>
      <c r="L186" s="949"/>
      <c r="M186" s="949"/>
      <c r="N186" s="949"/>
      <c r="O186" s="950"/>
      <c r="P186" s="541"/>
      <c r="Q186" s="541"/>
      <c r="R186" s="541"/>
      <c r="S186" s="541"/>
      <c r="T186" s="541"/>
      <c r="U186" s="541"/>
      <c r="V186" s="541"/>
      <c r="W186" s="541"/>
      <c r="X186" s="541"/>
    </row>
    <row r="187" spans="1:24" ht="9.75" customHeight="1" thickBot="1" x14ac:dyDescent="0.3">
      <c r="A187" s="121" t="str">
        <f>IF(S187=0,"",COUNTIF(A$23:A186,"&gt;0")+1)</f>
        <v/>
      </c>
      <c r="B187" s="1134" t="s">
        <v>766</v>
      </c>
      <c r="C187" s="1135"/>
      <c r="D187" s="975"/>
      <c r="E187" s="976"/>
      <c r="F187" s="976"/>
      <c r="G187" s="976"/>
      <c r="H187" s="1038"/>
      <c r="I187" s="327" t="s">
        <v>114</v>
      </c>
      <c r="J187" s="328"/>
      <c r="K187" s="329"/>
      <c r="L187" s="329"/>
      <c r="M187" s="327"/>
      <c r="N187" s="329"/>
      <c r="O187" s="330" t="s">
        <v>41</v>
      </c>
      <c r="P187" s="541"/>
      <c r="Q187" s="540" t="s">
        <v>113</v>
      </c>
      <c r="R187" s="541"/>
      <c r="S187" s="541"/>
      <c r="T187" s="541"/>
      <c r="U187" s="541"/>
      <c r="V187" s="541"/>
      <c r="W187" s="541"/>
      <c r="X187" s="541"/>
    </row>
    <row r="188" spans="1:24" ht="12" customHeight="1" x14ac:dyDescent="0.25">
      <c r="A188" s="121" t="str">
        <f>IF(S188=0,"",COUNTIF(A$23:A187,"&gt;0")+1)</f>
        <v/>
      </c>
      <c r="B188" s="779"/>
      <c r="C188" s="769" t="str">
        <f t="shared" ref="C188:C201" si="70">T188</f>
        <v>x10</v>
      </c>
      <c r="D188" s="770" t="str">
        <f>A!C483</f>
        <v>Assorted Oxygenators</v>
      </c>
      <c r="E188" s="771"/>
      <c r="F188" s="771"/>
      <c r="G188" s="772" t="str">
        <f>A!N483</f>
        <v>our best selection</v>
      </c>
      <c r="H188" s="773" t="str">
        <f>A!Q483</f>
        <v>take the worry out of ordering, best plants available</v>
      </c>
      <c r="I188" s="780">
        <v>4</v>
      </c>
      <c r="J188" s="774"/>
      <c r="K188" s="781"/>
      <c r="L188" s="781"/>
      <c r="M188" s="782"/>
      <c r="N188" s="783"/>
      <c r="O188" s="775" t="str">
        <f>A!O483</f>
        <v>2,3</v>
      </c>
      <c r="P188" s="541" t="str">
        <f>A!K483</f>
        <v>S</v>
      </c>
      <c r="Q188" s="541" t="str">
        <f>A!E483</f>
        <v>y</v>
      </c>
      <c r="R188" s="541" t="s">
        <v>208</v>
      </c>
      <c r="S188" s="541">
        <f t="shared" ref="S188:S203" si="71">B188</f>
        <v>0</v>
      </c>
      <c r="T188" s="541" t="str">
        <f>A!R483</f>
        <v>x10</v>
      </c>
      <c r="U188" s="541">
        <f>A!S483</f>
        <v>25</v>
      </c>
      <c r="V188" s="541">
        <f>A!T483</f>
        <v>0.2</v>
      </c>
      <c r="W188" s="541">
        <f t="shared" ref="W188:W202" si="72">V188*B188</f>
        <v>0</v>
      </c>
      <c r="X188" s="541"/>
    </row>
    <row r="189" spans="1:24" ht="11.25" hidden="1" customHeight="1" x14ac:dyDescent="0.25">
      <c r="A189" s="121" t="str">
        <f>IF(S189=0,"",COUNTIF(A$23:A188,"&gt;0")+1)</f>
        <v/>
      </c>
      <c r="B189" s="313"/>
      <c r="C189" s="76" t="str">
        <f t="shared" si="70"/>
        <v>x10</v>
      </c>
      <c r="D189" s="98" t="str">
        <f>A!C484</f>
        <v>Anagallis Tenella</v>
      </c>
      <c r="E189" s="78"/>
      <c r="F189" s="78"/>
      <c r="G189" s="99" t="str">
        <f>A!N484</f>
        <v>pink pimpernel</v>
      </c>
      <c r="H189" s="89">
        <f>A!Q484</f>
        <v>0</v>
      </c>
      <c r="I189" s="69">
        <f>A!M484</f>
        <v>2</v>
      </c>
      <c r="J189" s="202" t="str">
        <f>A!P484</f>
        <v>Yes</v>
      </c>
      <c r="K189" s="83">
        <f>IF(A!G484="y",1,0)</f>
        <v>0</v>
      </c>
      <c r="L189" s="83">
        <f>IF(A!H484="y",1,0)</f>
        <v>0</v>
      </c>
      <c r="M189" s="84" t="str">
        <f>IF(A!F484="y","NEW","")</f>
        <v/>
      </c>
      <c r="N189" s="85">
        <f>A!I484</f>
        <v>0</v>
      </c>
      <c r="O189" s="314" t="str">
        <f>A!O484</f>
        <v>2,3</v>
      </c>
      <c r="P189" s="541" t="str">
        <f>A!K484</f>
        <v>s</v>
      </c>
      <c r="Q189" s="541">
        <f>A!E484</f>
        <v>0</v>
      </c>
      <c r="R189" s="541" t="s">
        <v>208</v>
      </c>
      <c r="S189" s="541">
        <f t="shared" ref="S189" si="73">B189</f>
        <v>0</v>
      </c>
      <c r="T189" s="541" t="str">
        <f>A!R484</f>
        <v>x10</v>
      </c>
      <c r="U189" s="541">
        <f>A!S484</f>
        <v>25</v>
      </c>
      <c r="V189" s="541">
        <f>A!T484</f>
        <v>0.2</v>
      </c>
      <c r="W189" s="541">
        <f t="shared" si="72"/>
        <v>0</v>
      </c>
      <c r="X189" s="541"/>
    </row>
    <row r="190" spans="1:24" ht="11.25" hidden="1" customHeight="1" x14ac:dyDescent="0.25">
      <c r="A190" s="121" t="str">
        <f>IF(S190=0,"",COUNTIF(A$23:A189,"&gt;0")+1)</f>
        <v/>
      </c>
      <c r="B190" s="313"/>
      <c r="C190" s="76" t="str">
        <f t="shared" si="70"/>
        <v>x10</v>
      </c>
      <c r="D190" s="98" t="str">
        <f>A!C485</f>
        <v>Callitriche</v>
      </c>
      <c r="E190" s="78"/>
      <c r="F190" s="78"/>
      <c r="G190" s="99" t="str">
        <f>A!N485</f>
        <v>starwort</v>
      </c>
      <c r="H190" s="89" t="str">
        <f>A!Q485</f>
        <v>suited to deeper ponds, native and noninvasive</v>
      </c>
      <c r="I190" s="69">
        <f>A!M485</f>
        <v>2</v>
      </c>
      <c r="J190" s="202">
        <f>A!P485</f>
        <v>0</v>
      </c>
      <c r="K190" s="83">
        <f>IF(A!G485="y",1,0)</f>
        <v>0</v>
      </c>
      <c r="L190" s="83">
        <f>IF(A!H485="y",1,0)</f>
        <v>0</v>
      </c>
      <c r="M190" s="84" t="str">
        <f>IF(A!F485="y","NEW","")</f>
        <v/>
      </c>
      <c r="N190" s="85">
        <f>A!I485</f>
        <v>0</v>
      </c>
      <c r="O190" s="314" t="str">
        <f>A!O485</f>
        <v>2,3</v>
      </c>
      <c r="P190" s="541" t="str">
        <f>A!K485</f>
        <v>s</v>
      </c>
      <c r="Q190" s="541">
        <f>A!E485</f>
        <v>0</v>
      </c>
      <c r="R190" s="541" t="s">
        <v>208</v>
      </c>
      <c r="S190" s="541">
        <f t="shared" si="71"/>
        <v>0</v>
      </c>
      <c r="T190" s="541" t="str">
        <f>A!R485</f>
        <v>x10</v>
      </c>
      <c r="U190" s="541">
        <f>A!S485</f>
        <v>25</v>
      </c>
      <c r="V190" s="541">
        <f>A!T485</f>
        <v>0.2</v>
      </c>
      <c r="W190" s="541">
        <f t="shared" si="72"/>
        <v>0</v>
      </c>
      <c r="X190" s="541"/>
    </row>
    <row r="191" spans="1:24" ht="11.25" hidden="1" customHeight="1" x14ac:dyDescent="0.25">
      <c r="A191" s="121" t="str">
        <f>IF(S191=0,"",COUNTIF(A$23:A190,"&gt;0")+1)</f>
        <v/>
      </c>
      <c r="B191" s="313"/>
      <c r="C191" s="76" t="str">
        <f t="shared" si="70"/>
        <v>x10</v>
      </c>
      <c r="D191" s="98" t="str">
        <f>A!C486</f>
        <v>Eleocharis Acicularis</v>
      </c>
      <c r="E191" s="78"/>
      <c r="F191" s="78"/>
      <c r="G191" s="99" t="str">
        <f>A!N486</f>
        <v>hairgrass</v>
      </c>
      <c r="H191" s="89" t="str">
        <f>A!Q486</f>
        <v>tiny grass, ideal oxy. For the margins</v>
      </c>
      <c r="I191" s="69">
        <f>A!M486</f>
        <v>2</v>
      </c>
      <c r="J191" s="202" t="str">
        <f>A!P486</f>
        <v>Yes</v>
      </c>
      <c r="K191" s="83">
        <f>IF(A!G486="y",1,0)</f>
        <v>0</v>
      </c>
      <c r="L191" s="83">
        <f>IF(A!H486="y",1,0)</f>
        <v>0</v>
      </c>
      <c r="M191" s="84" t="str">
        <f>IF(A!F486="y","NEW","")</f>
        <v/>
      </c>
      <c r="N191" s="85">
        <f>A!I486</f>
        <v>0</v>
      </c>
      <c r="O191" s="314" t="str">
        <f>A!O486</f>
        <v>2,3</v>
      </c>
      <c r="P191" s="541" t="str">
        <f>A!K486</f>
        <v>S</v>
      </c>
      <c r="Q191" s="541">
        <f>A!E486</f>
        <v>0</v>
      </c>
      <c r="R191" s="541" t="s">
        <v>208</v>
      </c>
      <c r="S191" s="541">
        <f t="shared" si="71"/>
        <v>0</v>
      </c>
      <c r="T191" s="541" t="str">
        <f>A!R486</f>
        <v>x10</v>
      </c>
      <c r="U191" s="541">
        <f>A!S486</f>
        <v>25</v>
      </c>
      <c r="V191" s="541">
        <f>A!T486</f>
        <v>0.2</v>
      </c>
      <c r="W191" s="541">
        <f t="shared" si="72"/>
        <v>0</v>
      </c>
      <c r="X191" s="541"/>
    </row>
    <row r="192" spans="1:24" ht="12" customHeight="1" thickBot="1" x14ac:dyDescent="0.3">
      <c r="A192" s="121" t="str">
        <f>IF(S192=0,"",COUNTIF(A$23:A191,"&gt;0")+1)</f>
        <v/>
      </c>
      <c r="B192" s="313"/>
      <c r="C192" s="76" t="str">
        <f t="shared" si="70"/>
        <v>x10</v>
      </c>
      <c r="D192" s="98" t="str">
        <f>A!C487</f>
        <v>Hippuris vulgaris</v>
      </c>
      <c r="E192" s="78"/>
      <c r="F192" s="78"/>
      <c r="G192" s="99" t="str">
        <f>A!N487</f>
        <v>marestail</v>
      </c>
      <c r="H192" s="89" t="str">
        <f>A!Q487</f>
        <v>a real tough plant, now a 1st choice oxy</v>
      </c>
      <c r="I192" s="69">
        <f>A!M487</f>
        <v>1</v>
      </c>
      <c r="J192" s="202" t="str">
        <f>A!P487</f>
        <v>Yes</v>
      </c>
      <c r="K192" s="83">
        <f>IF(A!G487="y",1,0)</f>
        <v>1</v>
      </c>
      <c r="L192" s="83">
        <f>IF(A!H487="y",1,0)</f>
        <v>1</v>
      </c>
      <c r="M192" s="84" t="str">
        <f>IF(A!F487="y","NEW","")</f>
        <v/>
      </c>
      <c r="N192" s="85">
        <f>A!I487</f>
        <v>0</v>
      </c>
      <c r="O192" s="314" t="str">
        <f>A!O487</f>
        <v>2,3</v>
      </c>
      <c r="P192" s="541" t="str">
        <f>A!K487</f>
        <v>M</v>
      </c>
      <c r="Q192" s="541" t="str">
        <f>A!E487</f>
        <v>y</v>
      </c>
      <c r="R192" s="541" t="s">
        <v>208</v>
      </c>
      <c r="S192" s="541">
        <f t="shared" si="71"/>
        <v>0</v>
      </c>
      <c r="T192" s="541" t="str">
        <f>A!R487</f>
        <v>x10</v>
      </c>
      <c r="U192" s="541">
        <f>A!S487</f>
        <v>25</v>
      </c>
      <c r="V192" s="541">
        <f>A!T487</f>
        <v>0.2</v>
      </c>
      <c r="W192" s="541">
        <f t="shared" si="72"/>
        <v>0</v>
      </c>
      <c r="X192" s="541"/>
    </row>
    <row r="193" spans="1:24" ht="11.25" hidden="1" customHeight="1" x14ac:dyDescent="0.25">
      <c r="A193" s="121" t="str">
        <f>IF(S193=0,"",COUNTIF(A$23:A192,"&gt;0")+1)</f>
        <v/>
      </c>
      <c r="B193" s="313"/>
      <c r="C193" s="76" t="str">
        <f t="shared" si="70"/>
        <v>x10</v>
      </c>
      <c r="D193" s="98" t="str">
        <f>A!C488</f>
        <v>Hottonia palustris</v>
      </c>
      <c r="E193" s="78"/>
      <c r="F193" s="78"/>
      <c r="G193" s="99" t="str">
        <f>A!N488</f>
        <v>water violet</v>
      </c>
      <c r="H193" s="87" t="str">
        <f>A!Q488</f>
        <v>soft lilac-pink flowers throughout summer</v>
      </c>
      <c r="I193" s="69">
        <f>A!M488</f>
        <v>1</v>
      </c>
      <c r="J193" s="202" t="str">
        <f>A!P488</f>
        <v>Yes</v>
      </c>
      <c r="K193" s="83">
        <f>IF(A!G488="y",1,0)</f>
        <v>0</v>
      </c>
      <c r="L193" s="83">
        <f>IF(A!H488="y",1,0)</f>
        <v>0</v>
      </c>
      <c r="M193" s="84" t="str">
        <f>IF(A!F488="y","NEW","")</f>
        <v/>
      </c>
      <c r="N193" s="85">
        <f>A!I488</f>
        <v>0</v>
      </c>
      <c r="O193" s="314" t="str">
        <f>A!O488</f>
        <v>2,3</v>
      </c>
      <c r="P193" s="541" t="str">
        <f>A!K488</f>
        <v>s</v>
      </c>
      <c r="Q193" s="541">
        <f>A!E488</f>
        <v>0</v>
      </c>
      <c r="R193" s="541" t="s">
        <v>208</v>
      </c>
      <c r="S193" s="541">
        <f t="shared" si="71"/>
        <v>0</v>
      </c>
      <c r="T193" s="541" t="str">
        <f>A!R488</f>
        <v>x10</v>
      </c>
      <c r="U193" s="541">
        <f>A!S488</f>
        <v>25</v>
      </c>
      <c r="V193" s="541">
        <f>A!T488</f>
        <v>0.2</v>
      </c>
      <c r="W193" s="541">
        <f t="shared" si="72"/>
        <v>0</v>
      </c>
      <c r="X193" s="541"/>
    </row>
    <row r="194" spans="1:24" ht="11.25" hidden="1" customHeight="1" x14ac:dyDescent="0.25">
      <c r="A194" s="121" t="str">
        <f>IF(S194=0,"",COUNTIF(A$23:A193,"&gt;0")+1)</f>
        <v/>
      </c>
      <c r="B194" s="313"/>
      <c r="C194" s="76" t="str">
        <f t="shared" si="70"/>
        <v>x10</v>
      </c>
      <c r="D194" s="98" t="str">
        <f>A!C489</f>
        <v>Hydrocotyle var.</v>
      </c>
      <c r="E194" s="78"/>
      <c r="F194" s="78"/>
      <c r="G194" s="99" t="str">
        <f>A!N489</f>
        <v>variegated pennywort</v>
      </c>
      <c r="H194" s="89" t="str">
        <f>A!Q489</f>
        <v>dainty green foliage with cream edges</v>
      </c>
      <c r="I194" s="69">
        <f>A!M489</f>
        <v>2</v>
      </c>
      <c r="J194" s="202">
        <f>A!P489</f>
        <v>0</v>
      </c>
      <c r="K194" s="83">
        <f>IF(A!G489="y",1,0)</f>
        <v>0</v>
      </c>
      <c r="L194" s="83">
        <f>IF(A!H489="y",1,0)</f>
        <v>0</v>
      </c>
      <c r="M194" s="84" t="str">
        <f>IF(A!F489="y","NEW","")</f>
        <v/>
      </c>
      <c r="N194" s="85">
        <f>A!I489</f>
        <v>0</v>
      </c>
      <c r="O194" s="314" t="str">
        <f>A!O489</f>
        <v>2,3</v>
      </c>
      <c r="P194" s="541" t="str">
        <f>A!K489</f>
        <v>S</v>
      </c>
      <c r="Q194" s="541">
        <f>A!E489</f>
        <v>0</v>
      </c>
      <c r="R194" s="541" t="s">
        <v>208</v>
      </c>
      <c r="S194" s="541">
        <f t="shared" si="71"/>
        <v>0</v>
      </c>
      <c r="T194" s="541" t="str">
        <f>A!R489</f>
        <v>x10</v>
      </c>
      <c r="U194" s="541">
        <f>A!S489</f>
        <v>25</v>
      </c>
      <c r="V194" s="541">
        <f>A!T489</f>
        <v>0.2</v>
      </c>
      <c r="W194" s="541">
        <f t="shared" si="72"/>
        <v>0</v>
      </c>
      <c r="X194" s="541"/>
    </row>
    <row r="195" spans="1:24" ht="11.25" hidden="1" customHeight="1" x14ac:dyDescent="0.25">
      <c r="A195" s="121" t="str">
        <f>IF(S195=0,"",COUNTIF(A$23:A194,"&gt;0")+1)</f>
        <v/>
      </c>
      <c r="B195" s="313"/>
      <c r="C195" s="76" t="str">
        <f t="shared" si="70"/>
        <v>x10</v>
      </c>
      <c r="D195" s="98" t="str">
        <f>A!C490</f>
        <v>Hydrocotyle Vulgaris</v>
      </c>
      <c r="E195" s="78"/>
      <c r="F195" s="78"/>
      <c r="G195" s="99" t="str">
        <f>A!N490</f>
        <v>marsh pennywort</v>
      </c>
      <c r="H195" s="89" t="str">
        <f>A!Q490</f>
        <v>dainty circular green foliage</v>
      </c>
      <c r="I195" s="69">
        <f>A!M490</f>
        <v>2</v>
      </c>
      <c r="J195" s="202">
        <f>A!P490</f>
        <v>0</v>
      </c>
      <c r="K195" s="83">
        <f>IF(A!G490="y",1,0)</f>
        <v>0</v>
      </c>
      <c r="L195" s="83">
        <f>IF(A!H490="y",1,0)</f>
        <v>0</v>
      </c>
      <c r="M195" s="84" t="str">
        <f>IF(A!F490="y","NEW","")</f>
        <v/>
      </c>
      <c r="N195" s="85">
        <f>A!I490</f>
        <v>0</v>
      </c>
      <c r="O195" s="314" t="str">
        <f>A!O490</f>
        <v>2,3</v>
      </c>
      <c r="P195" s="541">
        <f>A!K490</f>
        <v>0</v>
      </c>
      <c r="Q195" s="541">
        <f>A!E490</f>
        <v>0</v>
      </c>
      <c r="R195" s="541" t="s">
        <v>208</v>
      </c>
      <c r="S195" s="541">
        <f t="shared" si="71"/>
        <v>0</v>
      </c>
      <c r="T195" s="541" t="str">
        <f>A!R490</f>
        <v>x10</v>
      </c>
      <c r="U195" s="541">
        <f>A!S490</f>
        <v>25</v>
      </c>
      <c r="V195" s="541">
        <f>A!T490</f>
        <v>0.2</v>
      </c>
      <c r="W195" s="541">
        <f t="shared" si="72"/>
        <v>0</v>
      </c>
      <c r="X195" s="541"/>
    </row>
    <row r="196" spans="1:24" ht="11.25" hidden="1" customHeight="1" x14ac:dyDescent="0.25">
      <c r="A196" s="121" t="str">
        <f>IF(S196=0,"",COUNTIF(A$23:A195,"&gt;0")+1)</f>
        <v/>
      </c>
      <c r="B196" s="313"/>
      <c r="C196" s="76" t="str">
        <f t="shared" si="70"/>
        <v>x10</v>
      </c>
      <c r="D196" s="98" t="str">
        <f>A!C491</f>
        <v xml:space="preserve">Myriophyllum brasiliensis     </v>
      </c>
      <c r="E196" s="78"/>
      <c r="F196" s="78"/>
      <c r="G196" s="99" t="str">
        <f>A!N491</f>
        <v>red stemmed p. feather</v>
      </c>
      <c r="H196" s="89" t="str">
        <f>A!Q491</f>
        <v>attractive red stems, green foliage</v>
      </c>
      <c r="I196" s="69">
        <f>A!M491</f>
        <v>1</v>
      </c>
      <c r="J196" s="202">
        <f>A!P491</f>
        <v>0</v>
      </c>
      <c r="K196" s="83">
        <f>IF(A!G491="y",1,0)</f>
        <v>0</v>
      </c>
      <c r="L196" s="83">
        <f>IF(A!H491="y",1,0)</f>
        <v>0</v>
      </c>
      <c r="M196" s="84" t="str">
        <f>IF(A!F491="y","NEW","")</f>
        <v/>
      </c>
      <c r="N196" s="85">
        <f>A!I491</f>
        <v>0</v>
      </c>
      <c r="O196" s="314" t="str">
        <f>A!O491</f>
        <v>2,3</v>
      </c>
      <c r="P196" s="541" t="str">
        <f>A!K491</f>
        <v>S</v>
      </c>
      <c r="Q196" s="541">
        <f>A!E491</f>
        <v>0</v>
      </c>
      <c r="R196" s="541" t="s">
        <v>208</v>
      </c>
      <c r="S196" s="541">
        <f t="shared" si="71"/>
        <v>0</v>
      </c>
      <c r="T196" s="541" t="str">
        <f>A!R491</f>
        <v>x10</v>
      </c>
      <c r="U196" s="541">
        <f>A!S491</f>
        <v>25</v>
      </c>
      <c r="V196" s="541">
        <f>A!T491</f>
        <v>0.2</v>
      </c>
      <c r="W196" s="541">
        <f t="shared" si="72"/>
        <v>0</v>
      </c>
      <c r="X196" s="541"/>
    </row>
    <row r="197" spans="1:24" ht="11.25" hidden="1" customHeight="1" x14ac:dyDescent="0.25">
      <c r="A197" s="121" t="str">
        <f>IF(S197=0,"",COUNTIF(A$23:A196,"&gt;0")+1)</f>
        <v/>
      </c>
      <c r="B197" s="313"/>
      <c r="C197" s="76" t="str">
        <f t="shared" si="70"/>
        <v>x10</v>
      </c>
      <c r="D197" s="98" t="str">
        <f>A!C492</f>
        <v>Myriophyllum crispatum</v>
      </c>
      <c r="E197" s="78"/>
      <c r="F197" s="78"/>
      <c r="G197" s="99" t="str">
        <f>A!N492</f>
        <v>spiked milfoil</v>
      </c>
      <c r="H197" s="89" t="str">
        <f>A!Q492</f>
        <v>olive green, feather-like foliage</v>
      </c>
      <c r="I197" s="69">
        <f>A!M492</f>
        <v>2</v>
      </c>
      <c r="J197" s="202" t="str">
        <f>A!P492</f>
        <v>Yes</v>
      </c>
      <c r="K197" s="83">
        <f>IF(A!G492="y",1,0)</f>
        <v>0</v>
      </c>
      <c r="L197" s="83">
        <f>IF(A!H492="y",1,0)</f>
        <v>0</v>
      </c>
      <c r="M197" s="84" t="str">
        <f>IF(A!F492="y","NEW","")</f>
        <v/>
      </c>
      <c r="N197" s="85">
        <f>A!I492</f>
        <v>0</v>
      </c>
      <c r="O197" s="314" t="str">
        <f>A!O492</f>
        <v>2,3</v>
      </c>
      <c r="P197" s="541" t="str">
        <f>A!K492</f>
        <v>S</v>
      </c>
      <c r="Q197" s="541">
        <f>A!E492</f>
        <v>0</v>
      </c>
      <c r="R197" s="541" t="s">
        <v>208</v>
      </c>
      <c r="S197" s="541">
        <f t="shared" si="71"/>
        <v>0</v>
      </c>
      <c r="T197" s="541" t="str">
        <f>A!R492</f>
        <v>x10</v>
      </c>
      <c r="U197" s="541">
        <f>A!S492</f>
        <v>25</v>
      </c>
      <c r="V197" s="541">
        <f>A!T492</f>
        <v>0.2</v>
      </c>
      <c r="W197" s="541">
        <f t="shared" si="72"/>
        <v>0</v>
      </c>
      <c r="X197" s="541"/>
    </row>
    <row r="198" spans="1:24" ht="11.25" hidden="1" customHeight="1" x14ac:dyDescent="0.25">
      <c r="A198" s="121" t="str">
        <f>IF(S198=0,"",COUNTIF(A$23:A197,"&gt;0")+1)</f>
        <v/>
      </c>
      <c r="B198" s="313"/>
      <c r="C198" s="76" t="str">
        <f t="shared" si="70"/>
        <v>x10</v>
      </c>
      <c r="D198" s="98" t="str">
        <f>A!C493</f>
        <v>Myriophyllum Propium</v>
      </c>
      <c r="E198" s="78"/>
      <c r="F198" s="78"/>
      <c r="G198" s="99" t="str">
        <f>A!N493</f>
        <v>Spiked Water Milfoil</v>
      </c>
      <c r="H198" s="89" t="str">
        <f>A!Q493</f>
        <v>attractive spikey appearance with tiny red flowers</v>
      </c>
      <c r="I198" s="69">
        <f>A!M493</f>
        <v>2</v>
      </c>
      <c r="J198" s="202">
        <f>A!P493</f>
        <v>0</v>
      </c>
      <c r="K198" s="83">
        <f>IF(A!G493="y",1,0)</f>
        <v>0</v>
      </c>
      <c r="L198" s="83">
        <f>IF(A!H493="y",1,0)</f>
        <v>0</v>
      </c>
      <c r="M198" s="84" t="str">
        <f>IF(A!F493="y","NEW","")</f>
        <v/>
      </c>
      <c r="N198" s="85">
        <f>A!I493</f>
        <v>0</v>
      </c>
      <c r="O198" s="314" t="str">
        <f>A!O493</f>
        <v>2,4</v>
      </c>
      <c r="P198" s="541" t="str">
        <f>A!K493</f>
        <v>S</v>
      </c>
      <c r="Q198" s="541">
        <f>A!E493</f>
        <v>0</v>
      </c>
      <c r="R198" s="541" t="s">
        <v>208</v>
      </c>
      <c r="S198" s="541">
        <f t="shared" ref="S198" si="74">B198</f>
        <v>0</v>
      </c>
      <c r="T198" s="541" t="str">
        <f>A!R493</f>
        <v>x10</v>
      </c>
      <c r="U198" s="541">
        <f>A!S493</f>
        <v>25</v>
      </c>
      <c r="V198" s="541">
        <f>A!T493</f>
        <v>0.2</v>
      </c>
      <c r="W198" s="541">
        <f t="shared" si="72"/>
        <v>0</v>
      </c>
      <c r="X198" s="541"/>
    </row>
    <row r="199" spans="1:24" ht="11.25" hidden="1" customHeight="1" x14ac:dyDescent="0.25">
      <c r="A199" s="121" t="str">
        <f>IF(S199=0,"",COUNTIF(A$23:A198,"&gt;0")+1)</f>
        <v/>
      </c>
      <c r="B199" s="313"/>
      <c r="C199" s="76" t="str">
        <f t="shared" si="70"/>
        <v>x10</v>
      </c>
      <c r="D199" s="98" t="str">
        <f>A!C494</f>
        <v>Pilularia globulifera</v>
      </c>
      <c r="E199" s="78"/>
      <c r="F199" s="78"/>
      <c r="G199" s="99" t="str">
        <f>A!N494</f>
        <v>pillwort</v>
      </c>
      <c r="H199" s="89" t="str">
        <f>A!Q494</f>
        <v>endangered native species of fern</v>
      </c>
      <c r="I199" s="69">
        <f>A!M494</f>
        <v>2</v>
      </c>
      <c r="J199" s="202" t="str">
        <f>A!P494</f>
        <v>Yes</v>
      </c>
      <c r="K199" s="83">
        <f>IF(A!G494="y",1,0)</f>
        <v>0</v>
      </c>
      <c r="L199" s="83">
        <f>IF(A!H494="y",1,0)</f>
        <v>0</v>
      </c>
      <c r="M199" s="84" t="str">
        <f>IF(A!F494="y","NEW","")</f>
        <v/>
      </c>
      <c r="N199" s="85">
        <f>A!I494</f>
        <v>0</v>
      </c>
      <c r="O199" s="314" t="str">
        <f>A!O494</f>
        <v>2,3</v>
      </c>
      <c r="P199" s="541" t="str">
        <f>A!K494</f>
        <v>S</v>
      </c>
      <c r="Q199" s="541">
        <f>A!E494</f>
        <v>0</v>
      </c>
      <c r="R199" s="541" t="s">
        <v>208</v>
      </c>
      <c r="S199" s="541">
        <f t="shared" si="71"/>
        <v>0</v>
      </c>
      <c r="T199" s="541" t="str">
        <f>A!R494</f>
        <v>x10</v>
      </c>
      <c r="U199" s="541">
        <f>A!S494</f>
        <v>25</v>
      </c>
      <c r="V199" s="541">
        <f>A!T494</f>
        <v>0.2</v>
      </c>
      <c r="W199" s="541">
        <f t="shared" si="72"/>
        <v>0</v>
      </c>
      <c r="X199" s="541"/>
    </row>
    <row r="200" spans="1:24" ht="11.25" hidden="1" customHeight="1" x14ac:dyDescent="0.25">
      <c r="A200" s="121" t="str">
        <f>IF(S200=0,"",COUNTIF(A$23:A199,"&gt;0")+1)</f>
        <v/>
      </c>
      <c r="B200" s="313"/>
      <c r="C200" s="76" t="str">
        <f t="shared" si="70"/>
        <v>x10</v>
      </c>
      <c r="D200" s="98" t="str">
        <f>A!C495</f>
        <v>Ranunculus Aquatilis</v>
      </c>
      <c r="E200" s="78"/>
      <c r="F200" s="78"/>
      <c r="G200" s="99" t="str">
        <f>A!N495</f>
        <v>water crowfoot</v>
      </c>
      <c r="H200" s="89" t="str">
        <f>A!Q495</f>
        <v>one of the few oxygenating to flower</v>
      </c>
      <c r="I200" s="69">
        <f>A!M495</f>
        <v>1</v>
      </c>
      <c r="J200" s="202">
        <f>A!P495</f>
        <v>0</v>
      </c>
      <c r="K200" s="83">
        <f>IF(A!G495="y",1,0)</f>
        <v>0</v>
      </c>
      <c r="L200" s="83">
        <f>IF(A!H495="y",1,0)</f>
        <v>0</v>
      </c>
      <c r="M200" s="84" t="str">
        <f>IF(A!F495="y","NEW","")</f>
        <v/>
      </c>
      <c r="N200" s="85">
        <f>A!I495</f>
        <v>0</v>
      </c>
      <c r="O200" s="314" t="str">
        <f>A!O495</f>
        <v>2,3</v>
      </c>
      <c r="P200" s="541" t="str">
        <f>A!K495</f>
        <v>S</v>
      </c>
      <c r="Q200" s="541">
        <f>A!E495</f>
        <v>0</v>
      </c>
      <c r="R200" s="541" t="s">
        <v>208</v>
      </c>
      <c r="S200" s="541">
        <f t="shared" si="71"/>
        <v>0</v>
      </c>
      <c r="T200" s="541" t="str">
        <f>A!R495</f>
        <v>x10</v>
      </c>
      <c r="U200" s="541">
        <f>A!S495</f>
        <v>25</v>
      </c>
      <c r="V200" s="541">
        <f>A!T495</f>
        <v>0.2</v>
      </c>
      <c r="W200" s="541">
        <f t="shared" si="72"/>
        <v>0</v>
      </c>
      <c r="X200" s="541"/>
    </row>
    <row r="201" spans="1:24" ht="11.25" hidden="1" customHeight="1" x14ac:dyDescent="0.25">
      <c r="A201" s="121" t="str">
        <f>IF(S201=0,"",COUNTIF(A$23:A200,"&gt;0")+1)</f>
        <v/>
      </c>
      <c r="B201" s="313"/>
      <c r="C201" s="76" t="str">
        <f t="shared" si="70"/>
        <v>x10</v>
      </c>
      <c r="D201" s="98" t="str">
        <f>A!C496</f>
        <v>Scirpus Cernuus</v>
      </c>
      <c r="E201" s="78"/>
      <c r="F201" s="78"/>
      <c r="G201" s="99" t="str">
        <f>A!N496</f>
        <v>cotton bud grass</v>
      </c>
      <c r="H201" s="89" t="str">
        <f>A!Q496</f>
        <v>grass, with tiny flowers, almost fibre optic</v>
      </c>
      <c r="I201" s="69">
        <f>A!M496</f>
        <v>1</v>
      </c>
      <c r="J201" s="202">
        <f>A!P496</f>
        <v>0</v>
      </c>
      <c r="K201" s="83">
        <f>IF(A!G496="y",1,0)</f>
        <v>0</v>
      </c>
      <c r="L201" s="83">
        <f>IF(A!H496="y",1,0)</f>
        <v>0</v>
      </c>
      <c r="M201" s="84" t="str">
        <f>IF(A!F496="y","NEW","")</f>
        <v/>
      </c>
      <c r="N201" s="85">
        <f>A!I496</f>
        <v>0</v>
      </c>
      <c r="O201" s="314" t="str">
        <f>A!O496</f>
        <v>2,3</v>
      </c>
      <c r="P201" s="541" t="str">
        <f>A!K496</f>
        <v>M</v>
      </c>
      <c r="Q201" s="541">
        <f>A!E496</f>
        <v>0</v>
      </c>
      <c r="R201" s="541" t="s">
        <v>208</v>
      </c>
      <c r="S201" s="541">
        <f t="shared" si="71"/>
        <v>0</v>
      </c>
      <c r="T201" s="541" t="str">
        <f>A!R496</f>
        <v>x10</v>
      </c>
      <c r="U201" s="541">
        <f>A!S496</f>
        <v>25</v>
      </c>
      <c r="V201" s="541">
        <f>A!T496</f>
        <v>0.2</v>
      </c>
      <c r="W201" s="541">
        <f t="shared" si="72"/>
        <v>0</v>
      </c>
      <c r="X201" s="541"/>
    </row>
    <row r="202" spans="1:24" ht="11.25" hidden="1" customHeight="1" thickBot="1" x14ac:dyDescent="0.3">
      <c r="A202" s="121" t="str">
        <f>IF(S202=0,"",COUNTIF(A$23:A201,"&gt;0")+1)</f>
        <v/>
      </c>
      <c r="B202" s="706"/>
      <c r="C202" s="496" t="str">
        <f t="shared" ref="C202" si="75">T202</f>
        <v>x10</v>
      </c>
      <c r="D202" s="497" t="str">
        <f>A!C497</f>
        <v>Scirpus Isolepis</v>
      </c>
      <c r="E202" s="498"/>
      <c r="F202" s="498"/>
      <c r="G202" s="499" t="str">
        <f>A!N497</f>
        <v>bristle club rush</v>
      </c>
      <c r="H202" s="500" t="str">
        <f>A!Q497</f>
        <v>compact grass suitable for the margins</v>
      </c>
      <c r="I202" s="501">
        <f>A!M497</f>
        <v>2</v>
      </c>
      <c r="J202" s="502">
        <f>A!P497</f>
        <v>0</v>
      </c>
      <c r="K202" s="503">
        <f>IF(A!G497="y",1,0)</f>
        <v>0</v>
      </c>
      <c r="L202" s="503">
        <f>IF(A!H497="y",1,0)</f>
        <v>0</v>
      </c>
      <c r="M202" s="504" t="str">
        <f>IF(A!F497="y","NEW","")</f>
        <v/>
      </c>
      <c r="N202" s="505">
        <f>A!I497</f>
        <v>0</v>
      </c>
      <c r="O202" s="334" t="str">
        <f>A!O497</f>
        <v>2,3</v>
      </c>
      <c r="P202" s="541" t="str">
        <f>A!K497</f>
        <v>S</v>
      </c>
      <c r="Q202" s="541">
        <f>A!E497</f>
        <v>0</v>
      </c>
      <c r="R202" s="541" t="s">
        <v>208</v>
      </c>
      <c r="S202" s="541">
        <f t="shared" si="71"/>
        <v>0</v>
      </c>
      <c r="T202" s="541" t="str">
        <f>A!R497</f>
        <v>x10</v>
      </c>
      <c r="U202" s="541">
        <f>A!S497</f>
        <v>25</v>
      </c>
      <c r="V202" s="541">
        <f>A!T497</f>
        <v>0.2</v>
      </c>
      <c r="W202" s="541">
        <f t="shared" si="72"/>
        <v>0</v>
      </c>
      <c r="X202" s="541"/>
    </row>
    <row r="203" spans="1:24" ht="10.5" customHeight="1" x14ac:dyDescent="0.25">
      <c r="A203" s="121" t="str">
        <f>IF(S203=0,"",COUNTIF(A$23:A202,"&gt;0")+1)</f>
        <v/>
      </c>
      <c r="B203" s="335">
        <f>SUM(B188:B202)</f>
        <v>0</v>
      </c>
      <c r="C203" s="335"/>
      <c r="D203" s="336" t="s">
        <v>1357</v>
      </c>
      <c r="E203" s="337"/>
      <c r="F203" s="337"/>
      <c r="G203" s="337"/>
      <c r="H203" s="337"/>
      <c r="I203" s="337"/>
      <c r="J203" s="338"/>
      <c r="K203" s="337"/>
      <c r="L203" s="337"/>
      <c r="M203" s="339"/>
      <c r="N203" s="337"/>
      <c r="O203" s="340"/>
      <c r="P203" s="541"/>
      <c r="Q203" s="542"/>
      <c r="R203" s="541" t="s">
        <v>208</v>
      </c>
      <c r="S203" s="541">
        <f t="shared" si="71"/>
        <v>0</v>
      </c>
      <c r="T203" s="541" t="s">
        <v>215</v>
      </c>
      <c r="U203" s="541"/>
      <c r="V203" s="541"/>
      <c r="W203" s="541"/>
      <c r="X203" s="541"/>
    </row>
    <row r="204" spans="1:24" ht="6.75" customHeight="1" thickBot="1" x14ac:dyDescent="0.3">
      <c r="A204" s="121" t="str">
        <f>IF(S204=0,"",COUNTIF(A$23:A203,"&gt;0")+1)</f>
        <v/>
      </c>
      <c r="P204" s="541"/>
      <c r="Q204" s="541"/>
      <c r="R204" s="541"/>
      <c r="S204" s="541"/>
      <c r="T204" s="541"/>
      <c r="U204" s="541"/>
      <c r="V204" s="541"/>
      <c r="W204" s="541"/>
      <c r="X204" s="541"/>
    </row>
    <row r="205" spans="1:24" ht="9" customHeight="1" x14ac:dyDescent="0.25">
      <c r="A205" s="121" t="str">
        <f>IF(S205=0,"",COUNTIF(A$23:A204,"&gt;0")+1)</f>
        <v/>
      </c>
      <c r="B205" s="947" t="s">
        <v>115</v>
      </c>
      <c r="C205" s="948"/>
      <c r="D205" s="973" t="s">
        <v>1070</v>
      </c>
      <c r="E205" s="974"/>
      <c r="F205" s="974"/>
      <c r="G205" s="974"/>
      <c r="H205" s="1037" t="s">
        <v>1180</v>
      </c>
      <c r="I205" s="949" t="s">
        <v>1249</v>
      </c>
      <c r="J205" s="949"/>
      <c r="K205" s="949"/>
      <c r="L205" s="949"/>
      <c r="M205" s="949"/>
      <c r="N205" s="949"/>
      <c r="O205" s="950"/>
      <c r="P205" s="541"/>
      <c r="Q205" s="541"/>
      <c r="R205" s="541"/>
      <c r="S205" s="541"/>
      <c r="T205" s="541"/>
      <c r="U205" s="541"/>
      <c r="V205" s="541"/>
      <c r="W205" s="541"/>
      <c r="X205" s="541"/>
    </row>
    <row r="206" spans="1:24" ht="9.75" customHeight="1" thickBot="1" x14ac:dyDescent="0.3">
      <c r="A206" s="121" t="str">
        <f>IF(S206=0,"",COUNTIF(A$23:A205,"&gt;0")+1)</f>
        <v/>
      </c>
      <c r="B206" s="963" t="s">
        <v>760</v>
      </c>
      <c r="C206" s="964"/>
      <c r="D206" s="975"/>
      <c r="E206" s="976"/>
      <c r="F206" s="976"/>
      <c r="G206" s="976"/>
      <c r="H206" s="1038"/>
      <c r="I206" s="327" t="s">
        <v>114</v>
      </c>
      <c r="J206" s="328"/>
      <c r="K206" s="329"/>
      <c r="L206" s="329"/>
      <c r="M206" s="327"/>
      <c r="N206" s="329"/>
      <c r="O206" s="334" t="s">
        <v>41</v>
      </c>
      <c r="P206" s="541"/>
      <c r="Q206" s="540" t="s">
        <v>113</v>
      </c>
      <c r="R206" s="541"/>
      <c r="S206" s="541"/>
      <c r="T206" s="541"/>
      <c r="U206" s="541"/>
      <c r="V206" s="541"/>
      <c r="W206" s="541"/>
      <c r="X206" s="541"/>
    </row>
    <row r="207" spans="1:24" ht="12" customHeight="1" x14ac:dyDescent="0.25">
      <c r="A207" s="121" t="str">
        <f>IF(S207=0,"",COUNTIF(A$23:A206,"&gt;0")+1)</f>
        <v/>
      </c>
      <c r="B207" s="333"/>
      <c r="C207" s="128" t="str">
        <f t="shared" ref="C207:C218" si="76">T207</f>
        <v>x3</v>
      </c>
      <c r="D207" s="119" t="str">
        <f>A!C498</f>
        <v>Assorted Oxygenators</v>
      </c>
      <c r="E207" s="113"/>
      <c r="F207" s="113"/>
      <c r="G207" s="197" t="str">
        <f>A!N498</f>
        <v>our best selection</v>
      </c>
      <c r="H207" s="129" t="str">
        <f>A!Q498</f>
        <v>take the worry out of ordering, best plants available</v>
      </c>
      <c r="I207" s="306"/>
      <c r="K207" s="114"/>
      <c r="L207" s="114"/>
      <c r="M207" s="132" t="str">
        <f>IF(A!F498="y","NEW","")</f>
        <v/>
      </c>
      <c r="N207" s="116"/>
      <c r="O207" s="326" t="str">
        <f>A!O498</f>
        <v>2,3</v>
      </c>
      <c r="P207" s="541" t="s">
        <v>1130</v>
      </c>
      <c r="Q207" s="541" t="str">
        <f>A!E498</f>
        <v>y</v>
      </c>
      <c r="R207" s="541" t="s">
        <v>209</v>
      </c>
      <c r="S207" s="541">
        <f t="shared" ref="S207:S219" si="77">B207</f>
        <v>0</v>
      </c>
      <c r="T207" s="541" t="str">
        <f>A!R498</f>
        <v>x3</v>
      </c>
      <c r="U207" s="541">
        <f>A!S498</f>
        <v>30</v>
      </c>
      <c r="V207" s="541">
        <f>A!T498</f>
        <v>0.125</v>
      </c>
      <c r="W207" s="541">
        <f t="shared" ref="W207:W218" si="78">V207*B207</f>
        <v>0</v>
      </c>
      <c r="X207" s="541"/>
    </row>
    <row r="208" spans="1:24" ht="11.25" hidden="1" customHeight="1" x14ac:dyDescent="0.25">
      <c r="A208" s="121" t="str">
        <f>IF(S208=0,"",COUNTIF(A$23:A207,"&gt;0")+1)</f>
        <v/>
      </c>
      <c r="B208" s="331"/>
      <c r="C208" s="76" t="str">
        <f t="shared" si="76"/>
        <v>x3</v>
      </c>
      <c r="D208" s="98" t="str">
        <f>A!C499</f>
        <v>Callitriche</v>
      </c>
      <c r="E208" s="78"/>
      <c r="F208" s="78"/>
      <c r="G208" s="99" t="str">
        <f>A!N499</f>
        <v>starwort</v>
      </c>
      <c r="H208" s="89" t="str">
        <f>A!Q499</f>
        <v>suited to deeper ponds, native and noninvasive</v>
      </c>
      <c r="I208" s="69">
        <f>A!M499</f>
        <v>2</v>
      </c>
      <c r="J208" s="202" t="str">
        <f>A!P499</f>
        <v>Yes</v>
      </c>
      <c r="K208" s="83">
        <f>IF(A!G499="y",1,0)</f>
        <v>0</v>
      </c>
      <c r="L208" s="83">
        <f>IF(A!H499="y",1,0)</f>
        <v>0</v>
      </c>
      <c r="M208" s="84" t="str">
        <f>IF(A!F499="y","NEW","")</f>
        <v/>
      </c>
      <c r="N208" s="85">
        <f>A!I499</f>
        <v>0</v>
      </c>
      <c r="O208" s="314" t="str">
        <f>A!O499</f>
        <v>2,3</v>
      </c>
      <c r="P208" s="541" t="str">
        <f>A!K499</f>
        <v>S</v>
      </c>
      <c r="Q208" s="541">
        <f>A!E499</f>
        <v>0</v>
      </c>
      <c r="R208" s="541" t="s">
        <v>209</v>
      </c>
      <c r="S208" s="541">
        <f t="shared" si="77"/>
        <v>0</v>
      </c>
      <c r="T208" s="541" t="str">
        <f>A!R499</f>
        <v>x3</v>
      </c>
      <c r="U208" s="541">
        <f>A!S499</f>
        <v>30</v>
      </c>
      <c r="V208" s="541">
        <f>A!T499</f>
        <v>0.125</v>
      </c>
      <c r="W208" s="541">
        <f t="shared" si="78"/>
        <v>0</v>
      </c>
      <c r="X208" s="541"/>
    </row>
    <row r="209" spans="1:24" ht="12" customHeight="1" x14ac:dyDescent="0.25">
      <c r="A209" s="121" t="str">
        <f>IF(S209=0,"",COUNTIF(A$23:A208,"&gt;0")+1)</f>
        <v/>
      </c>
      <c r="B209" s="331"/>
      <c r="C209" s="76" t="str">
        <f t="shared" si="76"/>
        <v>x3</v>
      </c>
      <c r="D209" s="98" t="str">
        <f>A!C500</f>
        <v>Eleocharis Acicularis</v>
      </c>
      <c r="E209" s="78"/>
      <c r="F209" s="78"/>
      <c r="G209" s="99" t="str">
        <f>A!N500</f>
        <v>hairgrass</v>
      </c>
      <c r="H209" s="89" t="str">
        <f>A!Q500</f>
        <v>tiny grass, ideal oxy. For the margins</v>
      </c>
      <c r="I209" s="69">
        <f>A!M500</f>
        <v>2</v>
      </c>
      <c r="J209" s="202" t="str">
        <f>A!P500</f>
        <v>Yes</v>
      </c>
      <c r="K209" s="83">
        <f>IF(A!G500="y",1,0)</f>
        <v>1</v>
      </c>
      <c r="L209" s="83">
        <f>IF(A!H500="y",1,0)</f>
        <v>0</v>
      </c>
      <c r="M209" s="84" t="str">
        <f>IF(A!F500="y","NEW","")</f>
        <v/>
      </c>
      <c r="N209" s="85">
        <f>A!I500</f>
        <v>0</v>
      </c>
      <c r="O209" s="314" t="str">
        <f>A!O500</f>
        <v>2,3</v>
      </c>
      <c r="P209" s="541" t="str">
        <f>A!K500</f>
        <v>S</v>
      </c>
      <c r="Q209" s="541" t="str">
        <f>A!E500</f>
        <v>y</v>
      </c>
      <c r="R209" s="541" t="s">
        <v>209</v>
      </c>
      <c r="S209" s="541">
        <f t="shared" si="77"/>
        <v>0</v>
      </c>
      <c r="T209" s="541" t="str">
        <f>A!R500</f>
        <v>x3</v>
      </c>
      <c r="U209" s="541">
        <f>A!S500</f>
        <v>30</v>
      </c>
      <c r="V209" s="541">
        <f>A!T500</f>
        <v>0.125</v>
      </c>
      <c r="W209" s="541">
        <f t="shared" si="78"/>
        <v>0</v>
      </c>
      <c r="X209" s="541"/>
    </row>
    <row r="210" spans="1:24" ht="12" customHeight="1" x14ac:dyDescent="0.25">
      <c r="A210" s="121" t="str">
        <f>IF(S210=0,"",COUNTIF(A$23:A209,"&gt;0")+1)</f>
        <v/>
      </c>
      <c r="B210" s="331"/>
      <c r="C210" s="76" t="str">
        <f t="shared" si="76"/>
        <v>x3</v>
      </c>
      <c r="D210" s="98" t="str">
        <f>A!C501</f>
        <v>Hippuris vulgaris</v>
      </c>
      <c r="E210" s="78"/>
      <c r="F210" s="78"/>
      <c r="G210" s="99" t="str">
        <f>A!N501</f>
        <v>marestail</v>
      </c>
      <c r="H210" s="89" t="str">
        <f>A!Q501</f>
        <v>a real tough plant, now a 1st choice oxy</v>
      </c>
      <c r="I210" s="69">
        <f>A!M501</f>
        <v>1</v>
      </c>
      <c r="J210" s="202" t="str">
        <f>A!P501</f>
        <v>Yes</v>
      </c>
      <c r="K210" s="83">
        <f>IF(A!G501="y",1,0)</f>
        <v>1</v>
      </c>
      <c r="L210" s="83">
        <f>IF(A!H501="y",1,0)</f>
        <v>0</v>
      </c>
      <c r="M210" s="84" t="str">
        <f>IF(A!F501="y","NEW","")</f>
        <v>NEW</v>
      </c>
      <c r="N210" s="85">
        <f>A!I501</f>
        <v>0</v>
      </c>
      <c r="O210" s="314" t="str">
        <f>A!O501</f>
        <v>2,3</v>
      </c>
      <c r="P210" s="541" t="str">
        <f>A!K501</f>
        <v>M</v>
      </c>
      <c r="Q210" s="541" t="str">
        <f>A!E501</f>
        <v>y</v>
      </c>
      <c r="R210" s="541" t="s">
        <v>209</v>
      </c>
      <c r="S210" s="541">
        <f t="shared" si="77"/>
        <v>0</v>
      </c>
      <c r="T210" s="541" t="str">
        <f>A!R501</f>
        <v>x3</v>
      </c>
      <c r="U210" s="541">
        <f>A!S501</f>
        <v>30</v>
      </c>
      <c r="V210" s="541">
        <f>A!T501</f>
        <v>0.125</v>
      </c>
      <c r="W210" s="541">
        <f t="shared" si="78"/>
        <v>0</v>
      </c>
      <c r="X210" s="541"/>
    </row>
    <row r="211" spans="1:24" ht="12" customHeight="1" x14ac:dyDescent="0.25">
      <c r="A211" s="121" t="str">
        <f>IF(S211=0,"",COUNTIF(A$23:A210,"&gt;0")+1)</f>
        <v/>
      </c>
      <c r="B211" s="331"/>
      <c r="C211" s="76" t="str">
        <f t="shared" si="76"/>
        <v>x3</v>
      </c>
      <c r="D211" s="98" t="str">
        <f>A!C502</f>
        <v>Hottonia palustris</v>
      </c>
      <c r="E211" s="78"/>
      <c r="F211" s="78"/>
      <c r="G211" s="99" t="str">
        <f>A!N502</f>
        <v>water violet</v>
      </c>
      <c r="H211" s="89" t="str">
        <f>A!Q502</f>
        <v>soft lilac-pink flowers throughout summer</v>
      </c>
      <c r="I211" s="69">
        <f>A!M502</f>
        <v>1</v>
      </c>
      <c r="J211" s="202" t="str">
        <f>A!P502</f>
        <v>Yes</v>
      </c>
      <c r="K211" s="83">
        <f>IF(A!G502="y",1,0)</f>
        <v>1</v>
      </c>
      <c r="L211" s="83">
        <f>IF(A!H502="y",1,0)</f>
        <v>0</v>
      </c>
      <c r="M211" s="84" t="str">
        <f>IF(A!F502="y","NEW","")</f>
        <v/>
      </c>
      <c r="N211" s="85">
        <f>A!I502</f>
        <v>0</v>
      </c>
      <c r="O211" s="314" t="str">
        <f>A!O502</f>
        <v>2,3</v>
      </c>
      <c r="P211" s="541" t="str">
        <f>A!K502</f>
        <v>S</v>
      </c>
      <c r="Q211" s="541" t="str">
        <f>A!E502</f>
        <v>y</v>
      </c>
      <c r="R211" s="541" t="s">
        <v>209</v>
      </c>
      <c r="S211" s="541">
        <f t="shared" si="77"/>
        <v>0</v>
      </c>
      <c r="T211" s="541" t="str">
        <f>A!R502</f>
        <v>x3</v>
      </c>
      <c r="U211" s="541">
        <f>A!S502</f>
        <v>30</v>
      </c>
      <c r="V211" s="541">
        <f>A!T502</f>
        <v>0.125</v>
      </c>
      <c r="W211" s="541">
        <f t="shared" si="78"/>
        <v>0</v>
      </c>
      <c r="X211" s="541"/>
    </row>
    <row r="212" spans="1:24" ht="11.25" hidden="1" customHeight="1" x14ac:dyDescent="0.25">
      <c r="A212" s="121" t="str">
        <f>IF(S212=0,"",COUNTIF(A$23:A211,"&gt;0")+1)</f>
        <v/>
      </c>
      <c r="B212" s="331"/>
      <c r="C212" s="76" t="str">
        <f t="shared" si="76"/>
        <v>x3</v>
      </c>
      <c r="D212" s="98" t="str">
        <f>A!C503</f>
        <v>Hydrocotyle var.</v>
      </c>
      <c r="E212" s="78"/>
      <c r="F212" s="78"/>
      <c r="G212" s="99" t="str">
        <f>A!N503</f>
        <v>variegated pennywort</v>
      </c>
      <c r="H212" s="89" t="str">
        <f>A!Q503</f>
        <v>dainty green foliage with cream edges</v>
      </c>
      <c r="I212" s="69">
        <f>A!M503</f>
        <v>2</v>
      </c>
      <c r="J212" s="202">
        <f>A!P503</f>
        <v>0</v>
      </c>
      <c r="K212" s="83">
        <f>IF(A!G503="y",1,0)</f>
        <v>0</v>
      </c>
      <c r="L212" s="83">
        <f>IF(A!H503="y",1,0)</f>
        <v>0</v>
      </c>
      <c r="M212" s="84" t="str">
        <f>IF(A!F503="y","NEW","")</f>
        <v/>
      </c>
      <c r="N212" s="85">
        <f>A!I503</f>
        <v>0</v>
      </c>
      <c r="O212" s="314" t="str">
        <f>A!O503</f>
        <v>2,3</v>
      </c>
      <c r="P212" s="541" t="str">
        <f>A!K503</f>
        <v>S</v>
      </c>
      <c r="Q212" s="541">
        <f>A!E503</f>
        <v>0</v>
      </c>
      <c r="R212" s="541" t="s">
        <v>209</v>
      </c>
      <c r="S212" s="541">
        <f t="shared" si="77"/>
        <v>0</v>
      </c>
      <c r="T212" s="541" t="str">
        <f>A!R503</f>
        <v>x3</v>
      </c>
      <c r="U212" s="541">
        <f>A!S503</f>
        <v>30</v>
      </c>
      <c r="V212" s="541">
        <f>A!T503</f>
        <v>0.125</v>
      </c>
      <c r="W212" s="541">
        <f t="shared" si="78"/>
        <v>0</v>
      </c>
      <c r="X212" s="541"/>
    </row>
    <row r="213" spans="1:24" ht="11.25" hidden="1" customHeight="1" x14ac:dyDescent="0.25">
      <c r="A213" s="121" t="str">
        <f>IF(S213=0,"",COUNTIF(A$23:A212,"&gt;0")+1)</f>
        <v/>
      </c>
      <c r="B213" s="331"/>
      <c r="C213" s="76" t="str">
        <f t="shared" si="76"/>
        <v>x3</v>
      </c>
      <c r="D213" s="98" t="str">
        <f>A!C504</f>
        <v xml:space="preserve">Myriophyllum brasiliensis     </v>
      </c>
      <c r="E213" s="78"/>
      <c r="F213" s="78"/>
      <c r="G213" s="99" t="str">
        <f>A!N504</f>
        <v>red stemmed p. feather</v>
      </c>
      <c r="H213" s="89" t="str">
        <f>A!Q504</f>
        <v>attractive red stems, green foliage</v>
      </c>
      <c r="I213" s="69">
        <f>A!M504</f>
        <v>1</v>
      </c>
      <c r="J213" s="202">
        <f>A!P504</f>
        <v>0</v>
      </c>
      <c r="K213" s="83">
        <f>IF(A!G504="y",1,0)</f>
        <v>0</v>
      </c>
      <c r="L213" s="83">
        <f>IF(A!H504="y",1,0)</f>
        <v>0</v>
      </c>
      <c r="M213" s="84" t="str">
        <f>IF(A!F504="y","NEW","")</f>
        <v/>
      </c>
      <c r="N213" s="85">
        <f>A!I504</f>
        <v>0</v>
      </c>
      <c r="O213" s="314" t="str">
        <f>A!O504</f>
        <v>2,3</v>
      </c>
      <c r="P213" s="541" t="str">
        <f>A!K504</f>
        <v>S</v>
      </c>
      <c r="Q213" s="541">
        <f>A!E504</f>
        <v>0</v>
      </c>
      <c r="R213" s="541" t="s">
        <v>209</v>
      </c>
      <c r="S213" s="541">
        <f t="shared" si="77"/>
        <v>0</v>
      </c>
      <c r="T213" s="541" t="str">
        <f>A!R504</f>
        <v>x3</v>
      </c>
      <c r="U213" s="541">
        <f>A!S504</f>
        <v>30</v>
      </c>
      <c r="V213" s="541">
        <f>A!T504</f>
        <v>0.125</v>
      </c>
      <c r="W213" s="541">
        <f t="shared" si="78"/>
        <v>0</v>
      </c>
      <c r="X213" s="541"/>
    </row>
    <row r="214" spans="1:24" ht="12" customHeight="1" thickBot="1" x14ac:dyDescent="0.3">
      <c r="A214" s="121" t="str">
        <f>IF(S214=0,"",COUNTIF(A$23:A213,"&gt;0")+1)</f>
        <v/>
      </c>
      <c r="B214" s="331"/>
      <c r="C214" s="76" t="str">
        <f t="shared" si="76"/>
        <v>x3</v>
      </c>
      <c r="D214" s="98" t="str">
        <f>A!C505</f>
        <v>Myriophyllum crispatum</v>
      </c>
      <c r="E214" s="78"/>
      <c r="F214" s="78"/>
      <c r="G214" s="99" t="str">
        <f>A!N505</f>
        <v>spiked milfoil</v>
      </c>
      <c r="H214" s="89" t="str">
        <f>A!Q505</f>
        <v>olive green, feather-like foliage</v>
      </c>
      <c r="I214" s="69">
        <f>A!M505</f>
        <v>2</v>
      </c>
      <c r="J214" s="202" t="str">
        <f>A!P505</f>
        <v>Yes</v>
      </c>
      <c r="K214" s="83">
        <f>IF(A!G505="y",1,0)</f>
        <v>1</v>
      </c>
      <c r="L214" s="83">
        <f>IF(A!H505="y",1,0)</f>
        <v>1</v>
      </c>
      <c r="M214" s="84" t="str">
        <f>IF(A!F505="y","NEW","")</f>
        <v/>
      </c>
      <c r="N214" s="85">
        <f>A!I505</f>
        <v>0</v>
      </c>
      <c r="O214" s="314" t="str">
        <f>A!O505</f>
        <v>2,3</v>
      </c>
      <c r="P214" s="541" t="str">
        <f>A!K505</f>
        <v>m</v>
      </c>
      <c r="Q214" s="541" t="str">
        <f>A!E505</f>
        <v>y</v>
      </c>
      <c r="R214" s="541" t="s">
        <v>209</v>
      </c>
      <c r="S214" s="541">
        <f t="shared" si="77"/>
        <v>0</v>
      </c>
      <c r="T214" s="541" t="str">
        <f>A!R505</f>
        <v>x3</v>
      </c>
      <c r="U214" s="541">
        <f>A!S505</f>
        <v>30</v>
      </c>
      <c r="V214" s="541">
        <f>A!T505</f>
        <v>0.125</v>
      </c>
      <c r="W214" s="541">
        <f t="shared" si="78"/>
        <v>0</v>
      </c>
      <c r="X214" s="541"/>
    </row>
    <row r="215" spans="1:24" ht="11.25" hidden="1" customHeight="1" x14ac:dyDescent="0.25">
      <c r="A215" s="121" t="str">
        <f>IF(S215=0,"",COUNTIF(A$23:A214,"&gt;0")+1)</f>
        <v/>
      </c>
      <c r="B215" s="331"/>
      <c r="C215" s="76" t="str">
        <f t="shared" ref="C215" si="79">T215</f>
        <v>x3</v>
      </c>
      <c r="D215" s="98" t="str">
        <f>A!C506</f>
        <v>Pilularia globulifera</v>
      </c>
      <c r="E215" s="78"/>
      <c r="F215" s="78"/>
      <c r="G215" s="99" t="str">
        <f>A!N506</f>
        <v>pillwort</v>
      </c>
      <c r="H215" s="89" t="str">
        <f>A!Q506</f>
        <v>endangered native species of fern</v>
      </c>
      <c r="I215" s="69">
        <f>A!M506</f>
        <v>2</v>
      </c>
      <c r="J215" s="202" t="str">
        <f>A!P506</f>
        <v>Yes</v>
      </c>
      <c r="K215" s="83">
        <f>IF(A!G506="y",1,0)</f>
        <v>0</v>
      </c>
      <c r="L215" s="83">
        <f>IF(A!H506="y",1,0)</f>
        <v>0</v>
      </c>
      <c r="M215" s="84" t="str">
        <f>IF(A!F506="y","NEW","")</f>
        <v/>
      </c>
      <c r="N215" s="85">
        <f>A!I506</f>
        <v>0</v>
      </c>
      <c r="O215" s="314" t="str">
        <f>A!O506</f>
        <v>2,3</v>
      </c>
      <c r="P215" s="541" t="str">
        <f>A!K506</f>
        <v>S</v>
      </c>
      <c r="Q215" s="541">
        <f>A!E506</f>
        <v>0</v>
      </c>
      <c r="R215" s="541" t="s">
        <v>209</v>
      </c>
      <c r="S215" s="541">
        <f t="shared" ref="S215" si="80">B215</f>
        <v>0</v>
      </c>
      <c r="T215" s="541" t="str">
        <f>A!R506</f>
        <v>x3</v>
      </c>
      <c r="U215" s="541">
        <f>A!S506</f>
        <v>25</v>
      </c>
      <c r="V215" s="541">
        <f>A!T506</f>
        <v>0.125</v>
      </c>
      <c r="W215" s="541">
        <f t="shared" ref="W215" si="81">V215*B215</f>
        <v>0</v>
      </c>
      <c r="X215" s="541"/>
    </row>
    <row r="216" spans="1:24" ht="11.25" hidden="1" customHeight="1" x14ac:dyDescent="0.25">
      <c r="A216" s="121" t="str">
        <f>IF(S216=0,"",COUNTIF(A$23:A215,"&gt;0")+1)</f>
        <v/>
      </c>
      <c r="B216" s="331"/>
      <c r="C216" s="76" t="str">
        <f t="shared" si="76"/>
        <v>x3</v>
      </c>
      <c r="D216" s="98" t="str">
        <f>A!C507</f>
        <v>Ranunculus Aquatilis</v>
      </c>
      <c r="E216" s="78"/>
      <c r="F216" s="78"/>
      <c r="G216" s="99" t="str">
        <f>A!N507</f>
        <v>water crowfoot</v>
      </c>
      <c r="H216" s="89" t="str">
        <f>A!Q507</f>
        <v>one of the few oxygenating to flower</v>
      </c>
      <c r="I216" s="69">
        <f>A!M507</f>
        <v>1</v>
      </c>
      <c r="J216" s="202">
        <f>A!P507</f>
        <v>0</v>
      </c>
      <c r="K216" s="83">
        <f>IF(A!G507="y",1,0)</f>
        <v>0</v>
      </c>
      <c r="L216" s="83">
        <f>IF(A!H507="y",1,0)</f>
        <v>0</v>
      </c>
      <c r="M216" s="84" t="str">
        <f>IF(A!F507="y","NEW","")</f>
        <v/>
      </c>
      <c r="N216" s="85">
        <f>A!I507</f>
        <v>0</v>
      </c>
      <c r="O216" s="314" t="str">
        <f>A!O507</f>
        <v>2,3</v>
      </c>
      <c r="P216" s="541" t="str">
        <f>A!K507</f>
        <v>s</v>
      </c>
      <c r="Q216" s="541">
        <f>A!E507</f>
        <v>0</v>
      </c>
      <c r="R216" s="541" t="s">
        <v>209</v>
      </c>
      <c r="S216" s="541">
        <f t="shared" si="77"/>
        <v>0</v>
      </c>
      <c r="T216" s="541" t="str">
        <f>A!R507</f>
        <v>x3</v>
      </c>
      <c r="U216" s="541">
        <f>A!S507</f>
        <v>30</v>
      </c>
      <c r="V216" s="541">
        <f>A!T507</f>
        <v>0.125</v>
      </c>
      <c r="W216" s="541">
        <f t="shared" si="78"/>
        <v>0</v>
      </c>
      <c r="X216" s="541"/>
    </row>
    <row r="217" spans="1:24" ht="11.25" hidden="1" customHeight="1" x14ac:dyDescent="0.25">
      <c r="A217" s="121" t="str">
        <f>IF(S217=0,"",COUNTIF(A$23:A216,"&gt;0")+1)</f>
        <v/>
      </c>
      <c r="B217" s="331"/>
      <c r="C217" s="76" t="str">
        <f t="shared" si="76"/>
        <v>x3</v>
      </c>
      <c r="D217" s="98" t="str">
        <f>A!C508</f>
        <v>Scirpus Cernuus</v>
      </c>
      <c r="E217" s="78"/>
      <c r="F217" s="78"/>
      <c r="G217" s="99" t="str">
        <f>A!N508</f>
        <v>cotton bud grass</v>
      </c>
      <c r="H217" s="89" t="str">
        <f>A!Q508</f>
        <v>grass, with tiny flowers, almost fibre optic</v>
      </c>
      <c r="I217" s="69">
        <f>A!M508</f>
        <v>1</v>
      </c>
      <c r="J217" s="202">
        <f>A!P508</f>
        <v>0</v>
      </c>
      <c r="K217" s="83">
        <f>IF(A!G508="y",1,0)</f>
        <v>0</v>
      </c>
      <c r="L217" s="83">
        <f>IF(A!H508="y",1,0)</f>
        <v>0</v>
      </c>
      <c r="M217" s="84" t="str">
        <f>IF(A!F508="y","NEW","")</f>
        <v/>
      </c>
      <c r="N217" s="85">
        <f>A!I508</f>
        <v>0</v>
      </c>
      <c r="O217" s="314" t="str">
        <f>A!O508</f>
        <v>2,3</v>
      </c>
      <c r="P217" s="541" t="str">
        <f>A!K508</f>
        <v>M</v>
      </c>
      <c r="Q217" s="541">
        <f>A!E508</f>
        <v>0</v>
      </c>
      <c r="R217" s="541" t="s">
        <v>209</v>
      </c>
      <c r="S217" s="541">
        <f t="shared" si="77"/>
        <v>0</v>
      </c>
      <c r="T217" s="541" t="str">
        <f>A!R508</f>
        <v>x3</v>
      </c>
      <c r="U217" s="541">
        <f>A!S508</f>
        <v>30</v>
      </c>
      <c r="V217" s="541">
        <f>A!T508</f>
        <v>0.125</v>
      </c>
      <c r="W217" s="541">
        <f t="shared" si="78"/>
        <v>0</v>
      </c>
      <c r="X217" s="541"/>
    </row>
    <row r="218" spans="1:24" ht="11.25" hidden="1" customHeight="1" thickBot="1" x14ac:dyDescent="0.3">
      <c r="A218" s="121" t="str">
        <f>IF(S218=0,"",COUNTIF(A$23:A217,"&gt;0")+1)</f>
        <v/>
      </c>
      <c r="B218" s="332"/>
      <c r="C218" s="315" t="str">
        <f t="shared" si="76"/>
        <v>x3</v>
      </c>
      <c r="D218" s="316" t="str">
        <f>A!C509</f>
        <v>Scirpus Isolepis</v>
      </c>
      <c r="E218" s="317"/>
      <c r="F218" s="317"/>
      <c r="G218" s="318" t="str">
        <f>A!N509</f>
        <v>bristle club rush</v>
      </c>
      <c r="H218" s="319" t="str">
        <f>A!Q509</f>
        <v>compact grass suitable for the margins</v>
      </c>
      <c r="I218" s="320">
        <f>A!M509</f>
        <v>2</v>
      </c>
      <c r="J218" s="321">
        <f>A!P509</f>
        <v>0</v>
      </c>
      <c r="K218" s="322">
        <f>IF(A!G509="y",1,0)</f>
        <v>0</v>
      </c>
      <c r="L218" s="322">
        <f>IF(A!H509="y",1,0)</f>
        <v>0</v>
      </c>
      <c r="M218" s="323" t="str">
        <f>IF(A!F509="y","NEW","")</f>
        <v/>
      </c>
      <c r="N218" s="324">
        <f>A!I509</f>
        <v>0</v>
      </c>
      <c r="O218" s="325" t="str">
        <f>A!O509</f>
        <v>2,3</v>
      </c>
      <c r="P218" s="541" t="str">
        <f>A!K509</f>
        <v>S</v>
      </c>
      <c r="Q218" s="541">
        <f>A!E509</f>
        <v>0</v>
      </c>
      <c r="R218" s="541" t="s">
        <v>209</v>
      </c>
      <c r="S218" s="541">
        <f t="shared" si="77"/>
        <v>0</v>
      </c>
      <c r="T218" s="541" t="str">
        <f>A!R509</f>
        <v>x3</v>
      </c>
      <c r="U218" s="541">
        <f>A!S509</f>
        <v>30</v>
      </c>
      <c r="V218" s="541">
        <f>A!T509</f>
        <v>0.125</v>
      </c>
      <c r="W218" s="541">
        <f t="shared" si="78"/>
        <v>0</v>
      </c>
      <c r="X218" s="541"/>
    </row>
    <row r="219" spans="1:24" ht="12" customHeight="1" x14ac:dyDescent="0.25">
      <c r="A219" s="121" t="str">
        <f>IF(S219=0,"",COUNTIF(A$23:A218,"&gt;0")+1)</f>
        <v/>
      </c>
      <c r="B219" s="335">
        <f>SUM(B207:B218)</f>
        <v>0</v>
      </c>
      <c r="C219" s="335"/>
      <c r="D219" s="336" t="s">
        <v>1356</v>
      </c>
      <c r="E219" s="337"/>
      <c r="F219" s="337"/>
      <c r="G219" s="337"/>
      <c r="H219" s="337"/>
      <c r="I219" s="337"/>
      <c r="J219" s="338"/>
      <c r="K219" s="337"/>
      <c r="L219" s="337"/>
      <c r="M219" s="339"/>
      <c r="N219" s="337"/>
      <c r="O219" s="340"/>
      <c r="P219" s="542"/>
      <c r="Q219" s="542"/>
      <c r="R219" s="541" t="s">
        <v>209</v>
      </c>
      <c r="S219" s="541">
        <f t="shared" si="77"/>
        <v>0</v>
      </c>
      <c r="T219" s="541" t="s">
        <v>599</v>
      </c>
      <c r="U219" s="541"/>
      <c r="V219" s="541"/>
      <c r="W219" s="541"/>
      <c r="X219" s="541"/>
    </row>
    <row r="220" spans="1:24" ht="7.5" hidden="1" customHeight="1" thickBot="1" x14ac:dyDescent="0.3">
      <c r="A220" s="121" t="str">
        <f>IF(S220=0,"",COUNTIF(A$23:A219,"&gt;0")+1)</f>
        <v/>
      </c>
      <c r="P220" s="541"/>
      <c r="Q220" s="541"/>
      <c r="R220" s="541"/>
      <c r="S220" s="541"/>
      <c r="T220" s="541"/>
      <c r="U220" s="541"/>
      <c r="V220" s="541"/>
      <c r="W220" s="541"/>
      <c r="X220" s="541"/>
    </row>
    <row r="221" spans="1:24" ht="9.75" hidden="1" customHeight="1" x14ac:dyDescent="0.25">
      <c r="A221" s="121" t="str">
        <f>IF(S221=0,"",COUNTIF(A$23:A220,"&gt;0")+1)</f>
        <v/>
      </c>
      <c r="B221" s="947" t="s">
        <v>115</v>
      </c>
      <c r="C221" s="948"/>
      <c r="D221" s="973" t="s">
        <v>1300</v>
      </c>
      <c r="E221" s="974"/>
      <c r="F221" s="974"/>
      <c r="G221" s="974"/>
      <c r="H221" s="974"/>
      <c r="I221" s="949" t="s">
        <v>1301</v>
      </c>
      <c r="J221" s="949"/>
      <c r="K221" s="949"/>
      <c r="L221" s="949"/>
      <c r="M221" s="949"/>
      <c r="N221" s="949"/>
      <c r="O221" s="950"/>
      <c r="P221" s="542"/>
      <c r="Q221" s="542"/>
      <c r="R221" s="541"/>
      <c r="S221" s="541"/>
      <c r="T221" s="541"/>
      <c r="U221" s="541"/>
      <c r="V221" s="541"/>
      <c r="W221" s="541"/>
      <c r="X221" s="541"/>
    </row>
    <row r="222" spans="1:24" ht="9.75" hidden="1" customHeight="1" thickBot="1" x14ac:dyDescent="0.3">
      <c r="A222" s="121" t="str">
        <f>IF(S222=0,"",COUNTIF(A$23:A221,"&gt;0")+1)</f>
        <v/>
      </c>
      <c r="B222" s="963" t="s">
        <v>765</v>
      </c>
      <c r="C222" s="964"/>
      <c r="D222" s="975"/>
      <c r="E222" s="976"/>
      <c r="F222" s="976"/>
      <c r="G222" s="976"/>
      <c r="H222" s="976"/>
      <c r="I222" s="327" t="s">
        <v>114</v>
      </c>
      <c r="J222" s="328"/>
      <c r="K222" s="329"/>
      <c r="L222" s="329"/>
      <c r="M222" s="327"/>
      <c r="N222" s="329"/>
      <c r="O222" s="330" t="s">
        <v>41</v>
      </c>
      <c r="P222" s="542"/>
      <c r="Q222" s="542"/>
      <c r="R222" s="541"/>
      <c r="S222" s="541"/>
      <c r="T222" s="541"/>
      <c r="U222" s="541"/>
      <c r="V222" s="541"/>
      <c r="W222" s="541"/>
      <c r="X222" s="541"/>
    </row>
    <row r="223" spans="1:24" ht="11.25" hidden="1" customHeight="1" x14ac:dyDescent="0.25">
      <c r="A223" s="121" t="str">
        <f>IF(S223=0,"",COUNTIF(A$23:A222,"&gt;0")+1)</f>
        <v/>
      </c>
      <c r="B223" s="862"/>
      <c r="C223" s="769" t="str">
        <f t="shared" ref="C223:C229" si="82">T223</f>
        <v>x50</v>
      </c>
      <c r="D223" s="770" t="s">
        <v>768</v>
      </c>
      <c r="E223" s="771"/>
      <c r="F223" s="771"/>
      <c r="G223" s="772" t="s">
        <v>767</v>
      </c>
      <c r="H223" s="773" t="str">
        <f>A!Q469</f>
        <v>bunch with lead</v>
      </c>
      <c r="I223" s="780">
        <v>3</v>
      </c>
      <c r="J223" s="774"/>
      <c r="K223" s="781"/>
      <c r="L223" s="781"/>
      <c r="M223" s="782"/>
      <c r="N223" s="863">
        <f>A!I469</f>
        <v>0</v>
      </c>
      <c r="O223" s="864" t="s">
        <v>574</v>
      </c>
      <c r="P223" s="542"/>
      <c r="Q223" s="541"/>
      <c r="R223" s="541" t="s">
        <v>580</v>
      </c>
      <c r="S223" s="541">
        <f t="shared" ref="S223:S230" si="83">B223</f>
        <v>0</v>
      </c>
      <c r="T223" s="541" t="s">
        <v>582</v>
      </c>
      <c r="U223" s="541"/>
      <c r="V223" s="541"/>
      <c r="W223" s="541"/>
      <c r="X223" s="541"/>
    </row>
    <row r="224" spans="1:24" ht="11.25" hidden="1" customHeight="1" x14ac:dyDescent="0.25">
      <c r="A224" s="121" t="str">
        <f>IF(S224=0,"",COUNTIF(A$23:A223,"&gt;0")+1)</f>
        <v/>
      </c>
      <c r="B224" s="239"/>
      <c r="C224" s="239"/>
      <c r="D224" s="239"/>
      <c r="E224" s="239"/>
      <c r="F224" s="239"/>
      <c r="G224" s="865"/>
      <c r="H224" s="239"/>
      <c r="I224" s="239"/>
      <c r="J224" s="238"/>
      <c r="K224" s="239"/>
      <c r="L224" s="239"/>
      <c r="M224" s="240"/>
      <c r="N224" s="239"/>
      <c r="O224" s="156"/>
    </row>
    <row r="225" spans="1:24" ht="11.25" hidden="1" customHeight="1" x14ac:dyDescent="0.25">
      <c r="A225" s="121" t="str">
        <f>IF(S225=0,"",COUNTIF(A$23:A224,"&gt;0")+1)</f>
        <v/>
      </c>
      <c r="B225" s="333"/>
      <c r="C225" s="128" t="str">
        <f t="shared" si="82"/>
        <v>x50</v>
      </c>
      <c r="D225" s="119" t="str">
        <f>A!C472</f>
        <v>Netted Elodea Canadensis</v>
      </c>
      <c r="E225" s="113"/>
      <c r="F225" s="113"/>
      <c r="G225" s="197" t="str">
        <f>A!N472</f>
        <v>canadian pondweed</v>
      </c>
      <c r="H225" s="87" t="str">
        <f>A!Q472</f>
        <v>with label and barcode</v>
      </c>
      <c r="I225" s="762">
        <f>A!M472</f>
        <v>1</v>
      </c>
      <c r="J225" s="203">
        <f>A!P472</f>
        <v>0</v>
      </c>
      <c r="K225" s="131">
        <f>IF(A!G472="y",1,0)</f>
        <v>0</v>
      </c>
      <c r="L225" s="131">
        <f>IF(A!H472="y",1,0)</f>
        <v>0</v>
      </c>
      <c r="M225" s="132" t="str">
        <f>IF(A!F472="y","NEW","")</f>
        <v/>
      </c>
      <c r="N225" s="133">
        <f>A!I472</f>
        <v>0</v>
      </c>
      <c r="O225" s="326" t="str">
        <f>A!O472</f>
        <v>3,4</v>
      </c>
      <c r="P225" s="542"/>
      <c r="Q225" s="541">
        <f>A!E472</f>
        <v>0</v>
      </c>
      <c r="R225" s="541" t="s">
        <v>580</v>
      </c>
      <c r="S225" s="541">
        <f t="shared" si="83"/>
        <v>0</v>
      </c>
      <c r="T225" s="541" t="str">
        <f>A!R472</f>
        <v>x50</v>
      </c>
      <c r="U225" s="541"/>
      <c r="V225" s="541"/>
      <c r="W225" s="541"/>
      <c r="X225" s="541"/>
    </row>
    <row r="226" spans="1:24" ht="11.25" hidden="1" customHeight="1" x14ac:dyDescent="0.25">
      <c r="A226" s="121" t="str">
        <f>IF(S226=0,"",COUNTIF(A$23:A225,"&gt;0")+1)</f>
        <v/>
      </c>
      <c r="B226" s="331"/>
      <c r="C226" s="76" t="str">
        <f t="shared" si="82"/>
        <v>x50</v>
      </c>
      <c r="D226" s="98" t="str">
        <f>A!C473</f>
        <v>Netted Fontinalis</v>
      </c>
      <c r="E226" s="78"/>
      <c r="F226" s="78"/>
      <c r="G226" s="99" t="str">
        <f>A!N473</f>
        <v>willow moss</v>
      </c>
      <c r="H226" s="89" t="str">
        <f>A!Q473</f>
        <v>with label and barcode</v>
      </c>
      <c r="I226" s="106">
        <f>A!M473</f>
        <v>1</v>
      </c>
      <c r="J226" s="202">
        <f>A!P473</f>
        <v>0</v>
      </c>
      <c r="K226" s="83">
        <f>IF(A!G473="y",1,0)</f>
        <v>0</v>
      </c>
      <c r="L226" s="83">
        <f>IF(A!H473="y",1,0)</f>
        <v>0</v>
      </c>
      <c r="M226" s="84" t="str">
        <f>IF(A!F473="y","NEW","")</f>
        <v/>
      </c>
      <c r="N226" s="85">
        <f>A!I473</f>
        <v>0</v>
      </c>
      <c r="O226" s="314" t="str">
        <f>A!O473</f>
        <v>3,4</v>
      </c>
      <c r="P226" s="542"/>
      <c r="Q226" s="541">
        <f>A!E473</f>
        <v>0</v>
      </c>
      <c r="R226" s="541" t="s">
        <v>580</v>
      </c>
      <c r="S226" s="541">
        <f t="shared" si="83"/>
        <v>0</v>
      </c>
      <c r="T226" s="541" t="str">
        <f>A!R473</f>
        <v>x50</v>
      </c>
      <c r="U226" s="541"/>
      <c r="V226" s="541"/>
      <c r="W226" s="541"/>
      <c r="X226" s="541"/>
    </row>
    <row r="227" spans="1:24" ht="11.25" hidden="1" customHeight="1" x14ac:dyDescent="0.25">
      <c r="A227" s="121" t="str">
        <f>IF(S227=0,"",COUNTIF(A$23:A226,"&gt;0")+1)</f>
        <v/>
      </c>
      <c r="B227" s="331"/>
      <c r="C227" s="76" t="str">
        <f t="shared" ref="C227" si="84">T227</f>
        <v>x50</v>
      </c>
      <c r="D227" s="98" t="str">
        <f>A!C474</f>
        <v>Netted Hottonia palustris</v>
      </c>
      <c r="E227" s="78"/>
      <c r="F227" s="78"/>
      <c r="G227" s="99" t="str">
        <f>A!N474</f>
        <v>water violet</v>
      </c>
      <c r="H227" s="89" t="s">
        <v>1347</v>
      </c>
      <c r="I227" s="106">
        <f>A!M474</f>
        <v>1</v>
      </c>
      <c r="J227" s="202" t="str">
        <f>A!P474</f>
        <v>Yes</v>
      </c>
      <c r="K227" s="83">
        <f>IF(A!G474="y",1,0)</f>
        <v>0</v>
      </c>
      <c r="L227" s="83">
        <f>IF(A!H474="y",1,0)</f>
        <v>0</v>
      </c>
      <c r="M227" s="84" t="str">
        <f>IF(A!F474="y","NEW","")</f>
        <v/>
      </c>
      <c r="N227" s="85">
        <f>A!I474</f>
        <v>0</v>
      </c>
      <c r="O227" s="314" t="str">
        <f>A!O474</f>
        <v>3,4</v>
      </c>
      <c r="P227" s="542"/>
      <c r="Q227" s="541">
        <f>A!E474</f>
        <v>0</v>
      </c>
      <c r="R227" s="541" t="s">
        <v>580</v>
      </c>
      <c r="S227" s="541">
        <f t="shared" ref="S227" si="85">B227</f>
        <v>0</v>
      </c>
      <c r="T227" s="541" t="str">
        <f>A!R474</f>
        <v>x50</v>
      </c>
      <c r="U227" s="541"/>
      <c r="V227" s="541"/>
      <c r="W227" s="541"/>
      <c r="X227" s="541"/>
    </row>
    <row r="228" spans="1:24" hidden="1" x14ac:dyDescent="0.25">
      <c r="A228" s="121" t="str">
        <f>IF(S228=0,"",COUNTIF(A$23:A227,"&gt;0")+1)</f>
        <v/>
      </c>
    </row>
    <row r="229" spans="1:24" ht="11.25" hidden="1" customHeight="1" thickBot="1" x14ac:dyDescent="0.3">
      <c r="A229" s="121" t="str">
        <f>IF(S229=0,"",COUNTIF(A$23:A228,"&gt;0")+1)</f>
        <v/>
      </c>
      <c r="B229" s="396"/>
      <c r="C229" s="189" t="str">
        <f t="shared" si="82"/>
        <v>x50</v>
      </c>
      <c r="D229" s="507" t="str">
        <f>A!C476</f>
        <v>Netted Ranunculus Aquatilis</v>
      </c>
      <c r="E229" s="525"/>
      <c r="F229" s="514"/>
      <c r="G229" s="526" t="str">
        <f>A!N476</f>
        <v>water crowfoot</v>
      </c>
      <c r="H229" s="129" t="str">
        <f>A!Q476</f>
        <v>with label and barcode</v>
      </c>
      <c r="I229" s="527">
        <f>A!M476</f>
        <v>1</v>
      </c>
      <c r="J229" s="203" t="str">
        <f>A!P476</f>
        <v>Yes</v>
      </c>
      <c r="K229" s="131">
        <f>IF(A!G476="y",1,0)</f>
        <v>0</v>
      </c>
      <c r="L229" s="131">
        <f>IF(A!H476="y",1,0)</f>
        <v>0</v>
      </c>
      <c r="M229" s="132" t="str">
        <f>IF(A!F476="y","NEW","")</f>
        <v/>
      </c>
      <c r="N229" s="133">
        <f>A!I476</f>
        <v>0</v>
      </c>
      <c r="O229" s="528" t="str">
        <f>A!O476</f>
        <v>3,4</v>
      </c>
      <c r="P229" s="542"/>
      <c r="Q229" s="541">
        <f>A!E476</f>
        <v>0</v>
      </c>
      <c r="R229" s="541" t="s">
        <v>580</v>
      </c>
      <c r="S229" s="541">
        <f t="shared" si="83"/>
        <v>0</v>
      </c>
      <c r="T229" s="541" t="str">
        <f>A!R476</f>
        <v>x50</v>
      </c>
      <c r="U229" s="541"/>
      <c r="V229" s="541"/>
      <c r="W229" s="541"/>
      <c r="X229" s="541"/>
    </row>
    <row r="230" spans="1:24" ht="9" hidden="1" customHeight="1" x14ac:dyDescent="0.25">
      <c r="A230" s="121" t="str">
        <f>IF(S230=0,"",COUNTIF(A$23:A229,"&gt;0")+1)</f>
        <v/>
      </c>
      <c r="B230" s="335">
        <f>SUM(B223:B229)</f>
        <v>0</v>
      </c>
      <c r="C230" s="92"/>
      <c r="D230" s="93" t="s">
        <v>1355</v>
      </c>
      <c r="E230" s="56"/>
      <c r="F230" s="56"/>
      <c r="G230" s="56"/>
      <c r="H230" s="56"/>
      <c r="I230" s="56"/>
      <c r="J230" s="200"/>
      <c r="K230" s="56"/>
      <c r="L230" s="56"/>
      <c r="M230" s="58"/>
      <c r="N230" s="56"/>
      <c r="O230" s="96"/>
      <c r="P230" s="542"/>
      <c r="Q230" s="542"/>
      <c r="R230" s="541" t="s">
        <v>580</v>
      </c>
      <c r="S230" s="541">
        <f t="shared" si="83"/>
        <v>0</v>
      </c>
      <c r="T230" s="541" t="s">
        <v>582</v>
      </c>
      <c r="U230" s="541"/>
      <c r="V230" s="541"/>
      <c r="W230" s="541"/>
      <c r="X230" s="541"/>
    </row>
    <row r="231" spans="1:24" ht="11.25" hidden="1" customHeight="1" x14ac:dyDescent="0.25">
      <c r="A231" s="121" t="str">
        <f>IF(S231=0,"",COUNTIF(A$23:A230,"&gt;0")+1)</f>
        <v/>
      </c>
      <c r="P231" s="541"/>
      <c r="Q231" s="541"/>
      <c r="R231" s="541"/>
      <c r="S231" s="541"/>
      <c r="T231" s="541"/>
      <c r="U231" s="541"/>
      <c r="V231" s="541"/>
      <c r="W231" s="541"/>
      <c r="X231" s="541"/>
    </row>
    <row r="232" spans="1:24" ht="11.25" hidden="1" customHeight="1" x14ac:dyDescent="0.25">
      <c r="A232" s="121" t="str">
        <f>IF(S232=0,"",COUNTIF(A$23:A231,"&gt;0")+1)</f>
        <v/>
      </c>
      <c r="B232" s="953" t="s">
        <v>115</v>
      </c>
      <c r="C232" s="954"/>
      <c r="D232" s="977" t="s">
        <v>927</v>
      </c>
      <c r="E232" s="978"/>
      <c r="F232" s="978"/>
      <c r="G232" s="978"/>
      <c r="H232" s="978"/>
      <c r="I232" s="56"/>
      <c r="J232" s="200"/>
      <c r="K232" s="56"/>
      <c r="L232" s="56"/>
      <c r="M232" s="58"/>
      <c r="N232" s="56"/>
      <c r="O232" s="59"/>
      <c r="P232" s="542"/>
      <c r="Q232" s="542"/>
      <c r="R232" s="541"/>
      <c r="S232" s="541"/>
      <c r="T232" s="541"/>
      <c r="U232" s="541"/>
      <c r="V232" s="541"/>
      <c r="W232" s="541"/>
      <c r="X232" s="541"/>
    </row>
    <row r="233" spans="1:24" ht="11.25" hidden="1" customHeight="1" x14ac:dyDescent="0.25">
      <c r="A233" s="121" t="str">
        <f>IF(S233=0,"",COUNTIF(A$23:A232,"&gt;0")+1)</f>
        <v/>
      </c>
      <c r="B233" s="1013" t="s">
        <v>796</v>
      </c>
      <c r="C233" s="1014"/>
      <c r="D233" s="979"/>
      <c r="E233" s="980"/>
      <c r="F233" s="980"/>
      <c r="G233" s="980"/>
      <c r="H233" s="980"/>
      <c r="I233" s="62" t="s">
        <v>114</v>
      </c>
      <c r="J233" s="201"/>
      <c r="K233" s="63"/>
      <c r="L233" s="63"/>
      <c r="M233" s="62"/>
      <c r="N233" s="63"/>
      <c r="O233" s="64" t="s">
        <v>41</v>
      </c>
      <c r="P233" s="542"/>
      <c r="Q233" s="542"/>
      <c r="R233" s="541"/>
      <c r="S233" s="541"/>
      <c r="T233" s="541"/>
      <c r="U233" s="541"/>
      <c r="V233" s="541"/>
      <c r="W233" s="541"/>
      <c r="X233" s="541"/>
    </row>
    <row r="234" spans="1:24" ht="11.25" hidden="1" customHeight="1" x14ac:dyDescent="0.25">
      <c r="A234" s="121" t="str">
        <f>IF(S234=0,"",COUNTIF(A$23:A233,"&gt;0")+1)</f>
        <v/>
      </c>
      <c r="B234" s="72"/>
      <c r="C234" s="73" t="str">
        <f t="shared" ref="C234:C239" si="86">T234</f>
        <v>x10</v>
      </c>
      <c r="D234" s="98" t="str">
        <f>A!C477</f>
        <v>Tubbed Our Selection</v>
      </c>
      <c r="E234" s="74"/>
      <c r="F234" s="113"/>
      <c r="G234" s="99" t="str">
        <f>A!N477</f>
        <v>Best Mix available</v>
      </c>
      <c r="H234" s="89" t="str">
        <f>A!Q477</f>
        <v>best selection from our nursery</v>
      </c>
      <c r="I234" s="67">
        <v>3</v>
      </c>
      <c r="J234" s="203"/>
      <c r="K234" s="114"/>
      <c r="L234" s="114"/>
      <c r="M234" s="115"/>
      <c r="N234" s="116"/>
      <c r="O234" s="82" t="str">
        <f>A!O477</f>
        <v>3,4</v>
      </c>
      <c r="P234" s="542"/>
      <c r="Q234" s="541"/>
      <c r="R234" s="541" t="s">
        <v>793</v>
      </c>
      <c r="S234" s="541">
        <f t="shared" ref="S234:S240" si="87">B234</f>
        <v>0</v>
      </c>
      <c r="T234" s="541" t="str">
        <f>A!R477</f>
        <v>x10</v>
      </c>
      <c r="U234" s="541"/>
      <c r="V234" s="541"/>
      <c r="W234" s="541"/>
      <c r="X234" s="541"/>
    </row>
    <row r="235" spans="1:24" ht="11.25" hidden="1" customHeight="1" x14ac:dyDescent="0.25">
      <c r="A235" s="121" t="str">
        <f>IF(S235=0,"",COUNTIF(A$23:A234,"&gt;0")+1)</f>
        <v/>
      </c>
      <c r="B235" s="75"/>
      <c r="C235" s="76" t="str">
        <f t="shared" si="86"/>
        <v>x10</v>
      </c>
      <c r="D235" s="98" t="str">
        <f>A!C478</f>
        <v>Tubbed Ceratophyllum Demersum</v>
      </c>
      <c r="E235" s="78"/>
      <c r="F235" s="78"/>
      <c r="G235" s="99" t="str">
        <f>A!N478</f>
        <v>Hornwort</v>
      </c>
      <c r="H235" s="89" t="str">
        <f>A!Q478</f>
        <v>the clean &amp; tidy way to sell loose oxy's</v>
      </c>
      <c r="I235" s="106">
        <f>A!M478</f>
        <v>1</v>
      </c>
      <c r="J235" s="202" t="str">
        <f>A!P478</f>
        <v>Yes</v>
      </c>
      <c r="K235" s="83">
        <f>IF(A!G478="y",1,0)</f>
        <v>0</v>
      </c>
      <c r="L235" s="83">
        <f>IF(A!H478="y",1,0)</f>
        <v>0</v>
      </c>
      <c r="M235" s="84" t="str">
        <f>IF(A!F478="y","NEW","")</f>
        <v/>
      </c>
      <c r="N235" s="69"/>
      <c r="O235" s="82" t="str">
        <f>A!O478</f>
        <v>3,4</v>
      </c>
      <c r="P235" s="542"/>
      <c r="Q235" s="541">
        <f>A!E478</f>
        <v>0</v>
      </c>
      <c r="R235" s="541" t="s">
        <v>793</v>
      </c>
      <c r="S235" s="541">
        <f t="shared" si="87"/>
        <v>0</v>
      </c>
      <c r="T235" s="541" t="str">
        <f>A!R478</f>
        <v>x10</v>
      </c>
      <c r="U235" s="541"/>
      <c r="V235" s="541"/>
      <c r="W235" s="541"/>
      <c r="X235" s="541"/>
    </row>
    <row r="236" spans="1:24" ht="11.25" hidden="1" customHeight="1" x14ac:dyDescent="0.25">
      <c r="A236" s="121" t="str">
        <f>IF(S236=0,"",COUNTIF(A$23:A235,"&gt;0")+1)</f>
        <v/>
      </c>
      <c r="B236" s="75"/>
      <c r="C236" s="76" t="str">
        <f t="shared" si="86"/>
        <v>x10</v>
      </c>
      <c r="D236" s="98" t="str">
        <f>A!C479</f>
        <v>Tubbed Elodea Canadensis</v>
      </c>
      <c r="E236" s="78"/>
      <c r="F236" s="78"/>
      <c r="G236" s="99" t="str">
        <f>A!N479</f>
        <v>canadian pondweed</v>
      </c>
      <c r="H236" s="89" t="str">
        <f>A!Q479</f>
        <v xml:space="preserve"> </v>
      </c>
      <c r="I236" s="106">
        <f>A!M479</f>
        <v>1</v>
      </c>
      <c r="J236" s="202">
        <f>A!P479</f>
        <v>0</v>
      </c>
      <c r="K236" s="83">
        <f>IF(A!G479="y",1,0)</f>
        <v>0</v>
      </c>
      <c r="L236" s="83">
        <f>IF(A!H479="y",1,0)</f>
        <v>0</v>
      </c>
      <c r="M236" s="84" t="str">
        <f>IF(A!F479="y","NEW","")</f>
        <v/>
      </c>
      <c r="N236" s="69"/>
      <c r="O236" s="82" t="str">
        <f>A!O479</f>
        <v>3,4</v>
      </c>
      <c r="P236" s="542"/>
      <c r="Q236" s="541">
        <f>A!E479</f>
        <v>0</v>
      </c>
      <c r="R236" s="541" t="s">
        <v>793</v>
      </c>
      <c r="S236" s="541">
        <f t="shared" si="87"/>
        <v>0</v>
      </c>
      <c r="T236" s="541" t="str">
        <f>A!R479</f>
        <v>x10</v>
      </c>
      <c r="U236" s="541"/>
      <c r="V236" s="541"/>
      <c r="W236" s="541"/>
      <c r="X236" s="541"/>
    </row>
    <row r="237" spans="1:24" ht="11.25" hidden="1" customHeight="1" x14ac:dyDescent="0.25">
      <c r="A237" s="121" t="str">
        <f>IF(S237=0,"",COUNTIF(A$23:A236,"&gt;0")+1)</f>
        <v/>
      </c>
      <c r="B237" s="75"/>
      <c r="C237" s="76" t="str">
        <f t="shared" si="86"/>
        <v>x10</v>
      </c>
      <c r="D237" s="98" t="str">
        <f>A!C480</f>
        <v>Tubbed Fontinalis</v>
      </c>
      <c r="E237" s="78"/>
      <c r="F237" s="78"/>
      <c r="G237" s="99" t="str">
        <f>A!N480</f>
        <v>willow moss</v>
      </c>
      <c r="H237" s="89" t="str">
        <f>A!Q480</f>
        <v>wonderful oxy plant that looks particularly good in a tub</v>
      </c>
      <c r="I237" s="106">
        <f>A!M480</f>
        <v>1</v>
      </c>
      <c r="J237" s="202">
        <f>A!P480</f>
        <v>0</v>
      </c>
      <c r="K237" s="83">
        <f>IF(A!G480="y",1,0)</f>
        <v>0</v>
      </c>
      <c r="L237" s="83">
        <f>IF(A!H480="y",1,0)</f>
        <v>0</v>
      </c>
      <c r="M237" s="84" t="str">
        <f>IF(A!F480="y","NEW","")</f>
        <v/>
      </c>
      <c r="N237" s="69"/>
      <c r="O237" s="82" t="str">
        <f>A!O480</f>
        <v>3,4</v>
      </c>
      <c r="P237" s="542"/>
      <c r="Q237" s="541">
        <f>A!E480</f>
        <v>0</v>
      </c>
      <c r="R237" s="541" t="s">
        <v>793</v>
      </c>
      <c r="S237" s="541">
        <f t="shared" si="87"/>
        <v>0</v>
      </c>
      <c r="T237" s="541" t="str">
        <f>A!R480</f>
        <v>x10</v>
      </c>
      <c r="U237" s="541"/>
      <c r="V237" s="541"/>
      <c r="W237" s="541"/>
      <c r="X237" s="541"/>
    </row>
    <row r="238" spans="1:24" ht="11.25" hidden="1" customHeight="1" x14ac:dyDescent="0.25">
      <c r="A238" s="121" t="str">
        <f>IF(S238=0,"",COUNTIF(A$23:A237,"&gt;0")+1)</f>
        <v/>
      </c>
      <c r="B238" s="75"/>
      <c r="C238" s="76" t="str">
        <f t="shared" si="86"/>
        <v>x10</v>
      </c>
      <c r="D238" s="98" t="str">
        <f>A!C481</f>
        <v>Tubbed Myriophyllum Spicatum</v>
      </c>
      <c r="E238" s="78"/>
      <c r="F238" s="78"/>
      <c r="G238" s="99" t="str">
        <f>A!N481</f>
        <v>water milfoil</v>
      </c>
      <c r="H238" s="89" t="str">
        <f>A!Q481</f>
        <v>the clean &amp; tidy way to sell loose oxy's</v>
      </c>
      <c r="I238" s="106">
        <f>A!M481</f>
        <v>1</v>
      </c>
      <c r="J238" s="202" t="str">
        <f>A!P481</f>
        <v>Yes</v>
      </c>
      <c r="K238" s="83">
        <f>IF(A!G481="y",1,0)</f>
        <v>0</v>
      </c>
      <c r="L238" s="83">
        <f>IF(A!H481="y",1,0)</f>
        <v>0</v>
      </c>
      <c r="M238" s="84" t="str">
        <f>IF(A!F481="y","NEW","")</f>
        <v/>
      </c>
      <c r="N238" s="69"/>
      <c r="O238" s="82" t="str">
        <f>A!O481</f>
        <v>3,4</v>
      </c>
      <c r="P238" s="542"/>
      <c r="Q238" s="541">
        <f>A!E481</f>
        <v>0</v>
      </c>
      <c r="R238" s="541" t="s">
        <v>793</v>
      </c>
      <c r="S238" s="541">
        <f t="shared" si="87"/>
        <v>0</v>
      </c>
      <c r="T238" s="541" t="str">
        <f>A!R481</f>
        <v>x10</v>
      </c>
      <c r="U238" s="541"/>
      <c r="V238" s="541"/>
      <c r="W238" s="541"/>
      <c r="X238" s="541"/>
    </row>
    <row r="239" spans="1:24" ht="11.25" hidden="1" customHeight="1" x14ac:dyDescent="0.25">
      <c r="A239" s="121" t="str">
        <f>IF(S239=0,"",COUNTIF(A$23:A238,"&gt;0")+1)</f>
        <v/>
      </c>
      <c r="B239" s="107"/>
      <c r="C239" s="91" t="str">
        <f t="shared" si="86"/>
        <v>x10</v>
      </c>
      <c r="D239" s="98" t="str">
        <f>A!C482</f>
        <v>Tubbed Ranunculus Aquatilis</v>
      </c>
      <c r="E239" s="103"/>
      <c r="F239" s="109"/>
      <c r="G239" s="110" t="str">
        <f>A!N482</f>
        <v>water crowfoot</v>
      </c>
      <c r="H239" s="89" t="str">
        <f>A!Q482</f>
        <v>the modern way to sell loose oxy's</v>
      </c>
      <c r="I239" s="106">
        <f>A!M482</f>
        <v>1</v>
      </c>
      <c r="J239" s="202" t="str">
        <f>A!P482</f>
        <v>Yes</v>
      </c>
      <c r="K239" s="83">
        <f>IF(A!G482="y",1,0)</f>
        <v>0</v>
      </c>
      <c r="L239" s="83">
        <f>IF(A!H482="y",1,0)</f>
        <v>0</v>
      </c>
      <c r="M239" s="84" t="str">
        <f>IF(A!F482="y","NEW","")</f>
        <v/>
      </c>
      <c r="N239" s="69"/>
      <c r="O239" s="82" t="str">
        <f>A!O482</f>
        <v>3,4</v>
      </c>
      <c r="P239" s="542"/>
      <c r="Q239" s="541">
        <f>A!E482</f>
        <v>0</v>
      </c>
      <c r="R239" s="541" t="s">
        <v>793</v>
      </c>
      <c r="S239" s="541">
        <f t="shared" si="87"/>
        <v>0</v>
      </c>
      <c r="T239" s="541" t="str">
        <f>A!R482</f>
        <v>x10</v>
      </c>
      <c r="U239" s="541"/>
      <c r="V239" s="541"/>
      <c r="W239" s="541"/>
      <c r="X239" s="541"/>
    </row>
    <row r="240" spans="1:24" ht="11.25" hidden="1" customHeight="1" x14ac:dyDescent="0.25">
      <c r="A240" s="121" t="str">
        <f>IF(S240=0,"",COUNTIF(A$23:A239,"&gt;0")+1)</f>
        <v/>
      </c>
      <c r="B240" s="92">
        <f>SUM(B234:B239)</f>
        <v>0</v>
      </c>
      <c r="C240" s="92"/>
      <c r="D240" s="93" t="s">
        <v>795</v>
      </c>
      <c r="E240" s="56"/>
      <c r="F240" s="56"/>
      <c r="G240" s="56"/>
      <c r="H240" s="56"/>
      <c r="I240" s="56"/>
      <c r="J240" s="200"/>
      <c r="K240" s="56"/>
      <c r="L240" s="56"/>
      <c r="M240" s="58"/>
      <c r="N240" s="56"/>
      <c r="O240" s="96"/>
      <c r="P240" s="542"/>
      <c r="Q240" s="541"/>
      <c r="R240" s="541" t="s">
        <v>793</v>
      </c>
      <c r="S240" s="541">
        <f t="shared" si="87"/>
        <v>0</v>
      </c>
      <c r="T240" s="541" t="s">
        <v>215</v>
      </c>
      <c r="U240" s="541"/>
      <c r="V240" s="541"/>
      <c r="W240" s="541"/>
      <c r="X240" s="541"/>
    </row>
    <row r="241" spans="1:24" ht="11.25" hidden="1" customHeight="1" x14ac:dyDescent="0.25">
      <c r="A241" s="121" t="str">
        <f>IF(S241=0,"",COUNTIF(A$23:A240,"&gt;0")+1)</f>
        <v/>
      </c>
      <c r="P241" s="541"/>
      <c r="Q241" s="541"/>
      <c r="R241" s="541"/>
      <c r="S241" s="541"/>
      <c r="T241" s="541"/>
      <c r="U241" s="541"/>
      <c r="V241" s="541"/>
      <c r="W241" s="541"/>
      <c r="X241" s="541"/>
    </row>
    <row r="242" spans="1:24" ht="11.25" hidden="1" customHeight="1" x14ac:dyDescent="0.25">
      <c r="A242" s="121" t="str">
        <f>IF(S242=0,"",COUNTIF(A$23:A241,"&gt;0")+1)</f>
        <v/>
      </c>
      <c r="B242" s="953" t="s">
        <v>115</v>
      </c>
      <c r="C242" s="954"/>
      <c r="D242" s="977" t="s">
        <v>873</v>
      </c>
      <c r="E242" s="978"/>
      <c r="F242" s="978"/>
      <c r="G242" s="978"/>
      <c r="H242" s="192"/>
      <c r="I242" s="192"/>
      <c r="J242" s="192"/>
      <c r="K242" s="192"/>
      <c r="L242" s="192"/>
      <c r="M242" s="192"/>
      <c r="N242" s="192"/>
      <c r="O242" s="193"/>
      <c r="P242" s="542"/>
      <c r="Q242" s="542"/>
      <c r="R242" s="541"/>
      <c r="S242" s="541"/>
      <c r="T242" s="541"/>
      <c r="U242" s="541"/>
      <c r="V242" s="541"/>
      <c r="W242" s="541"/>
      <c r="X242" s="541"/>
    </row>
    <row r="243" spans="1:24" ht="11.25" hidden="1" customHeight="1" x14ac:dyDescent="0.25">
      <c r="A243" s="121" t="str">
        <f>IF(S243=0,"",COUNTIF(A$23:A242,"&gt;0")+1)</f>
        <v/>
      </c>
      <c r="B243" s="1013" t="s">
        <v>762</v>
      </c>
      <c r="C243" s="1014"/>
      <c r="D243" s="979"/>
      <c r="E243" s="980"/>
      <c r="F243" s="980"/>
      <c r="G243" s="980"/>
      <c r="H243" s="194"/>
      <c r="I243" s="194"/>
      <c r="J243" s="194"/>
      <c r="K243" s="194"/>
      <c r="L243" s="194"/>
      <c r="M243" s="194"/>
      <c r="N243" s="194"/>
      <c r="O243" s="195"/>
      <c r="P243" s="542"/>
      <c r="Q243" s="542"/>
      <c r="R243" s="541"/>
      <c r="S243" s="541"/>
      <c r="T243" s="541"/>
      <c r="U243" s="541"/>
      <c r="V243" s="541"/>
      <c r="W243" s="541"/>
      <c r="X243" s="541"/>
    </row>
    <row r="244" spans="1:24" ht="11.25" hidden="1" customHeight="1" x14ac:dyDescent="0.25">
      <c r="A244" s="121" t="str">
        <f>IF(S244=0,"",COUNTIF(A$23:A243,"&gt;0")+1)</f>
        <v/>
      </c>
      <c r="B244" s="72"/>
      <c r="C244" s="73" t="str">
        <f t="shared" ref="C244:C245" si="88">T244</f>
        <v>x50</v>
      </c>
      <c r="D244" s="97" t="str">
        <f>A!C510</f>
        <v>Assorted Tray (2 varieties)</v>
      </c>
      <c r="E244" s="74"/>
      <c r="F244" s="113"/>
      <c r="G244" s="99" t="str">
        <f>A!N510</f>
        <v>Trays of 50 oxygenators</v>
      </c>
      <c r="H244" s="89" t="str">
        <f>A!Q510</f>
        <v>the new and modern way to replace bunched oxys</v>
      </c>
      <c r="I244" s="69"/>
      <c r="J244" s="202"/>
      <c r="K244" s="83">
        <f>IF(A!G510="y",1,0)</f>
        <v>0</v>
      </c>
      <c r="L244" s="83">
        <f>IF(A!H510="y",1,0)</f>
        <v>0</v>
      </c>
      <c r="M244" s="84" t="str">
        <f>IF(A!F510="y","NEW","")</f>
        <v/>
      </c>
      <c r="N244" s="69"/>
      <c r="O244" s="117">
        <v>0.75</v>
      </c>
      <c r="P244" s="542"/>
      <c r="Q244" s="541">
        <f>A!E510</f>
        <v>0</v>
      </c>
      <c r="R244" s="541" t="s">
        <v>873</v>
      </c>
      <c r="S244" s="541">
        <f>B244</f>
        <v>0</v>
      </c>
      <c r="T244" s="541" t="str">
        <f>A!R510</f>
        <v>x50</v>
      </c>
      <c r="U244" s="541"/>
      <c r="V244" s="541"/>
      <c r="W244" s="541"/>
      <c r="X244" s="541"/>
    </row>
    <row r="245" spans="1:24" ht="11.25" hidden="1" customHeight="1" x14ac:dyDescent="0.25">
      <c r="A245" s="121" t="str">
        <f>IF(S245=0,"",COUNTIF(A$23:A244,"&gt;0")+1)</f>
        <v/>
      </c>
      <c r="B245" s="118"/>
      <c r="C245" s="91" t="str">
        <f t="shared" si="88"/>
        <v>x1</v>
      </c>
      <c r="D245" s="119" t="str">
        <f>A!C511</f>
        <v>5 pack</v>
      </c>
      <c r="E245" s="113"/>
      <c r="F245" s="113"/>
      <c r="G245" s="99" t="str">
        <f>A!N511</f>
        <v>Pack with 5 x 5cm oxys</v>
      </c>
      <c r="H245" s="89" t="str">
        <f>A!Q511</f>
        <v>the clean and dry way to sell the ideal oxy bunch replacement</v>
      </c>
      <c r="I245" s="69"/>
      <c r="J245" s="202"/>
      <c r="K245" s="83">
        <f>IF(A!G511="y",1,0)</f>
        <v>0</v>
      </c>
      <c r="L245" s="83">
        <f>IF(A!H511="y",1,0)</f>
        <v>0</v>
      </c>
      <c r="M245" s="84" t="str">
        <f>IF(A!F511="y","NEW","")</f>
        <v/>
      </c>
      <c r="N245" s="69"/>
      <c r="O245" s="117">
        <v>3.99</v>
      </c>
      <c r="P245" s="542"/>
      <c r="Q245" s="541">
        <f>A!E511</f>
        <v>0</v>
      </c>
      <c r="R245" s="541" t="s">
        <v>873</v>
      </c>
      <c r="S245" s="541">
        <f>B515</f>
        <v>0</v>
      </c>
      <c r="T245" s="541" t="str">
        <f>A!R511</f>
        <v>x1</v>
      </c>
      <c r="U245" s="541"/>
      <c r="V245" s="541"/>
      <c r="W245" s="541"/>
      <c r="X245" s="541"/>
    </row>
    <row r="246" spans="1:24" ht="11.25" hidden="1" customHeight="1" x14ac:dyDescent="0.25">
      <c r="A246" s="121" t="str">
        <f>IF(S246=0,"",COUNTIF(A$23:A245,"&gt;0")+1)</f>
        <v/>
      </c>
      <c r="B246" s="92">
        <f>SUM(B244:B245)</f>
        <v>0</v>
      </c>
      <c r="C246" s="92"/>
      <c r="D246" s="93" t="s">
        <v>957</v>
      </c>
      <c r="E246" s="56"/>
      <c r="F246" s="56"/>
      <c r="G246" s="56"/>
      <c r="H246" s="56"/>
      <c r="I246" s="56"/>
      <c r="J246" s="200"/>
      <c r="K246" s="56"/>
      <c r="L246" s="56"/>
      <c r="M246" s="58"/>
      <c r="N246" s="56"/>
      <c r="O246" s="96"/>
      <c r="P246" s="542"/>
      <c r="Q246" s="541"/>
      <c r="R246" s="541" t="s">
        <v>873</v>
      </c>
      <c r="S246" s="541">
        <f>B246</f>
        <v>0</v>
      </c>
      <c r="T246" s="541" t="s">
        <v>548</v>
      </c>
      <c r="U246" s="541"/>
      <c r="V246" s="541"/>
      <c r="W246" s="541"/>
      <c r="X246" s="541"/>
    </row>
    <row r="247" spans="1:24" ht="11.25" hidden="1" customHeight="1" x14ac:dyDescent="0.25">
      <c r="A247" s="121" t="str">
        <f>IF(S247=0,"",COUNTIF(A$23:A246,"&gt;0")+1)</f>
        <v/>
      </c>
      <c r="P247" s="541"/>
      <c r="Q247" s="541"/>
      <c r="R247" s="541"/>
      <c r="S247" s="541"/>
      <c r="T247" s="541"/>
      <c r="U247" s="541"/>
      <c r="V247" s="541"/>
      <c r="W247" s="541"/>
      <c r="X247" s="541"/>
    </row>
    <row r="248" spans="1:24" ht="11.25" hidden="1" customHeight="1" x14ac:dyDescent="0.25">
      <c r="A248" s="121" t="str">
        <f>IF(S248=0,"",COUNTIF(A$23:A247,"&gt;0")+1)</f>
        <v/>
      </c>
      <c r="B248" s="953" t="s">
        <v>115</v>
      </c>
      <c r="C248" s="954"/>
      <c r="D248" s="977" t="s">
        <v>1207</v>
      </c>
      <c r="E248" s="978"/>
      <c r="F248" s="978"/>
      <c r="G248" s="978"/>
      <c r="H248" s="908" t="s">
        <v>1210</v>
      </c>
      <c r="I248" s="951" t="s">
        <v>1246</v>
      </c>
      <c r="J248" s="951"/>
      <c r="K248" s="951"/>
      <c r="L248" s="951"/>
      <c r="M248" s="951"/>
      <c r="N248" s="951"/>
      <c r="O248" s="952"/>
      <c r="P248" s="748"/>
      <c r="Q248" s="748"/>
      <c r="R248" s="541"/>
      <c r="S248" s="541"/>
      <c r="T248" s="541"/>
      <c r="U248" s="541"/>
      <c r="V248" s="541"/>
      <c r="W248" s="541"/>
      <c r="X248" s="541"/>
    </row>
    <row r="249" spans="1:24" ht="11.25" hidden="1" customHeight="1" x14ac:dyDescent="0.25">
      <c r="A249" s="121" t="str">
        <f>IF(S249=0,"",COUNTIF(A$23:A248,"&gt;0")+1)</f>
        <v/>
      </c>
      <c r="B249" s="1013" t="s">
        <v>1215</v>
      </c>
      <c r="C249" s="1014"/>
      <c r="D249" s="979"/>
      <c r="E249" s="980"/>
      <c r="F249" s="980"/>
      <c r="G249" s="980"/>
      <c r="H249" s="909"/>
      <c r="I249" s="62" t="s">
        <v>114</v>
      </c>
      <c r="J249" s="201"/>
      <c r="K249" s="63"/>
      <c r="L249" s="63"/>
      <c r="M249" s="62"/>
      <c r="N249" s="63"/>
      <c r="O249" s="64" t="s">
        <v>41</v>
      </c>
      <c r="P249" s="748"/>
      <c r="Q249" s="748"/>
      <c r="R249" s="541"/>
      <c r="S249" s="541"/>
      <c r="T249" s="541"/>
      <c r="U249" s="541"/>
      <c r="V249" s="541"/>
      <c r="W249" s="541"/>
      <c r="X249" s="541"/>
    </row>
    <row r="250" spans="1:24" ht="11.25" hidden="1" customHeight="1" x14ac:dyDescent="0.25">
      <c r="A250" s="121" t="str">
        <f>IF(S250=0,"",COUNTIF(A$23:A249,"&gt;0")+1)</f>
        <v/>
      </c>
      <c r="B250" s="120"/>
      <c r="C250" s="76" t="str">
        <f>T250</f>
        <v>x15</v>
      </c>
      <c r="D250" s="98" t="str">
        <f>A!C898</f>
        <v>Primula denticulata Alba</v>
      </c>
      <c r="E250" s="109"/>
      <c r="F250" s="109"/>
      <c r="G250" s="99" t="str">
        <f>A!N898</f>
        <v>himilayan primula</v>
      </c>
      <c r="H250" s="89" t="str">
        <f>A!Q898</f>
        <v>distinctive large spherical white flower heads</v>
      </c>
      <c r="I250" s="69">
        <f>A!M898</f>
        <v>2</v>
      </c>
      <c r="J250" s="202">
        <f>A!P898</f>
        <v>0</v>
      </c>
      <c r="K250" s="83">
        <f>IF(A!G898="y",1,0)</f>
        <v>0</v>
      </c>
      <c r="L250" s="83">
        <f>IF(A!H898="y",1,0)</f>
        <v>0</v>
      </c>
      <c r="M250" s="84" t="str">
        <f>IF(A!F898="y","NEW","")</f>
        <v/>
      </c>
      <c r="N250" s="85">
        <f>A!I898</f>
        <v>0</v>
      </c>
      <c r="O250" s="82">
        <f>A!O898</f>
        <v>1</v>
      </c>
      <c r="P250" s="748"/>
      <c r="Q250" s="541">
        <f>A!E898</f>
        <v>0</v>
      </c>
      <c r="R250" s="541" t="s">
        <v>1208</v>
      </c>
      <c r="S250" s="541">
        <f t="shared" ref="S250:S254" si="89">B250</f>
        <v>0</v>
      </c>
      <c r="T250" s="541" t="str">
        <f>A!R898</f>
        <v>x15</v>
      </c>
      <c r="U250" s="541"/>
      <c r="V250" s="541"/>
      <c r="W250" s="541"/>
      <c r="X250" s="541"/>
    </row>
    <row r="251" spans="1:24" ht="11.25" hidden="1" customHeight="1" x14ac:dyDescent="0.25">
      <c r="A251" s="121" t="str">
        <f>IF(S251=0,"",COUNTIF(A$23:A250,"&gt;0")+1)</f>
        <v/>
      </c>
      <c r="B251" s="120"/>
      <c r="C251" s="76" t="str">
        <f t="shared" ref="C251:C252" si="90">T251</f>
        <v>x15</v>
      </c>
      <c r="D251" s="98" t="str">
        <f>A!C899</f>
        <v>Primula denticulata Lilac</v>
      </c>
      <c r="E251" s="109"/>
      <c r="F251" s="109"/>
      <c r="G251" s="99" t="str">
        <f>A!N899</f>
        <v>drumstick primula</v>
      </c>
      <c r="H251" s="89" t="str">
        <f>A!Q899</f>
        <v>tiny lilac-purple flowers in spring until early summer</v>
      </c>
      <c r="I251" s="69">
        <f>A!M899</f>
        <v>2</v>
      </c>
      <c r="J251" s="202">
        <f>A!P899</f>
        <v>0</v>
      </c>
      <c r="K251" s="83">
        <f>IF(A!G899="y",1,0)</f>
        <v>0</v>
      </c>
      <c r="L251" s="83">
        <f>IF(A!H899="y",1,0)</f>
        <v>0</v>
      </c>
      <c r="M251" s="84" t="str">
        <f>IF(A!F899="y","NEW","")</f>
        <v/>
      </c>
      <c r="N251" s="85">
        <f>A!I899</f>
        <v>0</v>
      </c>
      <c r="O251" s="82">
        <f>A!O899</f>
        <v>1</v>
      </c>
      <c r="P251" s="748"/>
      <c r="Q251" s="541">
        <f>A!E899</f>
        <v>0</v>
      </c>
      <c r="R251" s="541" t="s">
        <v>1208</v>
      </c>
      <c r="S251" s="541">
        <f t="shared" ref="S251:S252" si="91">B251</f>
        <v>0</v>
      </c>
      <c r="T251" s="541" t="str">
        <f>A!R899</f>
        <v>x15</v>
      </c>
      <c r="U251" s="541"/>
      <c r="V251" s="541"/>
      <c r="W251" s="541"/>
      <c r="X251" s="541"/>
    </row>
    <row r="252" spans="1:24" ht="11.25" hidden="1" customHeight="1" x14ac:dyDescent="0.25">
      <c r="A252" s="121" t="str">
        <f>IF(S252=0,"",COUNTIF(A$23:A251,"&gt;0")+1)</f>
        <v/>
      </c>
      <c r="B252" s="120"/>
      <c r="C252" s="165" t="str">
        <f t="shared" si="90"/>
        <v>x15</v>
      </c>
      <c r="D252" s="108" t="str">
        <f>A!C900</f>
        <v>Primula denticulata Rubin</v>
      </c>
      <c r="E252" s="109"/>
      <c r="F252" s="109"/>
      <c r="G252" s="166" t="str">
        <f>A!N900</f>
        <v>himilayan primula</v>
      </c>
      <c r="H252" s="167" t="str">
        <f>A!Q900</f>
        <v>Asian native, stunning cylindrical flowers</v>
      </c>
      <c r="I252" s="111">
        <f>A!M900</f>
        <v>2</v>
      </c>
      <c r="J252" s="242">
        <f>A!P900</f>
        <v>0</v>
      </c>
      <c r="K252" s="243">
        <f>IF(A!G900="y",1,0)</f>
        <v>0</v>
      </c>
      <c r="L252" s="243">
        <f>IF(A!H900="y",1,0)</f>
        <v>0</v>
      </c>
      <c r="M252" s="244" t="str">
        <f>IF(A!F900="y","NEW","")</f>
        <v/>
      </c>
      <c r="N252" s="245">
        <f>A!I900</f>
        <v>0</v>
      </c>
      <c r="O252" s="112">
        <f>A!O900</f>
        <v>1</v>
      </c>
      <c r="P252" s="748"/>
      <c r="Q252" s="541">
        <f>A!E900</f>
        <v>0</v>
      </c>
      <c r="R252" s="541" t="s">
        <v>1208</v>
      </c>
      <c r="S252" s="541">
        <f t="shared" si="91"/>
        <v>0</v>
      </c>
      <c r="T252" s="541" t="str">
        <f>A!R900</f>
        <v>x15</v>
      </c>
      <c r="U252" s="541"/>
      <c r="V252" s="541"/>
      <c r="W252" s="541"/>
      <c r="X252" s="541"/>
    </row>
    <row r="253" spans="1:24" ht="11.25" hidden="1" customHeight="1" x14ac:dyDescent="0.25">
      <c r="A253" s="121" t="str">
        <f>IF(S253=0,"",COUNTIF(A$23:A252,"&gt;0")+1)</f>
        <v/>
      </c>
      <c r="B253" s="262"/>
      <c r="C253" s="263" t="str">
        <f t="shared" ref="C253" si="92">T253</f>
        <v>x15</v>
      </c>
      <c r="D253" s="273" t="str">
        <f>A!C901</f>
        <v>FREE PRIMULA</v>
      </c>
      <c r="E253" s="264"/>
      <c r="F253" s="264"/>
      <c r="G253" s="265" t="str">
        <f>A!N901</f>
        <v>FOC</v>
      </c>
      <c r="H253" s="272" t="str">
        <f>A!Q901</f>
        <v>BUY 3 TRAYS GET ANOTHER 1 FREE!</v>
      </c>
      <c r="I253" s="266">
        <f>A!M901</f>
        <v>2</v>
      </c>
      <c r="J253" s="267">
        <f>A!P901</f>
        <v>0</v>
      </c>
      <c r="K253" s="268">
        <f>IF(A!G901="y",1,0)</f>
        <v>0</v>
      </c>
      <c r="L253" s="268">
        <f>IF(A!H901="y",1,0)</f>
        <v>0</v>
      </c>
      <c r="M253" s="269" t="str">
        <f>IF(A!F901="y","NEW","")</f>
        <v/>
      </c>
      <c r="N253" s="270">
        <f>A!I901</f>
        <v>0</v>
      </c>
      <c r="O253" s="271">
        <f>A!O901</f>
        <v>1</v>
      </c>
      <c r="P253" s="748"/>
      <c r="Q253" s="541">
        <f>A!E901</f>
        <v>0</v>
      </c>
      <c r="R253" s="541" t="s">
        <v>1208</v>
      </c>
      <c r="S253" s="541">
        <f t="shared" ref="S253" si="93">B253</f>
        <v>0</v>
      </c>
      <c r="T253" s="541" t="str">
        <f>A!R901</f>
        <v>x15</v>
      </c>
      <c r="U253" s="541"/>
      <c r="V253" s="541"/>
      <c r="W253" s="541"/>
      <c r="X253" s="541"/>
    </row>
    <row r="254" spans="1:24" ht="11.25" hidden="1" customHeight="1" x14ac:dyDescent="0.25">
      <c r="A254" s="121" t="str">
        <f>IF(S254=0,"",COUNTIF(A$23:A253,"&gt;0")+1)</f>
        <v/>
      </c>
      <c r="B254" s="92">
        <f>SUM(B250:B253)</f>
        <v>0</v>
      </c>
      <c r="C254" s="92"/>
      <c r="D254" s="93" t="s">
        <v>1209</v>
      </c>
      <c r="E254" s="56"/>
      <c r="F254" s="56"/>
      <c r="G254" s="56"/>
      <c r="H254" s="56"/>
      <c r="I254" s="56"/>
      <c r="J254" s="200"/>
      <c r="K254" s="56"/>
      <c r="L254" s="56"/>
      <c r="M254" s="58"/>
      <c r="N254" s="56"/>
      <c r="O254" s="96"/>
      <c r="P254" s="748"/>
      <c r="Q254" s="541"/>
      <c r="R254" s="541" t="s">
        <v>1208</v>
      </c>
      <c r="S254" s="541">
        <f t="shared" si="89"/>
        <v>0</v>
      </c>
      <c r="T254" s="541" t="s">
        <v>1214</v>
      </c>
      <c r="U254" s="541"/>
      <c r="V254" s="541"/>
      <c r="W254" s="541"/>
      <c r="X254" s="541"/>
    </row>
    <row r="255" spans="1:24" ht="9" customHeight="1" thickBot="1" x14ac:dyDescent="0.3">
      <c r="A255" s="121" t="str">
        <f>IF(S255=0,"",COUNTIF(A$23:A254,"&gt;0")+1)</f>
        <v/>
      </c>
      <c r="P255" s="541"/>
      <c r="Q255" s="541"/>
      <c r="R255" s="541"/>
      <c r="S255" s="541"/>
      <c r="T255" s="541"/>
      <c r="U255" s="541"/>
      <c r="V255" s="541"/>
      <c r="W255" s="541"/>
      <c r="X255" s="541"/>
    </row>
    <row r="256" spans="1:24" ht="12" customHeight="1" thickTop="1" x14ac:dyDescent="0.25">
      <c r="A256" s="121" t="str">
        <f>IF(S256=0,"",COUNTIF(A$23:A255,"&gt;0")+1)</f>
        <v/>
      </c>
      <c r="B256" s="959" t="s">
        <v>115</v>
      </c>
      <c r="C256" s="960"/>
      <c r="D256" s="920" t="s">
        <v>1147</v>
      </c>
      <c r="E256" s="921"/>
      <c r="F256" s="921"/>
      <c r="G256" s="921"/>
      <c r="H256" s="924" t="s">
        <v>1180</v>
      </c>
      <c r="I256" s="936" t="s">
        <v>1250</v>
      </c>
      <c r="J256" s="936"/>
      <c r="K256" s="936"/>
      <c r="L256" s="936"/>
      <c r="M256" s="936"/>
      <c r="N256" s="936"/>
      <c r="O256" s="937"/>
      <c r="P256" s="748"/>
      <c r="Q256" s="748"/>
      <c r="R256" s="541"/>
      <c r="S256" s="541"/>
      <c r="T256" s="541"/>
      <c r="U256" s="541"/>
      <c r="V256" s="541"/>
      <c r="W256" s="541"/>
      <c r="X256" s="541"/>
    </row>
    <row r="257" spans="1:24" ht="12" customHeight="1" thickBot="1" x14ac:dyDescent="0.3">
      <c r="A257" s="121" t="str">
        <f>IF(S257=0,"",COUNTIF(A$23:A256,"&gt;0")+1)</f>
        <v/>
      </c>
      <c r="B257" s="961" t="s">
        <v>1189</v>
      </c>
      <c r="C257" s="962"/>
      <c r="D257" s="922"/>
      <c r="E257" s="923"/>
      <c r="F257" s="923"/>
      <c r="G257" s="923"/>
      <c r="H257" s="925"/>
      <c r="I257" s="698" t="s">
        <v>114</v>
      </c>
      <c r="J257" s="699"/>
      <c r="K257" s="700"/>
      <c r="L257" s="700"/>
      <c r="M257" s="698"/>
      <c r="N257" s="700"/>
      <c r="O257" s="701" t="s">
        <v>41</v>
      </c>
      <c r="P257" s="748"/>
      <c r="Q257" s="748"/>
      <c r="R257" s="541"/>
      <c r="S257" s="541"/>
      <c r="T257" s="541"/>
      <c r="U257" s="541"/>
      <c r="V257" s="541"/>
      <c r="W257" s="541"/>
      <c r="X257" s="541"/>
    </row>
    <row r="258" spans="1:24" ht="11.25" hidden="1" customHeight="1" thickTop="1" thickBot="1" x14ac:dyDescent="0.3">
      <c r="A258" s="121" t="str">
        <f>IF(S258=0,"",COUNTIF(A$23:A257,"&gt;0")+1)</f>
        <v/>
      </c>
      <c r="B258" s="683"/>
      <c r="C258" s="506" t="str">
        <f t="shared" ref="C258:C329" si="94">T258</f>
        <v>x3</v>
      </c>
      <c r="D258" s="507" t="str">
        <f>A!C254</f>
        <v>Assorted Pondside</v>
      </c>
      <c r="E258" s="514"/>
      <c r="F258" s="514"/>
      <c r="G258" s="508" t="str">
        <f>A!N254</f>
        <v>our best selection</v>
      </c>
      <c r="H258" s="509" t="str">
        <f>A!Q254</f>
        <v>take the worry out of ordering, best plants available</v>
      </c>
      <c r="I258" s="490">
        <f>A!M254</f>
        <v>2</v>
      </c>
      <c r="J258" s="510">
        <f>A!P254</f>
        <v>0</v>
      </c>
      <c r="K258" s="511">
        <f>IF(A!G254="y",1,0)</f>
        <v>0</v>
      </c>
      <c r="L258" s="511">
        <f>IF(A!H254="y",1,0)</f>
        <v>0</v>
      </c>
      <c r="M258" s="512" t="str">
        <f>IF(A!F254="y","NEW","")</f>
        <v/>
      </c>
      <c r="N258" s="513">
        <f>A!I254</f>
        <v>0</v>
      </c>
      <c r="O258" s="684">
        <f>A!O254</f>
        <v>1</v>
      </c>
      <c r="P258" s="541">
        <f>A!K254</f>
        <v>0</v>
      </c>
      <c r="Q258" s="541">
        <f>A!E254</f>
        <v>0</v>
      </c>
      <c r="R258" s="541" t="s">
        <v>453</v>
      </c>
      <c r="S258" s="541">
        <f t="shared" ref="S258:S302" si="95">B258</f>
        <v>0</v>
      </c>
      <c r="T258" s="541" t="str">
        <f>A!R254</f>
        <v>x3</v>
      </c>
      <c r="U258" s="541" t="str">
        <f>A!S254</f>
        <v/>
      </c>
      <c r="V258" s="541">
        <f>A!T254</f>
        <v>0.125</v>
      </c>
      <c r="W258" s="541"/>
      <c r="X258" s="541"/>
    </row>
    <row r="259" spans="1:24" ht="11.25" customHeight="1" thickTop="1" x14ac:dyDescent="0.25">
      <c r="A259" s="121" t="str">
        <f>IF(S259=0,"",COUNTIF(A$23:A258,"&gt;0")+1)</f>
        <v/>
      </c>
      <c r="B259" s="784"/>
      <c r="C259" s="785" t="str">
        <f t="shared" si="94"/>
        <v>x3</v>
      </c>
      <c r="D259" s="786" t="str">
        <f>A!C255</f>
        <v>Assorted Ferns</v>
      </c>
      <c r="E259" s="787"/>
      <c r="F259" s="787"/>
      <c r="G259" s="788" t="str">
        <f>A!N255</f>
        <v>our best selection</v>
      </c>
      <c r="H259" s="789" t="str">
        <f>A!Q255</f>
        <v>take the worry out of ordering, best plants available</v>
      </c>
      <c r="I259" s="790">
        <f>A!M255</f>
        <v>2</v>
      </c>
      <c r="J259" s="791">
        <f>A!P255</f>
        <v>0</v>
      </c>
      <c r="K259" s="792">
        <f>IF(A!G255="y",1,0)</f>
        <v>1</v>
      </c>
      <c r="L259" s="792">
        <f>IF(A!H255="y",1,0)</f>
        <v>1</v>
      </c>
      <c r="M259" s="793" t="str">
        <f>IF(A!F255="y","NEW","")</f>
        <v/>
      </c>
      <c r="N259" s="794">
        <f>A!I255</f>
        <v>0</v>
      </c>
      <c r="O259" s="795">
        <f>A!O255</f>
        <v>1</v>
      </c>
      <c r="P259" s="541" t="str">
        <f>A!K255</f>
        <v>M</v>
      </c>
      <c r="Q259" s="541" t="str">
        <f>A!E255</f>
        <v>y</v>
      </c>
      <c r="R259" s="541" t="s">
        <v>453</v>
      </c>
      <c r="S259" s="541">
        <f t="shared" si="95"/>
        <v>0</v>
      </c>
      <c r="T259" s="541" t="str">
        <f>A!R255</f>
        <v>x3</v>
      </c>
      <c r="U259" s="541">
        <f>A!S255</f>
        <v>50</v>
      </c>
      <c r="V259" s="541">
        <f>A!T255</f>
        <v>0.125</v>
      </c>
      <c r="W259" s="541">
        <f t="shared" ref="W259:W329" si="96">V259*B259</f>
        <v>0</v>
      </c>
      <c r="X259" s="541"/>
    </row>
    <row r="260" spans="1:24" ht="11.25" hidden="1" customHeight="1" x14ac:dyDescent="0.25">
      <c r="A260" s="121" t="str">
        <f>IF(S260=0,"",COUNTIF(A$23:A259,"&gt;0")+1)</f>
        <v/>
      </c>
      <c r="B260" s="796"/>
      <c r="C260" s="76" t="str">
        <f t="shared" si="94"/>
        <v>x3</v>
      </c>
      <c r="D260" s="98" t="str">
        <f>A!C256</f>
        <v>Allium Ursinum</v>
      </c>
      <c r="E260" s="109"/>
      <c r="F260" s="109"/>
      <c r="G260" s="99" t="str">
        <f>A!N256</f>
        <v>wild garlic</v>
      </c>
      <c r="H260" s="89" t="str">
        <f>A!Q256</f>
        <v>rounded head of white star-like flowers</v>
      </c>
      <c r="I260" s="69">
        <f>A!M256</f>
        <v>2</v>
      </c>
      <c r="J260" s="202">
        <f>A!P256</f>
        <v>0</v>
      </c>
      <c r="K260" s="83">
        <f>IF(A!G256="y",1,0)</f>
        <v>0</v>
      </c>
      <c r="L260" s="83">
        <f>IF(A!H256="y",1,0)</f>
        <v>0</v>
      </c>
      <c r="M260" s="84" t="str">
        <f>IF(A!F256="y","NEW","")</f>
        <v/>
      </c>
      <c r="N260" s="85">
        <f>A!I256</f>
        <v>0</v>
      </c>
      <c r="O260" s="797">
        <f>A!O256</f>
        <v>1</v>
      </c>
      <c r="P260" s="541">
        <f>A!K256</f>
        <v>0</v>
      </c>
      <c r="Q260" s="541">
        <f>A!E256</f>
        <v>0</v>
      </c>
      <c r="R260" s="541" t="s">
        <v>453</v>
      </c>
      <c r="S260" s="541">
        <f t="shared" si="95"/>
        <v>0</v>
      </c>
      <c r="T260" s="541" t="str">
        <f>A!R256</f>
        <v>x3</v>
      </c>
      <c r="U260" s="541" t="str">
        <f>A!S256</f>
        <v/>
      </c>
      <c r="V260" s="541">
        <f>A!T256</f>
        <v>0.125</v>
      </c>
      <c r="W260" s="541">
        <f t="shared" si="96"/>
        <v>0</v>
      </c>
      <c r="X260" s="541"/>
    </row>
    <row r="261" spans="1:24" ht="11.25" hidden="1" customHeight="1" x14ac:dyDescent="0.25">
      <c r="A261" s="121" t="str">
        <f>IF(S261=0,"",COUNTIF(A$23:A260,"&gt;0")+1)</f>
        <v/>
      </c>
      <c r="B261" s="796"/>
      <c r="C261" s="76" t="str">
        <f t="shared" si="94"/>
        <v>x3</v>
      </c>
      <c r="D261" s="98" t="str">
        <f>A!C257</f>
        <v>Asplenium scolopendrium</v>
      </c>
      <c r="E261" s="109"/>
      <c r="F261" s="109"/>
      <c r="G261" s="99" t="str">
        <f>A!N257</f>
        <v>harts tongue fern</v>
      </c>
      <c r="H261" s="89" t="str">
        <f>A!Q257</f>
        <v>native fern, perfect for pondside planting</v>
      </c>
      <c r="I261" s="69">
        <f>A!M257</f>
        <v>2</v>
      </c>
      <c r="J261" s="202">
        <f>A!P257</f>
        <v>0</v>
      </c>
      <c r="K261" s="83">
        <f>IF(A!G257="y",1,0)</f>
        <v>0</v>
      </c>
      <c r="L261" s="83">
        <f>IF(A!H257="y",1,0)</f>
        <v>0</v>
      </c>
      <c r="M261" s="84" t="str">
        <f>IF(A!F257="y","NEW","")</f>
        <v/>
      </c>
      <c r="N261" s="85">
        <f>A!I257</f>
        <v>0</v>
      </c>
      <c r="O261" s="797">
        <f>A!O257</f>
        <v>1</v>
      </c>
      <c r="P261" s="541">
        <f>A!K257</f>
        <v>0</v>
      </c>
      <c r="Q261" s="541">
        <f>A!E257</f>
        <v>0</v>
      </c>
      <c r="R261" s="541" t="s">
        <v>453</v>
      </c>
      <c r="S261" s="541">
        <f t="shared" si="95"/>
        <v>0</v>
      </c>
      <c r="T261" s="541" t="str">
        <f>A!R257</f>
        <v>x3</v>
      </c>
      <c r="U261" s="541" t="str">
        <f>A!S257</f>
        <v/>
      </c>
      <c r="V261" s="541">
        <f>A!T257</f>
        <v>0.125</v>
      </c>
      <c r="W261" s="541">
        <f t="shared" si="96"/>
        <v>0</v>
      </c>
      <c r="X261" s="541"/>
    </row>
    <row r="262" spans="1:24" ht="11.25" hidden="1" customHeight="1" x14ac:dyDescent="0.25">
      <c r="A262" s="121" t="str">
        <f>IF(S262=0,"",COUNTIF(A$23:A261,"&gt;0")+1)</f>
        <v/>
      </c>
      <c r="B262" s="796"/>
      <c r="C262" s="76" t="str">
        <f t="shared" si="94"/>
        <v>x3</v>
      </c>
      <c r="D262" s="98" t="str">
        <f>A!C258</f>
        <v>Astilbe Assorted- BEST</v>
      </c>
      <c r="E262" s="109"/>
      <c r="F262" s="109"/>
      <c r="G262" s="99" t="str">
        <f>A!N258</f>
        <v>astilbe</v>
      </c>
      <c r="H262" s="89" t="str">
        <f>A!Q258</f>
        <v>a selection of various shades of white, pink and red flowers</v>
      </c>
      <c r="I262" s="69">
        <f>A!M258</f>
        <v>2</v>
      </c>
      <c r="J262" s="202">
        <f>A!P258</f>
        <v>0</v>
      </c>
      <c r="K262" s="83">
        <f>IF(A!G258="y",1,0)</f>
        <v>0</v>
      </c>
      <c r="L262" s="83">
        <f>IF(A!H258="y",1,0)</f>
        <v>0</v>
      </c>
      <c r="M262" s="84" t="str">
        <f>IF(A!F258="y","NEW","")</f>
        <v/>
      </c>
      <c r="N262" s="85">
        <f>A!I258</f>
        <v>0</v>
      </c>
      <c r="O262" s="797">
        <f>A!O258</f>
        <v>1</v>
      </c>
      <c r="P262" s="541" t="str">
        <f>A!K258</f>
        <v>M</v>
      </c>
      <c r="Q262" s="541">
        <f>A!E258</f>
        <v>0</v>
      </c>
      <c r="R262" s="541" t="s">
        <v>453</v>
      </c>
      <c r="S262" s="541">
        <f t="shared" si="95"/>
        <v>0</v>
      </c>
      <c r="T262" s="541" t="str">
        <f>A!R258</f>
        <v>x3</v>
      </c>
      <c r="U262" s="541">
        <f>A!S258</f>
        <v>50</v>
      </c>
      <c r="V262" s="541">
        <f>A!T258</f>
        <v>0.125</v>
      </c>
      <c r="W262" s="541">
        <f t="shared" si="96"/>
        <v>0</v>
      </c>
      <c r="X262" s="541"/>
    </row>
    <row r="263" spans="1:24" ht="11.25" hidden="1" customHeight="1" x14ac:dyDescent="0.25">
      <c r="A263" s="121" t="str">
        <f>IF(S263=0,"",COUNTIF(A$23:A262,"&gt;0")+1)</f>
        <v/>
      </c>
      <c r="B263" s="796"/>
      <c r="C263" s="76" t="str">
        <f t="shared" ref="C263:C265" si="97">T263</f>
        <v>x3</v>
      </c>
      <c r="D263" s="98" t="str">
        <f>A!C259</f>
        <v>Astilbe younique carmine</v>
      </c>
      <c r="E263" s="109"/>
      <c r="F263" s="109"/>
      <c r="G263" s="99" t="str">
        <f>A!N259</f>
        <v>astilbe</v>
      </c>
      <c r="H263" s="89" t="str">
        <f>A!Q259</f>
        <v>compact habit with beautiful large flower carmine plume</v>
      </c>
      <c r="I263" s="69">
        <f>A!M259</f>
        <v>2</v>
      </c>
      <c r="J263" s="202">
        <f>A!P259</f>
        <v>0</v>
      </c>
      <c r="K263" s="83">
        <f>IF(A!G259="y",1,0)</f>
        <v>0</v>
      </c>
      <c r="L263" s="83">
        <f>IF(A!H259="y",1,0)</f>
        <v>0</v>
      </c>
      <c r="M263" s="84" t="str">
        <f>IF(A!F259="y","NEW","")</f>
        <v/>
      </c>
      <c r="N263" s="675">
        <f>A!I259</f>
        <v>0</v>
      </c>
      <c r="O263" s="797">
        <f>A!O259</f>
        <v>1</v>
      </c>
      <c r="P263" s="541" t="str">
        <f>A!K259</f>
        <v>M</v>
      </c>
      <c r="Q263" s="541">
        <f>A!E259</f>
        <v>0</v>
      </c>
      <c r="R263" s="541" t="s">
        <v>453</v>
      </c>
      <c r="S263" s="541">
        <f t="shared" ref="S263:S265" si="98">B263</f>
        <v>0</v>
      </c>
      <c r="T263" s="541" t="str">
        <f>A!R259</f>
        <v>x3</v>
      </c>
      <c r="U263" s="541">
        <f>A!S259</f>
        <v>50</v>
      </c>
      <c r="V263" s="541">
        <f>A!T259</f>
        <v>0.125</v>
      </c>
      <c r="W263" s="541">
        <f t="shared" si="96"/>
        <v>0</v>
      </c>
      <c r="X263" s="541"/>
    </row>
    <row r="264" spans="1:24" ht="11.25" hidden="1" customHeight="1" x14ac:dyDescent="0.25">
      <c r="A264" s="121" t="str">
        <f>IF(S264=0,"",COUNTIF(A$23:A263,"&gt;0")+1)</f>
        <v/>
      </c>
      <c r="B264" s="796"/>
      <c r="C264" s="76" t="str">
        <f t="shared" si="97"/>
        <v>x3</v>
      </c>
      <c r="D264" s="98" t="str">
        <f>A!C260</f>
        <v>Astilbe younique cerise</v>
      </c>
      <c r="E264" s="109"/>
      <c r="F264" s="109"/>
      <c r="G264" s="99" t="str">
        <f>A!N260</f>
        <v>astilbe</v>
      </c>
      <c r="H264" s="89" t="str">
        <f>A!Q260</f>
        <v>short, compact and rich cherry red flowers</v>
      </c>
      <c r="I264" s="69">
        <f>A!M260</f>
        <v>2</v>
      </c>
      <c r="J264" s="202">
        <f>A!P260</f>
        <v>0</v>
      </c>
      <c r="K264" s="83">
        <f>IF(A!G260="y",1,0)</f>
        <v>0</v>
      </c>
      <c r="L264" s="83">
        <f>IF(A!H260="y",1,0)</f>
        <v>0</v>
      </c>
      <c r="M264" s="84" t="str">
        <f>IF(A!F260="y","NEW","")</f>
        <v/>
      </c>
      <c r="N264" s="85">
        <f>A!I260</f>
        <v>0</v>
      </c>
      <c r="O264" s="797">
        <f>A!O260</f>
        <v>1</v>
      </c>
      <c r="P264" s="541" t="str">
        <f>A!K260</f>
        <v>M</v>
      </c>
      <c r="Q264" s="541">
        <f>A!E260</f>
        <v>0</v>
      </c>
      <c r="R264" s="541" t="s">
        <v>453</v>
      </c>
      <c r="S264" s="541">
        <f t="shared" si="98"/>
        <v>0</v>
      </c>
      <c r="T264" s="541" t="str">
        <f>A!R260</f>
        <v>x3</v>
      </c>
      <c r="U264" s="541">
        <f>A!S260</f>
        <v>50</v>
      </c>
      <c r="V264" s="541">
        <f>A!T260</f>
        <v>0.125</v>
      </c>
      <c r="W264" s="541">
        <f t="shared" si="96"/>
        <v>0</v>
      </c>
      <c r="X264" s="541"/>
    </row>
    <row r="265" spans="1:24" ht="11.25" hidden="1" customHeight="1" x14ac:dyDescent="0.25">
      <c r="A265" s="121" t="str">
        <f>IF(S265=0,"",COUNTIF(A$23:A264,"&gt;0")+1)</f>
        <v/>
      </c>
      <c r="B265" s="796"/>
      <c r="C265" s="76" t="str">
        <f t="shared" si="97"/>
        <v>x3</v>
      </c>
      <c r="D265" s="98" t="str">
        <f>A!C261</f>
        <v>Astilbe younique salmon</v>
      </c>
      <c r="E265" s="109"/>
      <c r="F265" s="109"/>
      <c r="G265" s="99" t="str">
        <f>A!N261</f>
        <v>astilbe</v>
      </c>
      <c r="H265" s="89" t="str">
        <f>A!Q261</f>
        <v>wonderful new hybrid with large flower plume</v>
      </c>
      <c r="I265" s="69">
        <f>A!M261</f>
        <v>2</v>
      </c>
      <c r="J265" s="202">
        <f>A!P261</f>
        <v>0</v>
      </c>
      <c r="K265" s="83">
        <f>IF(A!G261="y",1,0)</f>
        <v>0</v>
      </c>
      <c r="L265" s="83">
        <f>IF(A!H261="y",1,0)</f>
        <v>0</v>
      </c>
      <c r="M265" s="84" t="str">
        <f>IF(A!F261="y","NEW","")</f>
        <v/>
      </c>
      <c r="N265" s="85">
        <f>A!I261</f>
        <v>0</v>
      </c>
      <c r="O265" s="797">
        <f>A!O261</f>
        <v>1</v>
      </c>
      <c r="P265" s="541" t="str">
        <f>A!K261</f>
        <v>M</v>
      </c>
      <c r="Q265" s="541">
        <f>A!E261</f>
        <v>0</v>
      </c>
      <c r="R265" s="541" t="s">
        <v>453</v>
      </c>
      <c r="S265" s="541">
        <f t="shared" si="98"/>
        <v>0</v>
      </c>
      <c r="T265" s="541" t="str">
        <f>A!R261</f>
        <v>x3</v>
      </c>
      <c r="U265" s="541">
        <f>A!S261</f>
        <v>50</v>
      </c>
      <c r="V265" s="541">
        <f>A!T261</f>
        <v>0.125</v>
      </c>
      <c r="W265" s="541">
        <f t="shared" si="96"/>
        <v>0</v>
      </c>
      <c r="X265" s="541"/>
    </row>
    <row r="266" spans="1:24" ht="11.25" hidden="1" customHeight="1" x14ac:dyDescent="0.25">
      <c r="A266" s="121" t="str">
        <f>IF(S266=0,"",COUNTIF(A$23:A265,"&gt;0")+1)</f>
        <v/>
      </c>
      <c r="B266" s="796"/>
      <c r="C266" s="76" t="str">
        <f t="shared" si="94"/>
        <v>x3</v>
      </c>
      <c r="D266" s="98" t="str">
        <f>A!C262</f>
        <v>Astilbe Silvery Pink</v>
      </c>
      <c r="E266" s="109"/>
      <c r="F266" s="109"/>
      <c r="G266" s="99" t="str">
        <f>A!N262</f>
        <v>astilbe</v>
      </c>
      <c r="H266" s="89" t="str">
        <f>A!Q262</f>
        <v>dense plumes of feather-like silvery pink flowers</v>
      </c>
      <c r="I266" s="69">
        <f>A!M262</f>
        <v>2</v>
      </c>
      <c r="J266" s="202">
        <f>A!P262</f>
        <v>0</v>
      </c>
      <c r="K266" s="83">
        <f>IF(A!G262="y",1,0)</f>
        <v>0</v>
      </c>
      <c r="L266" s="83">
        <f>IF(A!H262="y",1,0)</f>
        <v>0</v>
      </c>
      <c r="M266" s="84" t="str">
        <f>IF(A!F262="y","NEW","")</f>
        <v/>
      </c>
      <c r="N266" s="85">
        <f>A!I262</f>
        <v>0</v>
      </c>
      <c r="O266" s="797">
        <f>A!O262</f>
        <v>1</v>
      </c>
      <c r="P266" s="541" t="str">
        <f>A!K262</f>
        <v>L</v>
      </c>
      <c r="Q266" s="541">
        <f>A!E262</f>
        <v>0</v>
      </c>
      <c r="R266" s="541" t="s">
        <v>453</v>
      </c>
      <c r="S266" s="541">
        <f t="shared" si="95"/>
        <v>0</v>
      </c>
      <c r="T266" s="541" t="str">
        <f>A!R262</f>
        <v>x3</v>
      </c>
      <c r="U266" s="541">
        <f>A!S262</f>
        <v>65</v>
      </c>
      <c r="V266" s="541">
        <f>A!T262</f>
        <v>0.125</v>
      </c>
      <c r="W266" s="541">
        <f t="shared" si="96"/>
        <v>0</v>
      </c>
      <c r="X266" s="541"/>
    </row>
    <row r="267" spans="1:24" ht="11.25" hidden="1" customHeight="1" x14ac:dyDescent="0.25">
      <c r="A267" s="121" t="str">
        <f>IF(S267=0,"",COUNTIF(A$23:A266,"&gt;0")+1)</f>
        <v/>
      </c>
      <c r="B267" s="796"/>
      <c r="C267" s="76" t="str">
        <f t="shared" si="94"/>
        <v>x3</v>
      </c>
      <c r="D267" s="98" t="str">
        <f>A!C263</f>
        <v>Astilbe younique Lilac</v>
      </c>
      <c r="E267" s="109"/>
      <c r="F267" s="109"/>
      <c r="G267" s="99" t="str">
        <f>A!N263</f>
        <v>astilbe</v>
      </c>
      <c r="H267" s="89" t="str">
        <f>A!Q263</f>
        <v>very floriferous, compact, perfect for the bog garden</v>
      </c>
      <c r="I267" s="69">
        <f>A!M263</f>
        <v>2</v>
      </c>
      <c r="J267" s="202">
        <f>A!P263</f>
        <v>0</v>
      </c>
      <c r="K267" s="83">
        <f>IF(A!G263="y",1,0)</f>
        <v>0</v>
      </c>
      <c r="L267" s="83">
        <f>IF(A!H263="y",1,0)</f>
        <v>0</v>
      </c>
      <c r="M267" s="84" t="str">
        <f>IF(A!F263="y","NEW","")</f>
        <v/>
      </c>
      <c r="N267" s="85">
        <f>A!I263</f>
        <v>0</v>
      </c>
      <c r="O267" s="797">
        <f>A!O263</f>
        <v>1</v>
      </c>
      <c r="P267" s="541">
        <f>A!K263</f>
        <v>0</v>
      </c>
      <c r="Q267" s="541">
        <f>A!E263</f>
        <v>0</v>
      </c>
      <c r="R267" s="541" t="s">
        <v>453</v>
      </c>
      <c r="S267" s="541">
        <f t="shared" si="95"/>
        <v>0</v>
      </c>
      <c r="T267" s="541" t="str">
        <f>A!R263</f>
        <v>x3</v>
      </c>
      <c r="U267" s="541" t="str">
        <f>A!S263</f>
        <v/>
      </c>
      <c r="V267" s="541">
        <f>A!T263</f>
        <v>0.125</v>
      </c>
      <c r="W267" s="541">
        <f t="shared" si="96"/>
        <v>0</v>
      </c>
      <c r="X267" s="541"/>
    </row>
    <row r="268" spans="1:24" ht="11.25" hidden="1" customHeight="1" x14ac:dyDescent="0.25">
      <c r="A268" s="121" t="str">
        <f>IF(S268=0,"",COUNTIF(A$23:A267,"&gt;0")+1)</f>
        <v/>
      </c>
      <c r="B268" s="796"/>
      <c r="C268" s="76" t="str">
        <f t="shared" si="94"/>
        <v>x3</v>
      </c>
      <c r="D268" s="98" t="str">
        <f>A!C264</f>
        <v>Astilbe younique Pink</v>
      </c>
      <c r="E268" s="109"/>
      <c r="F268" s="109"/>
      <c r="G268" s="99" t="str">
        <f>A!N264</f>
        <v>astilbe</v>
      </c>
      <c r="H268" s="89" t="str">
        <f>A!Q264</f>
        <v>double the number of flowers than other astilbe</v>
      </c>
      <c r="I268" s="69">
        <f>A!M264</f>
        <v>2</v>
      </c>
      <c r="J268" s="202">
        <f>A!P264</f>
        <v>0</v>
      </c>
      <c r="K268" s="83">
        <f>IF(A!G264="y",1,0)</f>
        <v>0</v>
      </c>
      <c r="L268" s="83">
        <f>IF(A!H264="y",1,0)</f>
        <v>0</v>
      </c>
      <c r="M268" s="84" t="str">
        <f>IF(A!F264="y","NEW","")</f>
        <v/>
      </c>
      <c r="N268" s="85">
        <f>A!I264</f>
        <v>0</v>
      </c>
      <c r="O268" s="797">
        <f>A!O264</f>
        <v>1</v>
      </c>
      <c r="P268" s="541">
        <f>A!K264</f>
        <v>0</v>
      </c>
      <c r="Q268" s="541">
        <f>A!E264</f>
        <v>0</v>
      </c>
      <c r="R268" s="541" t="s">
        <v>453</v>
      </c>
      <c r="S268" s="541">
        <f t="shared" si="95"/>
        <v>0</v>
      </c>
      <c r="T268" s="541" t="str">
        <f>A!R264</f>
        <v>x3</v>
      </c>
      <c r="U268" s="541" t="str">
        <f>A!S264</f>
        <v/>
      </c>
      <c r="V268" s="541">
        <f>A!T264</f>
        <v>0.125</v>
      </c>
      <c r="W268" s="541">
        <f t="shared" si="96"/>
        <v>0</v>
      </c>
      <c r="X268" s="541"/>
    </row>
    <row r="269" spans="1:24" ht="11.25" hidden="1" customHeight="1" x14ac:dyDescent="0.25">
      <c r="A269" s="121" t="str">
        <f>IF(S269=0,"",COUNTIF(A$23:A268,"&gt;0")+1)</f>
        <v/>
      </c>
      <c r="B269" s="796"/>
      <c r="C269" s="76" t="str">
        <f t="shared" si="94"/>
        <v>x3</v>
      </c>
      <c r="D269" s="98" t="str">
        <f>A!C265</f>
        <v>Astilbe younique White</v>
      </c>
      <c r="E269" s="109"/>
      <c r="F269" s="109"/>
      <c r="G269" s="99" t="str">
        <f>A!N265</f>
        <v>astilbe</v>
      </c>
      <c r="H269" s="89" t="str">
        <f>A!Q265</f>
        <v>lacy green foliage topped with dense plumes of white</v>
      </c>
      <c r="I269" s="69">
        <f>A!M265</f>
        <v>2</v>
      </c>
      <c r="J269" s="202">
        <f>A!P265</f>
        <v>0</v>
      </c>
      <c r="K269" s="83">
        <f>IF(A!G265="y",1,0)</f>
        <v>0</v>
      </c>
      <c r="L269" s="83">
        <f>IF(A!H265="y",1,0)</f>
        <v>0</v>
      </c>
      <c r="M269" s="84" t="str">
        <f>IF(A!F265="y","NEW","")</f>
        <v/>
      </c>
      <c r="N269" s="85">
        <f>A!I265</f>
        <v>0</v>
      </c>
      <c r="O269" s="797">
        <f>A!O265</f>
        <v>1</v>
      </c>
      <c r="P269" s="541" t="str">
        <f>A!K265</f>
        <v>M</v>
      </c>
      <c r="Q269" s="541">
        <f>A!E265</f>
        <v>0</v>
      </c>
      <c r="R269" s="541" t="s">
        <v>453</v>
      </c>
      <c r="S269" s="541">
        <f t="shared" si="95"/>
        <v>0</v>
      </c>
      <c r="T269" s="541" t="str">
        <f>A!R265</f>
        <v>x3</v>
      </c>
      <c r="U269" s="541">
        <f>A!S265</f>
        <v>50</v>
      </c>
      <c r="V269" s="541">
        <f>A!T265</f>
        <v>0.125</v>
      </c>
      <c r="W269" s="541">
        <f t="shared" si="96"/>
        <v>0</v>
      </c>
      <c r="X269" s="541"/>
    </row>
    <row r="270" spans="1:24" ht="11.25" hidden="1" customHeight="1" x14ac:dyDescent="0.25">
      <c r="A270" s="121" t="str">
        <f>IF(S270=0,"",COUNTIF(A$23:A269,"&gt;0")+1)</f>
        <v/>
      </c>
      <c r="B270" s="796"/>
      <c r="C270" s="76" t="str">
        <f t="shared" si="94"/>
        <v>x3</v>
      </c>
      <c r="D270" s="98" t="str">
        <f>A!C266</f>
        <v>Athyrium filix-femina</v>
      </c>
      <c r="E270" s="109"/>
      <c r="F270" s="109"/>
      <c r="G270" s="99" t="str">
        <f>A!N266</f>
        <v>lady fern</v>
      </c>
      <c r="H270" s="89" t="str">
        <f>A!Q266</f>
        <v xml:space="preserve">graceful, bright green, filigree-like foliage </v>
      </c>
      <c r="I270" s="69">
        <f>A!M266</f>
        <v>1</v>
      </c>
      <c r="J270" s="202" t="str">
        <f>A!P266</f>
        <v>Yes</v>
      </c>
      <c r="K270" s="83">
        <f>IF(A!G266="y",1,0)</f>
        <v>0</v>
      </c>
      <c r="L270" s="83">
        <f>IF(A!H266="y",1,0)</f>
        <v>0</v>
      </c>
      <c r="M270" s="84" t="str">
        <f>IF(A!F266="y","NEW","")</f>
        <v/>
      </c>
      <c r="N270" s="85">
        <f>A!I266</f>
        <v>0</v>
      </c>
      <c r="O270" s="797">
        <f>A!O266</f>
        <v>1</v>
      </c>
      <c r="P270" s="541">
        <f>A!K266</f>
        <v>0</v>
      </c>
      <c r="Q270" s="541">
        <f>A!E266</f>
        <v>0</v>
      </c>
      <c r="R270" s="541" t="s">
        <v>453</v>
      </c>
      <c r="S270" s="541">
        <f t="shared" si="95"/>
        <v>0</v>
      </c>
      <c r="T270" s="541" t="str">
        <f>A!R266</f>
        <v>x3</v>
      </c>
      <c r="U270" s="541" t="str">
        <f>A!S266</f>
        <v/>
      </c>
      <c r="V270" s="541">
        <f>A!T266</f>
        <v>0.125</v>
      </c>
      <c r="W270" s="541">
        <f t="shared" si="96"/>
        <v>0</v>
      </c>
      <c r="X270" s="541"/>
    </row>
    <row r="271" spans="1:24" ht="11.25" hidden="1" customHeight="1" x14ac:dyDescent="0.25">
      <c r="A271" s="121" t="str">
        <f>IF(S271=0,"",COUNTIF(A$23:A270,"&gt;0")+1)</f>
        <v/>
      </c>
      <c r="B271" s="796"/>
      <c r="C271" s="76" t="str">
        <f t="shared" si="94"/>
        <v>x3</v>
      </c>
      <c r="D271" s="98" t="str">
        <f>A!C267</f>
        <v>Athyrium nipponicum</v>
      </c>
      <c r="E271" s="109"/>
      <c r="F271" s="109"/>
      <c r="G271" s="99" t="str">
        <f>A!N267</f>
        <v>Painted fern</v>
      </c>
      <c r="H271" s="89" t="str">
        <f>A!Q267</f>
        <v>one of the most colourful ferns</v>
      </c>
      <c r="I271" s="69">
        <f>A!M267</f>
        <v>1</v>
      </c>
      <c r="J271" s="202">
        <f>A!P267</f>
        <v>0</v>
      </c>
      <c r="K271" s="83">
        <f>IF(A!G267="y",1,0)</f>
        <v>0</v>
      </c>
      <c r="L271" s="83">
        <f>IF(A!H267="y",1,0)</f>
        <v>0</v>
      </c>
      <c r="M271" s="84" t="str">
        <f>IF(A!F267="y","NEW","")</f>
        <v/>
      </c>
      <c r="N271" s="85">
        <f>A!I267</f>
        <v>0</v>
      </c>
      <c r="O271" s="797">
        <f>A!O267</f>
        <v>1</v>
      </c>
      <c r="P271" s="541">
        <f>A!K267</f>
        <v>0</v>
      </c>
      <c r="Q271" s="541">
        <f>A!E267</f>
        <v>0</v>
      </c>
      <c r="R271" s="541" t="s">
        <v>453</v>
      </c>
      <c r="S271" s="541">
        <f t="shared" si="95"/>
        <v>0</v>
      </c>
      <c r="T271" s="541" t="str">
        <f>A!R267</f>
        <v>x3</v>
      </c>
      <c r="U271" s="541" t="str">
        <f>A!S267</f>
        <v/>
      </c>
      <c r="V271" s="541">
        <f>A!T267</f>
        <v>0.125</v>
      </c>
      <c r="W271" s="541">
        <f t="shared" si="96"/>
        <v>0</v>
      </c>
      <c r="X271" s="541"/>
    </row>
    <row r="272" spans="1:24" ht="11.25" hidden="1" customHeight="1" x14ac:dyDescent="0.25">
      <c r="A272" s="121" t="str">
        <f>IF(S272=0,"",COUNTIF(A$23:A271,"&gt;0")+1)</f>
        <v/>
      </c>
      <c r="B272" s="796"/>
      <c r="C272" s="76" t="str">
        <f t="shared" si="94"/>
        <v>x3</v>
      </c>
      <c r="D272" s="98" t="str">
        <f>A!C268</f>
        <v>Athyrium nipponicum pictum</v>
      </c>
      <c r="E272" s="109"/>
      <c r="F272" s="109"/>
      <c r="G272" s="99" t="str">
        <f>A!N268</f>
        <v>Japanese painted fern</v>
      </c>
      <c r="H272" s="89" t="str">
        <f>A!Q268</f>
        <v xml:space="preserve">striking, shades of green, purple on silver </v>
      </c>
      <c r="I272" s="69">
        <f>A!M268</f>
        <v>1</v>
      </c>
      <c r="J272" s="202">
        <f>A!P268</f>
        <v>0</v>
      </c>
      <c r="K272" s="83">
        <f>IF(A!G268="y",1,0)</f>
        <v>0</v>
      </c>
      <c r="L272" s="83">
        <f>IF(A!H268="y",1,0)</f>
        <v>0</v>
      </c>
      <c r="M272" s="84" t="str">
        <f>IF(A!F268="y","NEW","")</f>
        <v/>
      </c>
      <c r="N272" s="85">
        <f>A!I268</f>
        <v>0</v>
      </c>
      <c r="O272" s="797">
        <f>A!O268</f>
        <v>1</v>
      </c>
      <c r="P272" s="541">
        <f>A!K268</f>
        <v>0</v>
      </c>
      <c r="Q272" s="541">
        <f>A!E268</f>
        <v>0</v>
      </c>
      <c r="R272" s="541" t="s">
        <v>453</v>
      </c>
      <c r="S272" s="541">
        <f t="shared" si="95"/>
        <v>0</v>
      </c>
      <c r="T272" s="541" t="str">
        <f>A!R268</f>
        <v>x3</v>
      </c>
      <c r="U272" s="541" t="str">
        <f>A!S268</f>
        <v/>
      </c>
      <c r="V272" s="541">
        <f>A!T268</f>
        <v>0.125</v>
      </c>
      <c r="W272" s="541">
        <f t="shared" si="96"/>
        <v>0</v>
      </c>
      <c r="X272" s="541"/>
    </row>
    <row r="273" spans="1:24" ht="11.25" hidden="1" customHeight="1" x14ac:dyDescent="0.25">
      <c r="A273" s="121" t="str">
        <f>IF(S273=0,"",COUNTIF(A$23:A272,"&gt;0")+1)</f>
        <v/>
      </c>
      <c r="B273" s="796"/>
      <c r="C273" s="76" t="str">
        <f t="shared" si="94"/>
        <v>x3</v>
      </c>
      <c r="D273" s="98" t="str">
        <f>A!C269</f>
        <v>Blechnum spicant</v>
      </c>
      <c r="E273" s="109"/>
      <c r="F273" s="109"/>
      <c r="G273" s="99" t="str">
        <f>A!N269</f>
        <v>hard fern</v>
      </c>
      <c r="H273" s="89" t="str">
        <f>A!Q269</f>
        <v>distinctive, elegant, comb-like fronds</v>
      </c>
      <c r="I273" s="69">
        <f>A!M269</f>
        <v>1</v>
      </c>
      <c r="J273" s="202" t="str">
        <f>A!P269</f>
        <v>yes</v>
      </c>
      <c r="K273" s="83">
        <f>IF(A!G269="y",1,0)</f>
        <v>0</v>
      </c>
      <c r="L273" s="83">
        <f>IF(A!H269="y",1,0)</f>
        <v>0</v>
      </c>
      <c r="M273" s="84" t="str">
        <f>IF(A!F269="y","NEW","")</f>
        <v/>
      </c>
      <c r="N273" s="85">
        <f>A!I269</f>
        <v>0</v>
      </c>
      <c r="O273" s="797">
        <f>A!O269</f>
        <v>1</v>
      </c>
      <c r="P273" s="541">
        <f>A!K269</f>
        <v>0</v>
      </c>
      <c r="Q273" s="541">
        <f>A!E269</f>
        <v>0</v>
      </c>
      <c r="R273" s="541" t="s">
        <v>453</v>
      </c>
      <c r="S273" s="541">
        <f t="shared" si="95"/>
        <v>0</v>
      </c>
      <c r="T273" s="541" t="str">
        <f>A!R269</f>
        <v>x3</v>
      </c>
      <c r="U273" s="541" t="str">
        <f>A!S269</f>
        <v/>
      </c>
      <c r="V273" s="541">
        <f>A!T269</f>
        <v>0.125</v>
      </c>
      <c r="W273" s="541">
        <f t="shared" si="96"/>
        <v>0</v>
      </c>
      <c r="X273" s="541"/>
    </row>
    <row r="274" spans="1:24" ht="11.25" customHeight="1" x14ac:dyDescent="0.25">
      <c r="A274" s="121" t="str">
        <f>IF(S274=0,"",COUNTIF(A$23:A273,"&gt;0")+1)</f>
        <v/>
      </c>
      <c r="B274" s="796"/>
      <c r="C274" s="76" t="str">
        <f t="shared" si="94"/>
        <v>x3</v>
      </c>
      <c r="D274" s="98" t="str">
        <f>A!C270</f>
        <v>Canna  Assorted- BEST</v>
      </c>
      <c r="E274" s="109"/>
      <c r="F274" s="109"/>
      <c r="G274" s="99" t="str">
        <f>A!N270</f>
        <v>Indian shot plant</v>
      </c>
      <c r="H274" s="89" t="str">
        <f>A!Q270</f>
        <v>Our best available Cannas</v>
      </c>
      <c r="I274" s="69">
        <f>A!M270</f>
        <v>1</v>
      </c>
      <c r="J274" s="202">
        <f>A!P270</f>
        <v>0</v>
      </c>
      <c r="K274" s="83">
        <f>IF(A!G270="y",1,0)</f>
        <v>1</v>
      </c>
      <c r="L274" s="83">
        <f>IF(A!H270="y",1,0)</f>
        <v>1</v>
      </c>
      <c r="M274" s="84" t="str">
        <f>IF(A!F270="y","NEW","")</f>
        <v/>
      </c>
      <c r="N274" s="85" t="str">
        <f>A!I270</f>
        <v>y</v>
      </c>
      <c r="O274" s="797">
        <f>A!O270</f>
        <v>1</v>
      </c>
      <c r="P274" s="541" t="str">
        <f>A!K270</f>
        <v>M</v>
      </c>
      <c r="Q274" s="541" t="str">
        <f>A!E270</f>
        <v>y</v>
      </c>
      <c r="R274" s="541" t="s">
        <v>453</v>
      </c>
      <c r="S274" s="541">
        <f t="shared" si="95"/>
        <v>0</v>
      </c>
      <c r="T274" s="541" t="str">
        <f>A!R270</f>
        <v>x3</v>
      </c>
      <c r="U274" s="541">
        <f>A!S270</f>
        <v>50</v>
      </c>
      <c r="V274" s="541">
        <f>A!T270</f>
        <v>0.125</v>
      </c>
      <c r="W274" s="541">
        <f t="shared" si="96"/>
        <v>0</v>
      </c>
      <c r="X274" s="541"/>
    </row>
    <row r="275" spans="1:24" ht="11.25" hidden="1" customHeight="1" x14ac:dyDescent="0.25">
      <c r="A275" s="121" t="str">
        <f>IF(S275=0,"",COUNTIF(A$23:A274,"&gt;0")+1)</f>
        <v/>
      </c>
      <c r="B275" s="796"/>
      <c r="C275" s="76" t="str">
        <f t="shared" si="94"/>
        <v>x3</v>
      </c>
      <c r="D275" s="98" t="str">
        <f>A!C271</f>
        <v>Canna ambassador</v>
      </c>
      <c r="E275" s="109"/>
      <c r="F275" s="109"/>
      <c r="G275" s="99" t="str">
        <f>A!N271</f>
        <v>Indian shot plant</v>
      </c>
      <c r="H275" s="89" t="str">
        <f>A!Q271</f>
        <v>these wonderful plants are at home on the margins</v>
      </c>
      <c r="I275" s="69">
        <f>A!M271</f>
        <v>1</v>
      </c>
      <c r="J275" s="202">
        <f>A!P271</f>
        <v>0</v>
      </c>
      <c r="K275" s="83">
        <f>IF(A!G271="y",1,0)</f>
        <v>0</v>
      </c>
      <c r="L275" s="83">
        <f>IF(A!H271="y",1,0)</f>
        <v>0</v>
      </c>
      <c r="M275" s="84" t="str">
        <f>IF(A!F271="y","NEW","")</f>
        <v/>
      </c>
      <c r="N275" s="85">
        <f>A!I271</f>
        <v>0</v>
      </c>
      <c r="O275" s="797">
        <f>A!O271</f>
        <v>1</v>
      </c>
      <c r="P275" s="541">
        <f>A!K271</f>
        <v>0</v>
      </c>
      <c r="Q275" s="541">
        <f>A!E271</f>
        <v>0</v>
      </c>
      <c r="R275" s="541" t="s">
        <v>453</v>
      </c>
      <c r="S275" s="541">
        <f t="shared" si="95"/>
        <v>0</v>
      </c>
      <c r="T275" s="541" t="str">
        <f>A!R271</f>
        <v>x3</v>
      </c>
      <c r="U275" s="541" t="str">
        <f>A!S271</f>
        <v/>
      </c>
      <c r="V275" s="541">
        <f>A!T271</f>
        <v>0.125</v>
      </c>
      <c r="W275" s="541">
        <f t="shared" si="96"/>
        <v>0</v>
      </c>
      <c r="X275" s="541"/>
    </row>
    <row r="276" spans="1:24" ht="11.25" hidden="1" customHeight="1" x14ac:dyDescent="0.25">
      <c r="A276" s="121" t="str">
        <f>IF(S276=0,"",COUNTIF(A$23:A275,"&gt;0")+1)</f>
        <v/>
      </c>
      <c r="B276" s="796"/>
      <c r="C276" s="76" t="str">
        <f t="shared" si="94"/>
        <v>x3</v>
      </c>
      <c r="D276" s="98" t="str">
        <f>A!C272</f>
        <v>Canna Australia</v>
      </c>
      <c r="E276" s="109"/>
      <c r="F276" s="109"/>
      <c r="G276" s="99" t="str">
        <f>A!N272</f>
        <v>Indian shot plant</v>
      </c>
      <c r="H276" s="89" t="str">
        <f>A!Q272</f>
        <v>striking crimson flowers over dark chocolate foliage</v>
      </c>
      <c r="I276" s="69">
        <f>A!M272</f>
        <v>1</v>
      </c>
      <c r="J276" s="202">
        <f>A!P272</f>
        <v>0</v>
      </c>
      <c r="K276" s="83">
        <f>IF(A!G272="y",1,0)</f>
        <v>0</v>
      </c>
      <c r="L276" s="83">
        <f>IF(A!H272="y",1,0)</f>
        <v>0</v>
      </c>
      <c r="M276" s="84" t="str">
        <f>IF(A!F272="y","NEW","")</f>
        <v/>
      </c>
      <c r="N276" s="85">
        <f>A!I272</f>
        <v>0</v>
      </c>
      <c r="O276" s="797">
        <f>A!O272</f>
        <v>1</v>
      </c>
      <c r="P276" s="541">
        <f>A!K272</f>
        <v>0</v>
      </c>
      <c r="Q276" s="541">
        <f>A!E272</f>
        <v>0</v>
      </c>
      <c r="R276" s="541" t="s">
        <v>453</v>
      </c>
      <c r="S276" s="541">
        <f t="shared" si="95"/>
        <v>0</v>
      </c>
      <c r="T276" s="541" t="str">
        <f>A!R272</f>
        <v>x3</v>
      </c>
      <c r="U276" s="541" t="str">
        <f>A!S272</f>
        <v/>
      </c>
      <c r="V276" s="541">
        <f>A!T272</f>
        <v>0.125</v>
      </c>
      <c r="W276" s="541">
        <f t="shared" si="96"/>
        <v>0</v>
      </c>
      <c r="X276" s="541"/>
    </row>
    <row r="277" spans="1:24" ht="11.25" hidden="1" customHeight="1" x14ac:dyDescent="0.25">
      <c r="A277" s="121" t="str">
        <f>IF(S277=0,"",COUNTIF(A$23:A276,"&gt;0")+1)</f>
        <v/>
      </c>
      <c r="B277" s="796"/>
      <c r="C277" s="76" t="str">
        <f t="shared" ref="C277:C282" si="99">T277</f>
        <v>x3</v>
      </c>
      <c r="D277" s="98" t="str">
        <f>A!C273</f>
        <v>Canna Eric Neubert</v>
      </c>
      <c r="E277" s="109"/>
      <c r="F277" s="109"/>
      <c r="G277" s="99" t="str">
        <f>A!N273</f>
        <v>Indian shot plant</v>
      </c>
      <c r="H277" s="89" t="str">
        <f>A!Q273</f>
        <v>exotic and striking flowers and foliage</v>
      </c>
      <c r="I277" s="69">
        <f>A!M273</f>
        <v>1</v>
      </c>
      <c r="J277" s="202">
        <f>A!P273</f>
        <v>0</v>
      </c>
      <c r="K277" s="83">
        <f>IF(A!G273="y",1,0)</f>
        <v>0</v>
      </c>
      <c r="L277" s="83">
        <f>IF(A!H273="y",1,0)</f>
        <v>0</v>
      </c>
      <c r="M277" s="84" t="str">
        <f>IF(A!F273="y","NEW","")</f>
        <v/>
      </c>
      <c r="N277" s="85">
        <f>A!I273</f>
        <v>0</v>
      </c>
      <c r="O277" s="797">
        <f>A!O273</f>
        <v>1</v>
      </c>
      <c r="P277" s="541" t="str">
        <f>A!K273</f>
        <v>M</v>
      </c>
      <c r="Q277" s="541">
        <f>A!E273</f>
        <v>0</v>
      </c>
      <c r="R277" s="541" t="s">
        <v>453</v>
      </c>
      <c r="S277" s="541">
        <f t="shared" ref="S277:S282" si="100">B277</f>
        <v>0</v>
      </c>
      <c r="T277" s="541" t="str">
        <f>A!R273</f>
        <v>x3</v>
      </c>
      <c r="U277" s="541">
        <f>A!S273</f>
        <v>50</v>
      </c>
      <c r="V277" s="541">
        <f>A!T273</f>
        <v>0.125</v>
      </c>
      <c r="W277" s="541">
        <f t="shared" ref="W277:W282" si="101">V277*B277</f>
        <v>0</v>
      </c>
      <c r="X277" s="541"/>
    </row>
    <row r="278" spans="1:24" ht="11.25" customHeight="1" x14ac:dyDescent="0.25">
      <c r="A278" s="121" t="str">
        <f>IF(S278=0,"",COUNTIF(A$23:A277,"&gt;0")+1)</f>
        <v/>
      </c>
      <c r="B278" s="796"/>
      <c r="C278" s="76" t="str">
        <f t="shared" ref="C278" si="102">T278</f>
        <v>x3</v>
      </c>
      <c r="D278" s="98" t="str">
        <f>A!C274</f>
        <v>Canna Happy Carmen</v>
      </c>
      <c r="E278" s="109"/>
      <c r="F278" s="109"/>
      <c r="G278" s="99" t="str">
        <f>A!N274</f>
        <v>Indian shot plant</v>
      </c>
      <c r="H278" s="89" t="str">
        <f>A!Q274</f>
        <v>beautiful flowers dark red and very compact</v>
      </c>
      <c r="I278" s="69">
        <f>A!M274</f>
        <v>1</v>
      </c>
      <c r="J278" s="202">
        <f>A!P274</f>
        <v>0</v>
      </c>
      <c r="K278" s="83">
        <f>IF(A!G274="y",1,0)</f>
        <v>1</v>
      </c>
      <c r="L278" s="83">
        <f>IF(A!H274="y",1,0)</f>
        <v>1</v>
      </c>
      <c r="M278" s="84" t="str">
        <f>IF(A!F274="y","NEW","")</f>
        <v/>
      </c>
      <c r="N278" s="85" t="str">
        <f>A!I274</f>
        <v>Y</v>
      </c>
      <c r="O278" s="797">
        <f>A!O274</f>
        <v>1</v>
      </c>
      <c r="P278" s="541" t="str">
        <f>A!K274</f>
        <v>M</v>
      </c>
      <c r="Q278" s="541" t="str">
        <f>A!E274</f>
        <v>y</v>
      </c>
      <c r="R278" s="541" t="s">
        <v>453</v>
      </c>
      <c r="S278" s="541">
        <f t="shared" ref="S278" si="103">B278</f>
        <v>0</v>
      </c>
      <c r="T278" s="541" t="str">
        <f>A!R274</f>
        <v>x3</v>
      </c>
      <c r="U278" s="541">
        <f>A!S274</f>
        <v>50</v>
      </c>
      <c r="V278" s="541">
        <f>A!T274</f>
        <v>0.125</v>
      </c>
      <c r="W278" s="541">
        <f t="shared" ref="W278" si="104">V278*B278</f>
        <v>0</v>
      </c>
      <c r="X278" s="541"/>
    </row>
    <row r="279" spans="1:24" ht="11.25" customHeight="1" x14ac:dyDescent="0.25">
      <c r="A279" s="121" t="str">
        <f>IF(S279=0,"",COUNTIF(A$23:A278,"&gt;0")+1)</f>
        <v/>
      </c>
      <c r="B279" s="796"/>
      <c r="C279" s="76" t="str">
        <f t="shared" si="99"/>
        <v>x3</v>
      </c>
      <c r="D279" s="98" t="str">
        <f>A!C275</f>
        <v>Canna Happy Cleo</v>
      </c>
      <c r="E279" s="109"/>
      <c r="F279" s="109"/>
      <c r="G279" s="99" t="str">
        <f>A!N275</f>
        <v>Indian shot plant</v>
      </c>
      <c r="H279" s="89" t="str">
        <f>A!Q275</f>
        <v>vibrant orange petals over green foliage</v>
      </c>
      <c r="I279" s="69">
        <f>A!M275</f>
        <v>1</v>
      </c>
      <c r="J279" s="202">
        <f>A!P275</f>
        <v>0</v>
      </c>
      <c r="K279" s="83">
        <f>IF(A!G275="y",1,0)</f>
        <v>1</v>
      </c>
      <c r="L279" s="83">
        <f>IF(A!H275="y",1,0)</f>
        <v>1</v>
      </c>
      <c r="M279" s="84" t="str">
        <f>IF(A!F275="y","NEW","")</f>
        <v/>
      </c>
      <c r="N279" s="85" t="str">
        <f>A!I275</f>
        <v>Y</v>
      </c>
      <c r="O279" s="797">
        <f>A!O275</f>
        <v>1</v>
      </c>
      <c r="P279" s="541" t="str">
        <f>A!K275</f>
        <v>M</v>
      </c>
      <c r="Q279" s="541" t="str">
        <f>A!E275</f>
        <v>y</v>
      </c>
      <c r="R279" s="541" t="s">
        <v>453</v>
      </c>
      <c r="S279" s="541">
        <f t="shared" si="100"/>
        <v>0</v>
      </c>
      <c r="T279" s="541" t="str">
        <f>A!R275</f>
        <v>x3</v>
      </c>
      <c r="U279" s="541">
        <f>A!S275</f>
        <v>50</v>
      </c>
      <c r="V279" s="541">
        <f>A!T275</f>
        <v>0.125</v>
      </c>
      <c r="W279" s="541">
        <f t="shared" si="101"/>
        <v>0</v>
      </c>
      <c r="X279" s="541"/>
    </row>
    <row r="280" spans="1:24" ht="11.25" customHeight="1" x14ac:dyDescent="0.25">
      <c r="A280" s="121" t="str">
        <f>IF(S280=0,"",COUNTIF(A$23:A279,"&gt;0")+1)</f>
        <v/>
      </c>
      <c r="B280" s="796"/>
      <c r="C280" s="76" t="str">
        <f t="shared" si="99"/>
        <v>x3</v>
      </c>
      <c r="D280" s="98" t="str">
        <f>A!C276</f>
        <v>Canna Happy Emily</v>
      </c>
      <c r="E280" s="109"/>
      <c r="F280" s="109"/>
      <c r="G280" s="99" t="str">
        <f>A!N276</f>
        <v>Indian shot plant</v>
      </c>
      <c r="H280" s="89" t="str">
        <f>A!Q276</f>
        <v> shines like the sun with its beautiful yellow colour</v>
      </c>
      <c r="I280" s="69">
        <f>A!M276</f>
        <v>1</v>
      </c>
      <c r="J280" s="202">
        <f>A!P276</f>
        <v>0</v>
      </c>
      <c r="K280" s="83">
        <f>IF(A!G276="y",1,0)</f>
        <v>1</v>
      </c>
      <c r="L280" s="83">
        <f>IF(A!H276="y",1,0)</f>
        <v>1</v>
      </c>
      <c r="M280" s="84" t="str">
        <f>IF(A!F276="y","NEW","")</f>
        <v/>
      </c>
      <c r="N280" s="85" t="str">
        <f>A!I276</f>
        <v>Y</v>
      </c>
      <c r="O280" s="797">
        <f>A!O276</f>
        <v>1</v>
      </c>
      <c r="P280" s="541" t="str">
        <f>A!K276</f>
        <v>M</v>
      </c>
      <c r="Q280" s="541" t="str">
        <f>A!E276</f>
        <v>y</v>
      </c>
      <c r="R280" s="541" t="s">
        <v>453</v>
      </c>
      <c r="S280" s="541">
        <f t="shared" si="100"/>
        <v>0</v>
      </c>
      <c r="T280" s="541" t="str">
        <f>A!R276</f>
        <v>x3</v>
      </c>
      <c r="U280" s="541">
        <f>A!S276</f>
        <v>50</v>
      </c>
      <c r="V280" s="541">
        <f>A!T276</f>
        <v>0.125</v>
      </c>
      <c r="W280" s="541">
        <f t="shared" si="101"/>
        <v>0</v>
      </c>
      <c r="X280" s="541"/>
    </row>
    <row r="281" spans="1:24" ht="11.25" customHeight="1" x14ac:dyDescent="0.25">
      <c r="A281" s="121" t="str">
        <f>IF(S281=0,"",COUNTIF(A$23:A280,"&gt;0")+1)</f>
        <v/>
      </c>
      <c r="B281" s="796"/>
      <c r="C281" s="76" t="str">
        <f t="shared" si="99"/>
        <v>x3</v>
      </c>
      <c r="D281" s="98" t="str">
        <f>A!C277</f>
        <v>Canna Happy Isabel</v>
      </c>
      <c r="E281" s="109"/>
      <c r="F281" s="109"/>
      <c r="G281" s="99" t="str">
        <f>A!N277</f>
        <v>Indian shot plant</v>
      </c>
      <c r="H281" s="89" t="str">
        <f>A!Q277</f>
        <v>eye catching pink flower and green foliage</v>
      </c>
      <c r="I281" s="69">
        <f>A!M277</f>
        <v>1</v>
      </c>
      <c r="J281" s="202">
        <f>A!P277</f>
        <v>0</v>
      </c>
      <c r="K281" s="83">
        <f>IF(A!G277="y",1,0)</f>
        <v>1</v>
      </c>
      <c r="L281" s="83">
        <f>IF(A!H277="y",1,0)</f>
        <v>1</v>
      </c>
      <c r="M281" s="84" t="str">
        <f>IF(A!F277="y","NEW","")</f>
        <v/>
      </c>
      <c r="N281" s="85" t="str">
        <f>A!I277</f>
        <v>Y</v>
      </c>
      <c r="O281" s="797">
        <f>A!O277</f>
        <v>1</v>
      </c>
      <c r="P281" s="541" t="str">
        <f>A!K277</f>
        <v>M</v>
      </c>
      <c r="Q281" s="541" t="str">
        <f>A!E277</f>
        <v>y</v>
      </c>
      <c r="R281" s="541" t="s">
        <v>453</v>
      </c>
      <c r="S281" s="541">
        <f t="shared" si="100"/>
        <v>0</v>
      </c>
      <c r="T281" s="541" t="str">
        <f>A!R277</f>
        <v>x3</v>
      </c>
      <c r="U281" s="541">
        <f>A!S277</f>
        <v>50</v>
      </c>
      <c r="V281" s="541">
        <f>A!T277</f>
        <v>0.125</v>
      </c>
      <c r="W281" s="541">
        <f t="shared" si="101"/>
        <v>0</v>
      </c>
      <c r="X281" s="541"/>
    </row>
    <row r="282" spans="1:24" ht="11.25" customHeight="1" x14ac:dyDescent="0.25">
      <c r="A282" s="121" t="str">
        <f>IF(S282=0,"",COUNTIF(A$23:A281,"&gt;0")+1)</f>
        <v/>
      </c>
      <c r="B282" s="796"/>
      <c r="C282" s="76" t="str">
        <f t="shared" si="99"/>
        <v>x3</v>
      </c>
      <c r="D282" s="98" t="str">
        <f>A!C278</f>
        <v>Canna Happy Julia</v>
      </c>
      <c r="E282" s="109"/>
      <c r="F282" s="109"/>
      <c r="G282" s="99" t="str">
        <f>A!N278</f>
        <v>Indian shot plant</v>
      </c>
      <c r="H282" s="89" t="str">
        <f>A!Q278</f>
        <v>deep green/purple foliage over red petals</v>
      </c>
      <c r="I282" s="69">
        <f>A!M278</f>
        <v>1</v>
      </c>
      <c r="J282" s="202">
        <f>A!P278</f>
        <v>0</v>
      </c>
      <c r="K282" s="83">
        <f>IF(A!G278="y",1,0)</f>
        <v>1</v>
      </c>
      <c r="L282" s="83">
        <f>IF(A!H278="y",1,0)</f>
        <v>1</v>
      </c>
      <c r="M282" s="84" t="str">
        <f>IF(A!F278="y","NEW","")</f>
        <v/>
      </c>
      <c r="N282" s="85" t="str">
        <f>A!I278</f>
        <v>Y</v>
      </c>
      <c r="O282" s="797">
        <f>A!O278</f>
        <v>1</v>
      </c>
      <c r="P282" s="541" t="str">
        <f>A!K278</f>
        <v>M</v>
      </c>
      <c r="Q282" s="541" t="str">
        <f>A!E278</f>
        <v>y</v>
      </c>
      <c r="R282" s="541" t="s">
        <v>453</v>
      </c>
      <c r="S282" s="541">
        <f t="shared" si="100"/>
        <v>0</v>
      </c>
      <c r="T282" s="541" t="str">
        <f>A!R278</f>
        <v>x3</v>
      </c>
      <c r="U282" s="541">
        <f>A!S278</f>
        <v>50</v>
      </c>
      <c r="V282" s="541">
        <f>A!T278</f>
        <v>0.125</v>
      </c>
      <c r="W282" s="541">
        <f t="shared" si="101"/>
        <v>0</v>
      </c>
      <c r="X282" s="541"/>
    </row>
    <row r="283" spans="1:24" ht="11.25" customHeight="1" x14ac:dyDescent="0.25">
      <c r="A283" s="121" t="str">
        <f>IF(S283=0,"",COUNTIF(A$23:A282,"&gt;0")+1)</f>
        <v/>
      </c>
      <c r="B283" s="796"/>
      <c r="C283" s="76" t="str">
        <f t="shared" ref="C283" si="105">T283</f>
        <v>x3</v>
      </c>
      <c r="D283" s="98" t="str">
        <f>A!C279</f>
        <v>Canna Happy Wilma</v>
      </c>
      <c r="E283" s="109"/>
      <c r="F283" s="109"/>
      <c r="G283" s="99" t="str">
        <f>A!N279</f>
        <v>Indian shot plant</v>
      </c>
      <c r="H283" s="89" t="str">
        <f>A!Q279</f>
        <v>large, blousy, lilylike blooms in a salmon shade</v>
      </c>
      <c r="I283" s="69">
        <f>A!M279</f>
        <v>1</v>
      </c>
      <c r="J283" s="202">
        <f>A!P279</f>
        <v>0</v>
      </c>
      <c r="K283" s="83">
        <f>IF(A!G279="y",1,0)</f>
        <v>1</v>
      </c>
      <c r="L283" s="83">
        <f>IF(A!H279="y",1,0)</f>
        <v>1</v>
      </c>
      <c r="M283" s="84" t="str">
        <f>IF(A!F279="y","NEW","")</f>
        <v/>
      </c>
      <c r="N283" s="85" t="str">
        <f>A!I279</f>
        <v>Y</v>
      </c>
      <c r="O283" s="797">
        <f>A!O279</f>
        <v>1</v>
      </c>
      <c r="P283" s="541" t="str">
        <f>A!K279</f>
        <v>M</v>
      </c>
      <c r="Q283" s="541" t="str">
        <f>A!E279</f>
        <v>y</v>
      </c>
      <c r="R283" s="541" t="s">
        <v>453</v>
      </c>
      <c r="S283" s="541">
        <f t="shared" ref="S283" si="106">B283</f>
        <v>0</v>
      </c>
      <c r="T283" s="541" t="str">
        <f>A!R279</f>
        <v>x3</v>
      </c>
      <c r="U283" s="541">
        <f>A!S279</f>
        <v>50</v>
      </c>
      <c r="V283" s="541">
        <f>A!T279</f>
        <v>0.125</v>
      </c>
      <c r="W283" s="541">
        <f t="shared" ref="W283" si="107">V283*B283</f>
        <v>0</v>
      </c>
      <c r="X283" s="541"/>
    </row>
    <row r="284" spans="1:24" ht="11.25" hidden="1" customHeight="1" x14ac:dyDescent="0.25">
      <c r="A284" s="121" t="str">
        <f>IF(S284=0,"",COUNTIF(A$23:A283,"&gt;0")+1)</f>
        <v/>
      </c>
      <c r="B284" s="796"/>
      <c r="C284" s="76" t="str">
        <f t="shared" si="94"/>
        <v>x3</v>
      </c>
      <c r="D284" s="98" t="str">
        <f>A!C280</f>
        <v>Dryopteris affinis</v>
      </c>
      <c r="E284" s="109"/>
      <c r="F284" s="109"/>
      <c r="G284" s="99" t="str">
        <f>A!N280</f>
        <v>scaly male fern</v>
      </c>
      <c r="H284" s="89" t="str">
        <f>A!Q280</f>
        <v>handsome shuttlecock-type fern</v>
      </c>
      <c r="I284" s="69">
        <f>A!M280</f>
        <v>2</v>
      </c>
      <c r="J284" s="202" t="str">
        <f>A!P280</f>
        <v>yes</v>
      </c>
      <c r="K284" s="83">
        <f>IF(A!G280="y",1,0)</f>
        <v>0</v>
      </c>
      <c r="L284" s="83">
        <f>IF(A!H280="y",1,0)</f>
        <v>0</v>
      </c>
      <c r="M284" s="84" t="str">
        <f>IF(A!F280="y","NEW","")</f>
        <v/>
      </c>
      <c r="N284" s="85">
        <f>A!I280</f>
        <v>0</v>
      </c>
      <c r="O284" s="797">
        <f>A!O280</f>
        <v>1</v>
      </c>
      <c r="P284" s="541">
        <f>A!K280</f>
        <v>0</v>
      </c>
      <c r="Q284" s="541">
        <f>A!E280</f>
        <v>0</v>
      </c>
      <c r="R284" s="541" t="s">
        <v>453</v>
      </c>
      <c r="S284" s="541">
        <f t="shared" si="95"/>
        <v>0</v>
      </c>
      <c r="T284" s="541" t="str">
        <f>A!R280</f>
        <v>x3</v>
      </c>
      <c r="U284" s="541" t="str">
        <f>A!S280</f>
        <v/>
      </c>
      <c r="V284" s="541">
        <f>A!T280</f>
        <v>0.125</v>
      </c>
      <c r="W284" s="541">
        <f t="shared" si="96"/>
        <v>0</v>
      </c>
      <c r="X284" s="541"/>
    </row>
    <row r="285" spans="1:24" ht="11.25" hidden="1" customHeight="1" x14ac:dyDescent="0.25">
      <c r="A285" s="121" t="str">
        <f>IF(S285=0,"",COUNTIF(A$23:A284,"&gt;0")+1)</f>
        <v/>
      </c>
      <c r="B285" s="796"/>
      <c r="C285" s="76" t="str">
        <f t="shared" si="94"/>
        <v>x3</v>
      </c>
      <c r="D285" s="98" t="str">
        <f>A!C281</f>
        <v>Dryopteris erythrosora</v>
      </c>
      <c r="E285" s="109"/>
      <c r="F285" s="109"/>
      <c r="G285" s="99" t="str">
        <f>A!N281</f>
        <v>Autumn fern</v>
      </c>
      <c r="H285" s="89" t="str">
        <f>A!Q281</f>
        <v>evergreen Asian fern with bipinnate red/green fronds</v>
      </c>
      <c r="I285" s="69">
        <f>A!M281</f>
        <v>2</v>
      </c>
      <c r="J285" s="202">
        <f>A!P281</f>
        <v>0</v>
      </c>
      <c r="K285" s="83">
        <f>IF(A!G281="y",1,0)</f>
        <v>0</v>
      </c>
      <c r="L285" s="83">
        <f>IF(A!H281="y",1,0)</f>
        <v>0</v>
      </c>
      <c r="M285" s="84" t="str">
        <f>IF(A!F281="y","NEW","")</f>
        <v/>
      </c>
      <c r="N285" s="85">
        <f>A!I281</f>
        <v>0</v>
      </c>
      <c r="O285" s="797">
        <f>A!O281</f>
        <v>1</v>
      </c>
      <c r="P285" s="541">
        <f>A!K281</f>
        <v>0</v>
      </c>
      <c r="Q285" s="541">
        <f>A!E281</f>
        <v>0</v>
      </c>
      <c r="R285" s="541" t="s">
        <v>453</v>
      </c>
      <c r="S285" s="541">
        <f t="shared" si="95"/>
        <v>0</v>
      </c>
      <c r="T285" s="541" t="str">
        <f>A!R281</f>
        <v>x3</v>
      </c>
      <c r="U285" s="541" t="str">
        <f>A!S281</f>
        <v/>
      </c>
      <c r="V285" s="541">
        <f>A!T281</f>
        <v>0.125</v>
      </c>
      <c r="W285" s="541">
        <f t="shared" si="96"/>
        <v>0</v>
      </c>
      <c r="X285" s="541"/>
    </row>
    <row r="286" spans="1:24" ht="11.25" hidden="1" customHeight="1" x14ac:dyDescent="0.25">
      <c r="A286" s="121" t="str">
        <f>IF(S286=0,"",COUNTIF(A$23:A285,"&gt;0")+1)</f>
        <v/>
      </c>
      <c r="B286" s="796"/>
      <c r="C286" s="76" t="str">
        <f t="shared" si="94"/>
        <v>x3</v>
      </c>
      <c r="D286" s="98" t="str">
        <f>A!C282</f>
        <v>Dryopteris Felix Mas</v>
      </c>
      <c r="E286" s="109"/>
      <c r="F286" s="109"/>
      <c r="G286" s="99" t="str">
        <f>A!N282</f>
        <v>male fern</v>
      </c>
      <c r="H286" s="89" t="str">
        <f>A!Q282</f>
        <v>deciduous with shuttlecock-like fronds</v>
      </c>
      <c r="I286" s="69">
        <f>A!M282</f>
        <v>2</v>
      </c>
      <c r="J286" s="202" t="str">
        <f>A!P282</f>
        <v>Yes</v>
      </c>
      <c r="K286" s="83">
        <f>IF(A!G282="y",1,0)</f>
        <v>0</v>
      </c>
      <c r="L286" s="83">
        <f>IF(A!H282="y",1,0)</f>
        <v>0</v>
      </c>
      <c r="M286" s="84" t="str">
        <f>IF(A!F282="y","NEW","")</f>
        <v/>
      </c>
      <c r="N286" s="85">
        <f>A!I282</f>
        <v>0</v>
      </c>
      <c r="O286" s="797">
        <f>A!O282</f>
        <v>1</v>
      </c>
      <c r="P286" s="541">
        <f>A!K282</f>
        <v>0</v>
      </c>
      <c r="Q286" s="541">
        <f>A!E282</f>
        <v>0</v>
      </c>
      <c r="R286" s="541" t="s">
        <v>453</v>
      </c>
      <c r="S286" s="541">
        <f t="shared" si="95"/>
        <v>0</v>
      </c>
      <c r="T286" s="541" t="str">
        <f>A!R282</f>
        <v>x3</v>
      </c>
      <c r="U286" s="541" t="str">
        <f>A!S282</f>
        <v/>
      </c>
      <c r="V286" s="541">
        <f>A!T282</f>
        <v>0.125</v>
      </c>
      <c r="W286" s="541">
        <f t="shared" si="96"/>
        <v>0</v>
      </c>
      <c r="X286" s="541"/>
    </row>
    <row r="287" spans="1:24" ht="11.25" customHeight="1" x14ac:dyDescent="0.25">
      <c r="A287" s="121" t="str">
        <f>IF(S287=0,"",COUNTIF(A$23:A286,"&gt;0")+1)</f>
        <v/>
      </c>
      <c r="B287" s="796"/>
      <c r="C287" s="76" t="str">
        <f t="shared" si="94"/>
        <v>x3</v>
      </c>
      <c r="D287" s="98" t="str">
        <f>A!C283</f>
        <v>Gunnera manicata</v>
      </c>
      <c r="E287" s="109"/>
      <c r="F287" s="109"/>
      <c r="G287" s="99" t="str">
        <f>A!N283</f>
        <v>giant rhubarb</v>
      </c>
      <c r="H287" s="89" t="str">
        <f>A!Q283</f>
        <v>biggest and most spectacular of all herbaceous plants</v>
      </c>
      <c r="I287" s="69">
        <f>A!M283</f>
        <v>1</v>
      </c>
      <c r="J287" s="202">
        <f>A!P283</f>
        <v>0</v>
      </c>
      <c r="K287" s="83">
        <f>IF(A!G283="y",1,0)</f>
        <v>1</v>
      </c>
      <c r="L287" s="83">
        <f>IF(A!H283="y",1,0)</f>
        <v>0</v>
      </c>
      <c r="M287" s="84" t="str">
        <f>IF(A!F283="y","NEW","")</f>
        <v/>
      </c>
      <c r="N287" s="85">
        <f>A!I283</f>
        <v>0</v>
      </c>
      <c r="O287" s="797">
        <f>A!O283</f>
        <v>1</v>
      </c>
      <c r="P287" s="541" t="str">
        <f>A!K283</f>
        <v>M</v>
      </c>
      <c r="Q287" s="541" t="str">
        <f>A!E283</f>
        <v>y</v>
      </c>
      <c r="R287" s="541" t="s">
        <v>453</v>
      </c>
      <c r="S287" s="541">
        <f t="shared" si="95"/>
        <v>0</v>
      </c>
      <c r="T287" s="541" t="str">
        <f>A!R283</f>
        <v>x3</v>
      </c>
      <c r="U287" s="541">
        <f>A!S283</f>
        <v>50</v>
      </c>
      <c r="V287" s="541">
        <f>A!T283</f>
        <v>0.125</v>
      </c>
      <c r="W287" s="541">
        <f t="shared" si="96"/>
        <v>0</v>
      </c>
      <c r="X287" s="541"/>
    </row>
    <row r="288" spans="1:24" ht="11.25" hidden="1" customHeight="1" x14ac:dyDescent="0.25">
      <c r="A288" s="121" t="str">
        <f>IF(S288=0,"",COUNTIF(A$23:A287,"&gt;0")+1)</f>
        <v/>
      </c>
      <c r="B288" s="796"/>
      <c r="C288" s="76" t="str">
        <f t="shared" ref="C288" si="108">T288</f>
        <v>x3</v>
      </c>
      <c r="D288" s="98" t="str">
        <f>A!C284</f>
        <v>Hemerocallis</v>
      </c>
      <c r="E288" s="109"/>
      <c r="F288" s="109"/>
      <c r="G288" s="99" t="str">
        <f>A!N284</f>
        <v>day lily</v>
      </c>
      <c r="H288" s="89" t="str">
        <f>A!Q284</f>
        <v>assorted flower colours over green foliage</v>
      </c>
      <c r="I288" s="69">
        <f>A!M284</f>
        <v>2</v>
      </c>
      <c r="J288" s="202">
        <f>A!P284</f>
        <v>0</v>
      </c>
      <c r="K288" s="83">
        <f>IF(A!G284="y",1,0)</f>
        <v>0</v>
      </c>
      <c r="L288" s="83">
        <f>IF(A!H284="y",1,0)</f>
        <v>0</v>
      </c>
      <c r="M288" s="84" t="str">
        <f>IF(A!F284="y","NEW","")</f>
        <v/>
      </c>
      <c r="N288" s="85">
        <f>A!I284</f>
        <v>0</v>
      </c>
      <c r="O288" s="797">
        <f>A!O284</f>
        <v>1</v>
      </c>
      <c r="P288" s="541" t="str">
        <f>A!K284</f>
        <v>M</v>
      </c>
      <c r="Q288" s="541">
        <f>A!E284</f>
        <v>0</v>
      </c>
      <c r="R288" s="541" t="s">
        <v>453</v>
      </c>
      <c r="S288" s="541">
        <f t="shared" ref="S288" si="109">B288</f>
        <v>0</v>
      </c>
      <c r="T288" s="541" t="str">
        <f>A!R284</f>
        <v>x3</v>
      </c>
      <c r="U288" s="541">
        <f>A!S284</f>
        <v>50</v>
      </c>
      <c r="V288" s="541">
        <f>A!T284</f>
        <v>0.125</v>
      </c>
      <c r="W288" s="541">
        <f t="shared" si="96"/>
        <v>0</v>
      </c>
      <c r="X288" s="541"/>
    </row>
    <row r="289" spans="1:24" ht="11.25" customHeight="1" x14ac:dyDescent="0.25">
      <c r="A289" s="121" t="str">
        <f>IF(S289=0,"",COUNTIF(A$23:A288,"&gt;0")+1)</f>
        <v/>
      </c>
      <c r="B289" s="796"/>
      <c r="C289" s="76" t="str">
        <f t="shared" si="94"/>
        <v>x3</v>
      </c>
      <c r="D289" s="98" t="str">
        <f>A!C285</f>
        <v>Hosta Assorted</v>
      </c>
      <c r="E289" s="109"/>
      <c r="F289" s="109"/>
      <c r="G289" s="99" t="str">
        <f>A!N285</f>
        <v>plantain lily</v>
      </c>
      <c r="H289" s="89" t="str">
        <f>A!Q285</f>
        <v>selection of best stock, picked by us</v>
      </c>
      <c r="I289" s="69">
        <f>A!M285</f>
        <v>2</v>
      </c>
      <c r="J289" s="202">
        <f>A!P285</f>
        <v>0</v>
      </c>
      <c r="K289" s="83">
        <f>IF(A!G285="y",1,0)</f>
        <v>1</v>
      </c>
      <c r="L289" s="83">
        <f>IF(A!H285="y",1,0)</f>
        <v>1</v>
      </c>
      <c r="M289" s="84" t="str">
        <f>IF(A!F285="y","NEW","")</f>
        <v/>
      </c>
      <c r="N289" s="85" t="str">
        <f>A!I285</f>
        <v>y</v>
      </c>
      <c r="O289" s="797">
        <f>A!O285</f>
        <v>1</v>
      </c>
      <c r="P289" s="541" t="str">
        <f>A!K285</f>
        <v>M</v>
      </c>
      <c r="Q289" s="541" t="str">
        <f>A!E285</f>
        <v>y</v>
      </c>
      <c r="R289" s="541" t="s">
        <v>453</v>
      </c>
      <c r="S289" s="541">
        <f t="shared" si="95"/>
        <v>0</v>
      </c>
      <c r="T289" s="541" t="str">
        <f>A!R285</f>
        <v>x3</v>
      </c>
      <c r="U289" s="541">
        <f>A!S285</f>
        <v>50</v>
      </c>
      <c r="V289" s="541">
        <f>A!T285</f>
        <v>0.125</v>
      </c>
      <c r="W289" s="541">
        <f t="shared" si="96"/>
        <v>0</v>
      </c>
      <c r="X289" s="541"/>
    </row>
    <row r="290" spans="1:24" ht="11.25" hidden="1" customHeight="1" x14ac:dyDescent="0.25">
      <c r="A290" s="121" t="str">
        <f>IF(S290=0,"",COUNTIF(A$23:A289,"&gt;0")+1)</f>
        <v/>
      </c>
      <c r="B290" s="796"/>
      <c r="C290" s="76" t="str">
        <f t="shared" si="94"/>
        <v>x3</v>
      </c>
      <c r="D290" s="98" t="str">
        <f>A!C286</f>
        <v>Hosta Abiqua Drinking Gourd</v>
      </c>
      <c r="E290" s="109"/>
      <c r="F290" s="109"/>
      <c r="G290" s="99" t="str">
        <f>A!N286</f>
        <v>plantain lily</v>
      </c>
      <c r="H290" s="89" t="str">
        <f>A!Q286</f>
        <v>very large cupped leaf foliage, blue green.</v>
      </c>
      <c r="I290" s="69">
        <f>A!M286</f>
        <v>2</v>
      </c>
      <c r="J290" s="202">
        <f>A!P286</f>
        <v>0</v>
      </c>
      <c r="K290" s="83">
        <f>IF(A!G286="y",1,0)</f>
        <v>0</v>
      </c>
      <c r="L290" s="83">
        <f>IF(A!H286="y",1,0)</f>
        <v>0</v>
      </c>
      <c r="M290" s="84" t="str">
        <f>IF(A!F286="y","NEW","")</f>
        <v/>
      </c>
      <c r="N290" s="85">
        <f>A!I286</f>
        <v>0</v>
      </c>
      <c r="O290" s="797">
        <f>A!O286</f>
        <v>1</v>
      </c>
      <c r="P290" s="541">
        <f>A!K286</f>
        <v>0</v>
      </c>
      <c r="Q290" s="541">
        <f>A!E286</f>
        <v>0</v>
      </c>
      <c r="R290" s="541" t="s">
        <v>453</v>
      </c>
      <c r="S290" s="541">
        <f t="shared" si="95"/>
        <v>0</v>
      </c>
      <c r="T290" s="541" t="str">
        <f>A!R286</f>
        <v>x3</v>
      </c>
      <c r="U290" s="541" t="str">
        <f>A!S286</f>
        <v/>
      </c>
      <c r="V290" s="541">
        <f>A!T286</f>
        <v>0.125</v>
      </c>
      <c r="W290" s="541">
        <f t="shared" si="96"/>
        <v>0</v>
      </c>
      <c r="X290" s="541"/>
    </row>
    <row r="291" spans="1:24" ht="11.25" hidden="1" customHeight="1" x14ac:dyDescent="0.25">
      <c r="A291" s="121" t="str">
        <f>IF(S291=0,"",COUNTIF(A$23:A290,"&gt;0")+1)</f>
        <v/>
      </c>
      <c r="B291" s="796"/>
      <c r="C291" s="76" t="str">
        <f t="shared" si="94"/>
        <v>x3</v>
      </c>
      <c r="D291" s="98" t="str">
        <f>A!C287</f>
        <v>Hosta Anne</v>
      </c>
      <c r="E291" s="109"/>
      <c r="F291" s="109"/>
      <c r="G291" s="99" t="str">
        <f>A!N287</f>
        <v>plantain lily</v>
      </c>
      <c r="H291" s="89" t="str">
        <f>A!Q287</f>
        <v>Dark green thick leaves with wide creamy margin.</v>
      </c>
      <c r="I291" s="69">
        <f>A!M287</f>
        <v>2</v>
      </c>
      <c r="J291" s="202">
        <f>A!P287</f>
        <v>0</v>
      </c>
      <c r="K291" s="83">
        <f>IF(A!G287="y",1,0)</f>
        <v>0</v>
      </c>
      <c r="L291" s="83">
        <f>IF(A!H287="y",1,0)</f>
        <v>0</v>
      </c>
      <c r="M291" s="84" t="str">
        <f>IF(A!F287="y","NEW","")</f>
        <v/>
      </c>
      <c r="N291" s="85">
        <f>A!I287</f>
        <v>0</v>
      </c>
      <c r="O291" s="797">
        <f>A!O287</f>
        <v>1</v>
      </c>
      <c r="P291" s="541">
        <f>A!K287</f>
        <v>0</v>
      </c>
      <c r="Q291" s="541">
        <f>A!E287</f>
        <v>0</v>
      </c>
      <c r="R291" s="541" t="s">
        <v>453</v>
      </c>
      <c r="S291" s="541">
        <f t="shared" si="95"/>
        <v>0</v>
      </c>
      <c r="T291" s="541" t="str">
        <f>A!R287</f>
        <v>x3</v>
      </c>
      <c r="U291" s="541" t="str">
        <f>A!S287</f>
        <v/>
      </c>
      <c r="V291" s="541">
        <f>A!T287</f>
        <v>0.125</v>
      </c>
      <c r="W291" s="541">
        <f t="shared" si="96"/>
        <v>0</v>
      </c>
      <c r="X291" s="541"/>
    </row>
    <row r="292" spans="1:24" ht="11.25" hidden="1" customHeight="1" x14ac:dyDescent="0.25">
      <c r="A292" s="121" t="str">
        <f>IF(S292=0,"",COUNTIF(A$23:A291,"&gt;0")+1)</f>
        <v/>
      </c>
      <c r="B292" s="796"/>
      <c r="C292" s="76" t="str">
        <f t="shared" ref="C292" si="110">T292</f>
        <v>x3</v>
      </c>
      <c r="D292" s="98" t="str">
        <f>A!C288</f>
        <v>Hosta Captains Adventures</v>
      </c>
      <c r="E292" s="109"/>
      <c r="F292" s="109"/>
      <c r="G292" s="99" t="str">
        <f>A!N288</f>
        <v>plantain lily</v>
      </c>
      <c r="H292" s="89" t="str">
        <f>A!Q288</f>
        <v>wide creamy-white margin and darker green streaking</v>
      </c>
      <c r="I292" s="69">
        <f>A!M288</f>
        <v>2</v>
      </c>
      <c r="J292" s="202">
        <f>A!P288</f>
        <v>0</v>
      </c>
      <c r="K292" s="83">
        <f>IF(A!G288="y",1,0)</f>
        <v>0</v>
      </c>
      <c r="L292" s="83">
        <f>IF(A!H288="y",1,0)</f>
        <v>0</v>
      </c>
      <c r="M292" s="84" t="str">
        <f>IF(A!F288="y","NEW","")</f>
        <v/>
      </c>
      <c r="N292" s="85">
        <f>A!I288</f>
        <v>0</v>
      </c>
      <c r="O292" s="797">
        <f>A!O288</f>
        <v>1</v>
      </c>
      <c r="P292" s="541">
        <f>A!K288</f>
        <v>0</v>
      </c>
      <c r="Q292" s="541">
        <f>A!E288</f>
        <v>0</v>
      </c>
      <c r="R292" s="541" t="s">
        <v>453</v>
      </c>
      <c r="S292" s="541">
        <f t="shared" ref="S292" si="111">B292</f>
        <v>0</v>
      </c>
      <c r="T292" s="541" t="str">
        <f>A!R288</f>
        <v>x3</v>
      </c>
      <c r="U292" s="541" t="str">
        <f>A!S288</f>
        <v/>
      </c>
      <c r="V292" s="541">
        <f>A!T288</f>
        <v>0.125</v>
      </c>
      <c r="W292" s="541">
        <f t="shared" si="96"/>
        <v>0</v>
      </c>
      <c r="X292" s="541"/>
    </row>
    <row r="293" spans="1:24" ht="11.25" hidden="1" customHeight="1" x14ac:dyDescent="0.25">
      <c r="A293" s="121" t="str">
        <f>IF(S293=0,"",COUNTIF(A$23:A292,"&gt;0")+1)</f>
        <v/>
      </c>
      <c r="B293" s="796"/>
      <c r="C293" s="76" t="str">
        <f t="shared" si="94"/>
        <v>x3</v>
      </c>
      <c r="D293" s="98" t="str">
        <f>A!C289</f>
        <v>Hosta Don Stevens</v>
      </c>
      <c r="E293" s="109"/>
      <c r="F293" s="109"/>
      <c r="G293" s="99" t="str">
        <f>A!N289</f>
        <v>plantain lily</v>
      </c>
      <c r="H293" s="89" t="str">
        <f>A!Q289</f>
        <v>yellow-white margin &amp; red dotted scapes.</v>
      </c>
      <c r="I293" s="69">
        <f>A!M289</f>
        <v>2</v>
      </c>
      <c r="J293" s="202">
        <f>A!P289</f>
        <v>0</v>
      </c>
      <c r="K293" s="83">
        <f>IF(A!G289="y",1,0)</f>
        <v>0</v>
      </c>
      <c r="L293" s="83">
        <f>IF(A!H289="y",1,0)</f>
        <v>0</v>
      </c>
      <c r="M293" s="84" t="str">
        <f>IF(A!F289="y","NEW","")</f>
        <v/>
      </c>
      <c r="N293" s="85">
        <f>A!I289</f>
        <v>0</v>
      </c>
      <c r="O293" s="797">
        <f>A!O289</f>
        <v>1</v>
      </c>
      <c r="P293" s="541">
        <f>A!K289</f>
        <v>0</v>
      </c>
      <c r="Q293" s="541">
        <f>A!E289</f>
        <v>0</v>
      </c>
      <c r="R293" s="541" t="s">
        <v>453</v>
      </c>
      <c r="S293" s="541">
        <f t="shared" si="95"/>
        <v>0</v>
      </c>
      <c r="T293" s="541" t="str">
        <f>A!R289</f>
        <v>x3</v>
      </c>
      <c r="U293" s="541" t="str">
        <f>A!S289</f>
        <v/>
      </c>
      <c r="V293" s="541">
        <f>A!T289</f>
        <v>0.125</v>
      </c>
      <c r="W293" s="541">
        <f t="shared" si="96"/>
        <v>0</v>
      </c>
      <c r="X293" s="541"/>
    </row>
    <row r="294" spans="1:24" ht="11.25" hidden="1" customHeight="1" x14ac:dyDescent="0.25">
      <c r="A294" s="121" t="str">
        <f>IF(S294=0,"",COUNTIF(A$23:A293,"&gt;0")+1)</f>
        <v/>
      </c>
      <c r="B294" s="796"/>
      <c r="C294" s="76" t="str">
        <f t="shared" ref="C294" si="112">T294</f>
        <v>x3</v>
      </c>
      <c r="D294" s="98" t="str">
        <f>A!C290</f>
        <v>Hosta Firn Line</v>
      </c>
      <c r="E294" s="109"/>
      <c r="F294" s="109"/>
      <c r="G294" s="99" t="str">
        <f>A!N290</f>
        <v>plantain lily</v>
      </c>
      <c r="H294" s="89" t="str">
        <f>A!Q290</f>
        <v>grey-green leaves with creamy-white margins.</v>
      </c>
      <c r="I294" s="69">
        <f>A!M290</f>
        <v>2</v>
      </c>
      <c r="J294" s="202">
        <f>A!P290</f>
        <v>0</v>
      </c>
      <c r="K294" s="83">
        <f>IF(A!G290="y",1,0)</f>
        <v>0</v>
      </c>
      <c r="L294" s="83">
        <f>IF(A!H290="y",1,0)</f>
        <v>0</v>
      </c>
      <c r="M294" s="84" t="str">
        <f>IF(A!F290="y","NEW","")</f>
        <v/>
      </c>
      <c r="N294" s="85">
        <f>A!I290</f>
        <v>0</v>
      </c>
      <c r="O294" s="797">
        <f>A!O290</f>
        <v>1</v>
      </c>
      <c r="P294" s="541">
        <f>A!K290</f>
        <v>0</v>
      </c>
      <c r="Q294" s="541">
        <f>A!E290</f>
        <v>0</v>
      </c>
      <c r="R294" s="541" t="s">
        <v>453</v>
      </c>
      <c r="S294" s="541">
        <f t="shared" ref="S294" si="113">B294</f>
        <v>0</v>
      </c>
      <c r="T294" s="541" t="str">
        <f>A!R290</f>
        <v>x3</v>
      </c>
      <c r="U294" s="541" t="str">
        <f>A!S290</f>
        <v/>
      </c>
      <c r="V294" s="541">
        <f>A!T290</f>
        <v>0.125</v>
      </c>
      <c r="W294" s="541">
        <f t="shared" si="96"/>
        <v>0</v>
      </c>
      <c r="X294" s="541"/>
    </row>
    <row r="295" spans="1:24" ht="11.25" hidden="1" customHeight="1" x14ac:dyDescent="0.25">
      <c r="A295" s="121" t="str">
        <f>IF(S295=0,"",COUNTIF(A$23:A294,"&gt;0")+1)</f>
        <v/>
      </c>
      <c r="B295" s="796"/>
      <c r="C295" s="76" t="str">
        <f t="shared" si="94"/>
        <v>x3</v>
      </c>
      <c r="D295" s="98" t="str">
        <f>A!C291</f>
        <v>Hosta Fortunei Hyacinthina</v>
      </c>
      <c r="E295" s="109"/>
      <c r="F295" s="109"/>
      <c r="G295" s="99" t="str">
        <f>A!N291</f>
        <v>plantain lily</v>
      </c>
      <c r="H295" s="89" t="str">
        <f>A!Q291</f>
        <v>large glaucous-green leaves</v>
      </c>
      <c r="I295" s="69">
        <f>A!M291</f>
        <v>2</v>
      </c>
      <c r="J295" s="202">
        <f>A!P291</f>
        <v>0</v>
      </c>
      <c r="K295" s="83">
        <f>IF(A!G291="y",1,0)</f>
        <v>0</v>
      </c>
      <c r="L295" s="83">
        <f>IF(A!H291="y",1,0)</f>
        <v>0</v>
      </c>
      <c r="M295" s="84" t="str">
        <f>IF(A!F291="y","NEW","")</f>
        <v/>
      </c>
      <c r="N295" s="85">
        <f>A!I291</f>
        <v>0</v>
      </c>
      <c r="O295" s="797">
        <f>A!O291</f>
        <v>1</v>
      </c>
      <c r="P295" s="541">
        <f>A!K291</f>
        <v>0</v>
      </c>
      <c r="Q295" s="541">
        <f>A!E291</f>
        <v>0</v>
      </c>
      <c r="R295" s="541" t="s">
        <v>453</v>
      </c>
      <c r="S295" s="541">
        <f t="shared" si="95"/>
        <v>0</v>
      </c>
      <c r="T295" s="541" t="str">
        <f>A!R291</f>
        <v>x3</v>
      </c>
      <c r="U295" s="541" t="str">
        <f>A!S291</f>
        <v/>
      </c>
      <c r="V295" s="541">
        <f>A!T291</f>
        <v>0.125</v>
      </c>
      <c r="W295" s="541">
        <f t="shared" si="96"/>
        <v>0</v>
      </c>
      <c r="X295" s="541"/>
    </row>
    <row r="296" spans="1:24" ht="11.25" hidden="1" customHeight="1" x14ac:dyDescent="0.25">
      <c r="A296" s="121" t="str">
        <f>IF(S296=0,"",COUNTIF(A$23:A295,"&gt;0")+1)</f>
        <v/>
      </c>
      <c r="B296" s="796"/>
      <c r="C296" s="76" t="str">
        <f t="shared" ref="C296" si="114">T296</f>
        <v>x3</v>
      </c>
      <c r="D296" s="98" t="str">
        <f>A!C292</f>
        <v>Hosta Fragrant Bouquet</v>
      </c>
      <c r="E296" s="109"/>
      <c r="F296" s="109"/>
      <c r="G296" s="99" t="str">
        <f>A!N292</f>
        <v>plantain lily</v>
      </c>
      <c r="H296" s="89" t="str">
        <f>A!Q292</f>
        <v>light green leaves  with a creamy white edge</v>
      </c>
      <c r="I296" s="69">
        <f>A!M292</f>
        <v>2</v>
      </c>
      <c r="J296" s="202">
        <f>A!P292</f>
        <v>0</v>
      </c>
      <c r="K296" s="83">
        <f>IF(A!G292="y",1,0)</f>
        <v>0</v>
      </c>
      <c r="L296" s="83">
        <f>IF(A!H292="y",1,0)</f>
        <v>0</v>
      </c>
      <c r="M296" s="84" t="str">
        <f>IF(A!F292="y","NEW","")</f>
        <v/>
      </c>
      <c r="N296" s="85">
        <f>A!I292</f>
        <v>0</v>
      </c>
      <c r="O296" s="797">
        <f>A!O292</f>
        <v>1</v>
      </c>
      <c r="P296" s="541">
        <f>A!K292</f>
        <v>0</v>
      </c>
      <c r="Q296" s="541">
        <f>A!E292</f>
        <v>0</v>
      </c>
      <c r="R296" s="541" t="s">
        <v>453</v>
      </c>
      <c r="S296" s="541">
        <f t="shared" ref="S296" si="115">B296</f>
        <v>0</v>
      </c>
      <c r="T296" s="541" t="str">
        <f>A!R292</f>
        <v>x3</v>
      </c>
      <c r="U296" s="541" t="str">
        <f>A!S292</f>
        <v/>
      </c>
      <c r="V296" s="541">
        <f>A!T292</f>
        <v>0.125</v>
      </c>
      <c r="W296" s="541">
        <f t="shared" si="96"/>
        <v>0</v>
      </c>
      <c r="X296" s="541"/>
    </row>
    <row r="297" spans="1:24" ht="11.25" hidden="1" customHeight="1" x14ac:dyDescent="0.25">
      <c r="A297" s="121" t="str">
        <f>IF(S297=0,"",COUNTIF(A$23:A296,"&gt;0")+1)</f>
        <v/>
      </c>
      <c r="B297" s="796"/>
      <c r="C297" s="76" t="str">
        <f t="shared" si="94"/>
        <v>x3</v>
      </c>
      <c r="D297" s="98" t="str">
        <f>A!C293</f>
        <v>Hosta Francee</v>
      </c>
      <c r="E297" s="109"/>
      <c r="F297" s="109"/>
      <c r="G297" s="99" t="str">
        <f>A!N293</f>
        <v>plantain lily</v>
      </c>
      <c r="H297" s="89" t="str">
        <f>A!Q293</f>
        <v>very popular white edged 'Fortunei'</v>
      </c>
      <c r="I297" s="69">
        <f>A!M293</f>
        <v>2</v>
      </c>
      <c r="J297" s="202">
        <f>A!P293</f>
        <v>0</v>
      </c>
      <c r="K297" s="83">
        <f>IF(A!G293="y",1,0)</f>
        <v>0</v>
      </c>
      <c r="L297" s="83">
        <f>IF(A!H293="y",1,0)</f>
        <v>0</v>
      </c>
      <c r="M297" s="84" t="str">
        <f>IF(A!F293="y","NEW","")</f>
        <v/>
      </c>
      <c r="N297" s="85">
        <f>A!I293</f>
        <v>0</v>
      </c>
      <c r="O297" s="797">
        <f>A!O293</f>
        <v>1</v>
      </c>
      <c r="P297" s="541">
        <f>A!K293</f>
        <v>0</v>
      </c>
      <c r="Q297" s="541">
        <f>A!E293</f>
        <v>0</v>
      </c>
      <c r="R297" s="541" t="s">
        <v>453</v>
      </c>
      <c r="S297" s="541">
        <f t="shared" si="95"/>
        <v>0</v>
      </c>
      <c r="T297" s="541" t="str">
        <f>A!R293</f>
        <v>x3</v>
      </c>
      <c r="U297" s="541" t="str">
        <f>A!S293</f>
        <v/>
      </c>
      <c r="V297" s="541">
        <f>A!T293</f>
        <v>0.125</v>
      </c>
      <c r="W297" s="541">
        <f t="shared" si="96"/>
        <v>0</v>
      </c>
      <c r="X297" s="541"/>
    </row>
    <row r="298" spans="1:24" ht="11.25" hidden="1" customHeight="1" x14ac:dyDescent="0.25">
      <c r="A298" s="121" t="str">
        <f>IF(S298=0,"",COUNTIF(A$23:A297,"&gt;0")+1)</f>
        <v/>
      </c>
      <c r="B298" s="796"/>
      <c r="C298" s="76" t="str">
        <f t="shared" si="94"/>
        <v>x3</v>
      </c>
      <c r="D298" s="98" t="str">
        <f>A!C294</f>
        <v>Hosta Frances Williams</v>
      </c>
      <c r="E298" s="109"/>
      <c r="F298" s="109"/>
      <c r="G298" s="99" t="str">
        <f>A!N294</f>
        <v>plantain lily</v>
      </c>
      <c r="H298" s="89" t="str">
        <f>A!Q294</f>
        <v>large green and yellow margined heart-shaped leaves</v>
      </c>
      <c r="I298" s="69">
        <f>A!M294</f>
        <v>2</v>
      </c>
      <c r="J298" s="202">
        <f>A!P294</f>
        <v>0</v>
      </c>
      <c r="K298" s="83">
        <f>IF(A!G294="y",1,0)</f>
        <v>0</v>
      </c>
      <c r="L298" s="83">
        <f>IF(A!H294="y",1,0)</f>
        <v>0</v>
      </c>
      <c r="M298" s="84" t="str">
        <f>IF(A!F294="y","NEW","")</f>
        <v/>
      </c>
      <c r="N298" s="85">
        <f>A!I294</f>
        <v>0</v>
      </c>
      <c r="O298" s="797">
        <f>A!O294</f>
        <v>1</v>
      </c>
      <c r="P298" s="541">
        <f>A!K294</f>
        <v>0</v>
      </c>
      <c r="Q298" s="541">
        <f>A!E294</f>
        <v>0</v>
      </c>
      <c r="R298" s="541" t="s">
        <v>453</v>
      </c>
      <c r="S298" s="541">
        <f t="shared" si="95"/>
        <v>0</v>
      </c>
      <c r="T298" s="541" t="str">
        <f>A!R294</f>
        <v>x3</v>
      </c>
      <c r="U298" s="541" t="str">
        <f>A!S294</f>
        <v/>
      </c>
      <c r="V298" s="541">
        <f>A!T294</f>
        <v>0.125</v>
      </c>
      <c r="W298" s="541">
        <f t="shared" si="96"/>
        <v>0</v>
      </c>
      <c r="X298" s="541"/>
    </row>
    <row r="299" spans="1:24" ht="11.25" hidden="1" customHeight="1" x14ac:dyDescent="0.25">
      <c r="A299" s="121" t="str">
        <f>IF(S299=0,"",COUNTIF(A$23:A298,"&gt;0")+1)</f>
        <v/>
      </c>
      <c r="B299" s="796"/>
      <c r="C299" s="76" t="str">
        <f t="shared" si="94"/>
        <v>x3</v>
      </c>
      <c r="D299" s="98" t="str">
        <f>A!C295</f>
        <v>Hosta halcyon</v>
      </c>
      <c r="E299" s="109"/>
      <c r="F299" s="109"/>
      <c r="G299" s="99" t="str">
        <f>A!N295</f>
        <v>plantain lily</v>
      </c>
      <c r="H299" s="89" t="str">
        <f>A!Q295</f>
        <v>wonderful blue green textured foliage</v>
      </c>
      <c r="I299" s="69">
        <f>A!M295</f>
        <v>2</v>
      </c>
      <c r="J299" s="202">
        <f>A!P295</f>
        <v>0</v>
      </c>
      <c r="K299" s="83">
        <f>IF(A!G295="y",1,0)</f>
        <v>0</v>
      </c>
      <c r="L299" s="83">
        <f>IF(A!H295="y",1,0)</f>
        <v>0</v>
      </c>
      <c r="M299" s="84" t="str">
        <f>IF(A!F295="y","NEW","")</f>
        <v/>
      </c>
      <c r="N299" s="85">
        <f>A!I295</f>
        <v>0</v>
      </c>
      <c r="O299" s="797">
        <f>A!O295</f>
        <v>1</v>
      </c>
      <c r="P299" s="541">
        <f>A!K295</f>
        <v>0</v>
      </c>
      <c r="Q299" s="541">
        <f>A!E295</f>
        <v>0</v>
      </c>
      <c r="R299" s="541" t="s">
        <v>453</v>
      </c>
      <c r="S299" s="541">
        <f t="shared" si="95"/>
        <v>0</v>
      </c>
      <c r="T299" s="541" t="str">
        <f>A!R295</f>
        <v>x3</v>
      </c>
      <c r="U299" s="541" t="str">
        <f>A!S295</f>
        <v/>
      </c>
      <c r="V299" s="541">
        <f>A!T295</f>
        <v>0.125</v>
      </c>
      <c r="W299" s="541">
        <f t="shared" si="96"/>
        <v>0</v>
      </c>
      <c r="X299" s="541"/>
    </row>
    <row r="300" spans="1:24" ht="11.25" hidden="1" customHeight="1" x14ac:dyDescent="0.25">
      <c r="A300" s="121" t="str">
        <f>IF(S300=0,"",COUNTIF(A$23:A299,"&gt;0")+1)</f>
        <v/>
      </c>
      <c r="B300" s="796"/>
      <c r="C300" s="76" t="str">
        <f t="shared" si="94"/>
        <v>x3</v>
      </c>
      <c r="D300" s="98" t="str">
        <f>A!C296</f>
        <v>Hosta Morning Star</v>
      </c>
      <c r="E300" s="109"/>
      <c r="F300" s="109"/>
      <c r="G300" s="99" t="str">
        <f>A!N296</f>
        <v>plantain lily</v>
      </c>
      <c r="H300" s="89" t="str">
        <f>A!Q296</f>
        <v>dark green margin surrounds the yellow leaf centre.</v>
      </c>
      <c r="I300" s="69">
        <f>A!M296</f>
        <v>2</v>
      </c>
      <c r="J300" s="202">
        <f>A!P296</f>
        <v>0</v>
      </c>
      <c r="K300" s="83">
        <f>IF(A!G296="y",1,0)</f>
        <v>0</v>
      </c>
      <c r="L300" s="83">
        <f>IF(A!H296="y",1,0)</f>
        <v>0</v>
      </c>
      <c r="M300" s="84" t="str">
        <f>IF(A!F296="y","NEW","")</f>
        <v/>
      </c>
      <c r="N300" s="85">
        <f>A!I296</f>
        <v>0</v>
      </c>
      <c r="O300" s="797">
        <f>A!O296</f>
        <v>1</v>
      </c>
      <c r="P300" s="541" t="str">
        <f>A!K296</f>
        <v>m</v>
      </c>
      <c r="Q300" s="541">
        <f>A!E296</f>
        <v>0</v>
      </c>
      <c r="R300" s="541" t="s">
        <v>453</v>
      </c>
      <c r="S300" s="541">
        <f t="shared" si="95"/>
        <v>0</v>
      </c>
      <c r="T300" s="541" t="str">
        <f>A!R296</f>
        <v>x3</v>
      </c>
      <c r="U300" s="541">
        <f>A!S296</f>
        <v>50</v>
      </c>
      <c r="V300" s="541">
        <f>A!T296</f>
        <v>0.125</v>
      </c>
      <c r="W300" s="541">
        <f t="shared" si="96"/>
        <v>0</v>
      </c>
      <c r="X300" s="541"/>
    </row>
    <row r="301" spans="1:24" ht="11.25" hidden="1" customHeight="1" x14ac:dyDescent="0.25">
      <c r="A301" s="121" t="str">
        <f>IF(S301=0,"",COUNTIF(A$23:A300,"&gt;0")+1)</f>
        <v/>
      </c>
      <c r="B301" s="796"/>
      <c r="C301" s="76" t="str">
        <f t="shared" si="94"/>
        <v>x3</v>
      </c>
      <c r="D301" s="98" t="str">
        <f>A!C297</f>
        <v>Hosta Patriot</v>
      </c>
      <c r="E301" s="109"/>
      <c r="F301" s="109"/>
      <c r="G301" s="99" t="str">
        <f>A!N297</f>
        <v>plantain lily</v>
      </c>
      <c r="H301" s="89" t="str">
        <f>A!Q297</f>
        <v xml:space="preserve">striking broad white margins, </v>
      </c>
      <c r="I301" s="69">
        <f>A!M297</f>
        <v>2</v>
      </c>
      <c r="J301" s="202">
        <f>A!P297</f>
        <v>0</v>
      </c>
      <c r="K301" s="83">
        <f>IF(A!G297="y",1,0)</f>
        <v>0</v>
      </c>
      <c r="L301" s="83">
        <f>IF(A!H297="y",1,0)</f>
        <v>0</v>
      </c>
      <c r="M301" s="84" t="str">
        <f>IF(A!F297="y","NEW","")</f>
        <v/>
      </c>
      <c r="N301" s="85">
        <f>A!I297</f>
        <v>0</v>
      </c>
      <c r="O301" s="797">
        <f>A!O297</f>
        <v>1</v>
      </c>
      <c r="P301" s="541" t="str">
        <f>A!K297</f>
        <v>m</v>
      </c>
      <c r="Q301" s="541">
        <f>A!E297</f>
        <v>0</v>
      </c>
      <c r="R301" s="541" t="s">
        <v>453</v>
      </c>
      <c r="S301" s="541">
        <f t="shared" si="95"/>
        <v>0</v>
      </c>
      <c r="T301" s="541" t="str">
        <f>A!R297</f>
        <v>x3</v>
      </c>
      <c r="U301" s="541">
        <f>A!S297</f>
        <v>50</v>
      </c>
      <c r="V301" s="541">
        <f>A!T297</f>
        <v>0.125</v>
      </c>
      <c r="W301" s="541">
        <f t="shared" si="96"/>
        <v>0</v>
      </c>
      <c r="X301" s="541"/>
    </row>
    <row r="302" spans="1:24" ht="11.25" hidden="1" customHeight="1" x14ac:dyDescent="0.25">
      <c r="A302" s="121" t="str">
        <f>IF(S302=0,"",COUNTIF(A$23:A301,"&gt;0")+1)</f>
        <v/>
      </c>
      <c r="B302" s="796"/>
      <c r="C302" s="76" t="str">
        <f t="shared" si="94"/>
        <v>x3</v>
      </c>
      <c r="D302" s="98" t="str">
        <f>A!C298</f>
        <v>Hosta Pizzazz</v>
      </c>
      <c r="E302" s="109"/>
      <c r="F302" s="109"/>
      <c r="G302" s="99" t="str">
        <f>A!N298</f>
        <v>plantain lily</v>
      </c>
      <c r="H302" s="89" t="str">
        <f>A!Q298</f>
        <v>Blue with creamy later and a white edge.</v>
      </c>
      <c r="I302" s="69">
        <f>A!M298</f>
        <v>2</v>
      </c>
      <c r="J302" s="202">
        <f>A!P298</f>
        <v>0</v>
      </c>
      <c r="K302" s="83">
        <f>IF(A!G298="y",1,0)</f>
        <v>0</v>
      </c>
      <c r="L302" s="83">
        <f>IF(A!H298="y",1,0)</f>
        <v>0</v>
      </c>
      <c r="M302" s="84" t="str">
        <f>IF(A!F298="y","NEW","")</f>
        <v/>
      </c>
      <c r="N302" s="85">
        <f>A!I298</f>
        <v>0</v>
      </c>
      <c r="O302" s="797">
        <f>A!O298</f>
        <v>1</v>
      </c>
      <c r="P302" s="541">
        <f>A!K298</f>
        <v>0</v>
      </c>
      <c r="Q302" s="541">
        <f>A!E298</f>
        <v>0</v>
      </c>
      <c r="R302" s="541" t="s">
        <v>453</v>
      </c>
      <c r="S302" s="541">
        <f t="shared" si="95"/>
        <v>0</v>
      </c>
      <c r="T302" s="541" t="str">
        <f>A!R298</f>
        <v>x3</v>
      </c>
      <c r="U302" s="541" t="str">
        <f>A!S298</f>
        <v/>
      </c>
      <c r="V302" s="541">
        <f>A!T298</f>
        <v>0.125</v>
      </c>
      <c r="W302" s="541">
        <f t="shared" si="96"/>
        <v>0</v>
      </c>
      <c r="X302" s="541"/>
    </row>
    <row r="303" spans="1:24" ht="11.25" hidden="1" customHeight="1" x14ac:dyDescent="0.25">
      <c r="A303" s="121" t="str">
        <f>IF(S303=0,"",COUNTIF(A$23:A302,"&gt;0")+1)</f>
        <v/>
      </c>
      <c r="B303" s="796"/>
      <c r="C303" s="76" t="str">
        <f t="shared" ref="C303" si="116">T303</f>
        <v>x3</v>
      </c>
      <c r="D303" s="98" t="str">
        <f>A!C299</f>
        <v>Hosta Sting</v>
      </c>
      <c r="E303" s="109"/>
      <c r="F303" s="109"/>
      <c r="G303" s="99" t="str">
        <f>A!N299</f>
        <v>plantain lily</v>
      </c>
      <c r="H303" s="89" t="str">
        <f>A!Q299</f>
        <v>thick dark green leaves with a white flamed center</v>
      </c>
      <c r="I303" s="69">
        <f>A!M299</f>
        <v>2</v>
      </c>
      <c r="J303" s="202">
        <f>A!P299</f>
        <v>0</v>
      </c>
      <c r="K303" s="83">
        <f>IF(A!G299="y",1,0)</f>
        <v>0</v>
      </c>
      <c r="L303" s="83">
        <f>IF(A!H299="y",1,0)</f>
        <v>0</v>
      </c>
      <c r="M303" s="84" t="str">
        <f>IF(A!F299="y","NEW","")</f>
        <v/>
      </c>
      <c r="N303" s="85">
        <f>A!I299</f>
        <v>0</v>
      </c>
      <c r="O303" s="797">
        <f>A!O299</f>
        <v>1</v>
      </c>
      <c r="P303" s="541">
        <f>A!K299</f>
        <v>0</v>
      </c>
      <c r="Q303" s="541">
        <f>A!E299</f>
        <v>0</v>
      </c>
      <c r="R303" s="541" t="s">
        <v>453</v>
      </c>
      <c r="S303" s="541">
        <f t="shared" ref="S303" si="117">B303</f>
        <v>0</v>
      </c>
      <c r="T303" s="541" t="str">
        <f>A!R299</f>
        <v>x3</v>
      </c>
      <c r="U303" s="541" t="str">
        <f>A!S299</f>
        <v/>
      </c>
      <c r="V303" s="541">
        <f>A!T299</f>
        <v>0.125</v>
      </c>
      <c r="W303" s="541">
        <f t="shared" si="96"/>
        <v>0</v>
      </c>
      <c r="X303" s="541"/>
    </row>
    <row r="304" spans="1:24" ht="11.25" hidden="1" customHeight="1" x14ac:dyDescent="0.25">
      <c r="A304" s="121" t="str">
        <f>IF(S304=0,"",COUNTIF(A$23:A303,"&gt;0")+1)</f>
        <v/>
      </c>
      <c r="B304" s="796"/>
      <c r="C304" s="76" t="str">
        <f t="shared" si="94"/>
        <v>x3</v>
      </c>
      <c r="D304" s="98" t="str">
        <f>A!C300</f>
        <v>Hosta Sugar Daddy</v>
      </c>
      <c r="E304" s="109"/>
      <c r="F304" s="109"/>
      <c r="G304" s="99" t="str">
        <f>A!N300</f>
        <v>plantain lily</v>
      </c>
      <c r="H304" s="89" t="str">
        <f>A!Q300</f>
        <v>Round puckered blue leaves with a yellow margin.</v>
      </c>
      <c r="I304" s="69">
        <f>A!M300</f>
        <v>2</v>
      </c>
      <c r="J304" s="202">
        <f>A!P300</f>
        <v>0</v>
      </c>
      <c r="K304" s="83">
        <f>IF(A!G300="y",1,0)</f>
        <v>0</v>
      </c>
      <c r="L304" s="83">
        <f>IF(A!H300="y",1,0)</f>
        <v>0</v>
      </c>
      <c r="M304" s="84" t="str">
        <f>IF(A!F300="y","NEW","")</f>
        <v/>
      </c>
      <c r="N304" s="85">
        <f>A!I300</f>
        <v>0</v>
      </c>
      <c r="O304" s="797">
        <f>A!O300</f>
        <v>1</v>
      </c>
      <c r="P304" s="541">
        <f>A!K300</f>
        <v>0</v>
      </c>
      <c r="Q304" s="541">
        <f>A!E300</f>
        <v>0</v>
      </c>
      <c r="R304" s="541" t="s">
        <v>453</v>
      </c>
      <c r="S304" s="541">
        <f t="shared" ref="S304:S330" si="118">B304</f>
        <v>0</v>
      </c>
      <c r="T304" s="541" t="str">
        <f>A!R300</f>
        <v>x3</v>
      </c>
      <c r="U304" s="541" t="str">
        <f>A!S300</f>
        <v/>
      </c>
      <c r="V304" s="541">
        <f>A!T300</f>
        <v>0.125</v>
      </c>
      <c r="W304" s="541">
        <f t="shared" si="96"/>
        <v>0</v>
      </c>
      <c r="X304" s="541"/>
    </row>
    <row r="305" spans="1:24" ht="11.25" hidden="1" customHeight="1" x14ac:dyDescent="0.25">
      <c r="A305" s="121" t="str">
        <f>IF(S305=0,"",COUNTIF(A$23:A304,"&gt;0")+1)</f>
        <v/>
      </c>
      <c r="B305" s="796"/>
      <c r="C305" s="76" t="str">
        <f t="shared" si="94"/>
        <v>x3</v>
      </c>
      <c r="D305" s="98" t="str">
        <f>A!C301</f>
        <v>Hosta Tokudama Flavocircinalis</v>
      </c>
      <c r="E305" s="109"/>
      <c r="F305" s="109"/>
      <c r="G305" s="99" t="str">
        <f>A!N301</f>
        <v>plantain lily</v>
      </c>
      <c r="H305" s="89" t="str">
        <f>A!Q301</f>
        <v>Blue with yellow a margin and heavily rugose.</v>
      </c>
      <c r="I305" s="69">
        <f>A!M301</f>
        <v>2</v>
      </c>
      <c r="J305" s="202">
        <f>A!P301</f>
        <v>0</v>
      </c>
      <c r="K305" s="83">
        <f>IF(A!G301="y",1,0)</f>
        <v>0</v>
      </c>
      <c r="L305" s="83">
        <f>IF(A!H301="y",1,0)</f>
        <v>0</v>
      </c>
      <c r="M305" s="84" t="str">
        <f>IF(A!F301="y","NEW","")</f>
        <v/>
      </c>
      <c r="N305" s="85">
        <f>A!I301</f>
        <v>0</v>
      </c>
      <c r="O305" s="797">
        <f>A!O301</f>
        <v>1</v>
      </c>
      <c r="P305" s="541" t="str">
        <f>A!K301</f>
        <v>m</v>
      </c>
      <c r="Q305" s="541">
        <f>A!E301</f>
        <v>0</v>
      </c>
      <c r="R305" s="541" t="s">
        <v>453</v>
      </c>
      <c r="S305" s="541">
        <f t="shared" si="118"/>
        <v>0</v>
      </c>
      <c r="T305" s="541" t="str">
        <f>A!R301</f>
        <v>x3</v>
      </c>
      <c r="U305" s="541">
        <f>A!S301</f>
        <v>50</v>
      </c>
      <c r="V305" s="541">
        <f>A!T301</f>
        <v>0.125</v>
      </c>
      <c r="W305" s="541">
        <f t="shared" si="96"/>
        <v>0</v>
      </c>
      <c r="X305" s="541"/>
    </row>
    <row r="306" spans="1:24" ht="11.25" hidden="1" customHeight="1" x14ac:dyDescent="0.25">
      <c r="A306" s="121" t="str">
        <f>IF(S306=0,"",COUNTIF(A$23:A305,"&gt;0")+1)</f>
        <v/>
      </c>
      <c r="B306" s="796"/>
      <c r="C306" s="76" t="str">
        <f t="shared" si="94"/>
        <v>x3</v>
      </c>
      <c r="D306" s="98" t="str">
        <f>A!C302</f>
        <v>Iris sibirica</v>
      </c>
      <c r="E306" s="78"/>
      <c r="F306" s="78"/>
      <c r="G306" s="99" t="str">
        <f>A!N302</f>
        <v>Siberian iris</v>
      </c>
      <c r="H306" s="89" t="str">
        <f>A!Q302</f>
        <v>Siberian iris, showy flowers on slender stems</v>
      </c>
      <c r="I306" s="69">
        <f>A!M302</f>
        <v>1</v>
      </c>
      <c r="J306" s="202">
        <f>A!P302</f>
        <v>0</v>
      </c>
      <c r="K306" s="83">
        <f>IF(A!G302="y",1,0)</f>
        <v>0</v>
      </c>
      <c r="L306" s="83">
        <f>IF(A!H302="y",1,0)</f>
        <v>0</v>
      </c>
      <c r="M306" s="84" t="s">
        <v>1379</v>
      </c>
      <c r="N306" s="85">
        <f>A!I302</f>
        <v>0</v>
      </c>
      <c r="O306" s="797">
        <f>A!O302</f>
        <v>1</v>
      </c>
      <c r="P306" s="541" t="str">
        <f>A!K302</f>
        <v>M</v>
      </c>
      <c r="Q306" s="541">
        <f>A!E302</f>
        <v>0</v>
      </c>
      <c r="R306" s="541" t="s">
        <v>453</v>
      </c>
      <c r="S306" s="541">
        <f t="shared" si="118"/>
        <v>0</v>
      </c>
      <c r="T306" s="541" t="str">
        <f>A!R302</f>
        <v>x3</v>
      </c>
      <c r="U306" s="541">
        <f>A!S302</f>
        <v>50</v>
      </c>
      <c r="V306" s="541">
        <f>A!T302</f>
        <v>0.125</v>
      </c>
      <c r="W306" s="541">
        <f t="shared" si="96"/>
        <v>0</v>
      </c>
      <c r="X306" s="541"/>
    </row>
    <row r="307" spans="1:24" ht="11.25" hidden="1" customHeight="1" x14ac:dyDescent="0.25">
      <c r="A307" s="121" t="str">
        <f>IF(S307=0,"",COUNTIF(A$23:A306,"&gt;0")+1)</f>
        <v/>
      </c>
      <c r="B307" s="796"/>
      <c r="C307" s="76" t="str">
        <f t="shared" ref="C307" si="119">T307</f>
        <v>x3</v>
      </c>
      <c r="D307" s="98" t="str">
        <f>A!C303</f>
        <v>Iris Sibirica Blue</v>
      </c>
      <c r="E307" s="109"/>
      <c r="F307" s="109"/>
      <c r="G307" s="99" t="str">
        <f>A!N303</f>
        <v>Siberian iris</v>
      </c>
      <c r="H307" s="89" t="str">
        <f>A!Q303</f>
        <v>Siberian iris, showy blue flowers on slender stems</v>
      </c>
      <c r="I307" s="69">
        <f>A!M303</f>
        <v>1</v>
      </c>
      <c r="J307" s="202">
        <f>A!P303</f>
        <v>0</v>
      </c>
      <c r="K307" s="83">
        <f>IF(A!G303="y",1,0)</f>
        <v>0</v>
      </c>
      <c r="L307" s="83">
        <f>IF(A!H303="y",1,0)</f>
        <v>0</v>
      </c>
      <c r="M307" s="84" t="str">
        <f>IF(A!F303="y","NEW","")</f>
        <v/>
      </c>
      <c r="N307" s="85">
        <f>A!I303</f>
        <v>0</v>
      </c>
      <c r="O307" s="797">
        <f>A!O303</f>
        <v>1</v>
      </c>
      <c r="P307" s="541">
        <f>A!K303</f>
        <v>0</v>
      </c>
      <c r="Q307" s="541">
        <f>A!E303</f>
        <v>0</v>
      </c>
      <c r="R307" s="541" t="s">
        <v>453</v>
      </c>
      <c r="S307" s="541">
        <f t="shared" ref="S307" si="120">B307</f>
        <v>0</v>
      </c>
      <c r="T307" s="541" t="str">
        <f>A!R303</f>
        <v>x3</v>
      </c>
      <c r="U307" s="541" t="str">
        <f>A!S303</f>
        <v/>
      </c>
      <c r="V307" s="541">
        <f>A!T303</f>
        <v>0.125</v>
      </c>
      <c r="W307" s="541">
        <f t="shared" si="96"/>
        <v>0</v>
      </c>
      <c r="X307" s="541"/>
    </row>
    <row r="308" spans="1:24" ht="11.25" hidden="1" customHeight="1" x14ac:dyDescent="0.25">
      <c r="A308" s="121" t="str">
        <f>IF(S308=0,"",COUNTIF(A$23:A307,"&gt;0")+1)</f>
        <v/>
      </c>
      <c r="B308" s="796"/>
      <c r="C308" s="76" t="str">
        <f t="shared" si="94"/>
        <v>x3</v>
      </c>
      <c r="D308" s="98" t="str">
        <f>A!C304</f>
        <v>Iris sibirica 'Ceaser's Brother'</v>
      </c>
      <c r="E308" s="109"/>
      <c r="F308" s="109"/>
      <c r="G308" s="99" t="str">
        <f>A!N304</f>
        <v>Siberian iris</v>
      </c>
      <c r="H308" s="89" t="str">
        <f>A!Q304</f>
        <v>intense violet flowers with speckled markings on the throat</v>
      </c>
      <c r="I308" s="69">
        <f>A!M304</f>
        <v>1</v>
      </c>
      <c r="J308" s="202">
        <f>A!P304</f>
        <v>0</v>
      </c>
      <c r="K308" s="83">
        <f>IF(A!G304="y",1,0)</f>
        <v>0</v>
      </c>
      <c r="L308" s="83">
        <f>IF(A!H304="y",1,0)</f>
        <v>0</v>
      </c>
      <c r="M308" s="84" t="str">
        <f>IF(A!F304="y","NEW","")</f>
        <v/>
      </c>
      <c r="N308" s="85">
        <f>A!I304</f>
        <v>0</v>
      </c>
      <c r="O308" s="797">
        <f>A!O304</f>
        <v>1</v>
      </c>
      <c r="P308" s="541">
        <f>A!K304</f>
        <v>0</v>
      </c>
      <c r="Q308" s="541">
        <f>A!E304</f>
        <v>0</v>
      </c>
      <c r="R308" s="541" t="s">
        <v>453</v>
      </c>
      <c r="S308" s="541">
        <f t="shared" si="118"/>
        <v>0</v>
      </c>
      <c r="T308" s="541" t="str">
        <f>A!R304</f>
        <v>x3</v>
      </c>
      <c r="U308" s="541" t="str">
        <f>A!S304</f>
        <v/>
      </c>
      <c r="V308" s="541">
        <f>A!T304</f>
        <v>0.125</v>
      </c>
      <c r="W308" s="541">
        <f t="shared" si="96"/>
        <v>0</v>
      </c>
      <c r="X308" s="541"/>
    </row>
    <row r="309" spans="1:24" ht="11.25" hidden="1" customHeight="1" x14ac:dyDescent="0.25">
      <c r="A309" s="121" t="str">
        <f>IF(S309=0,"",COUNTIF(A$23:A308,"&gt;0")+1)</f>
        <v/>
      </c>
      <c r="B309" s="796"/>
      <c r="C309" s="76" t="str">
        <f t="shared" ref="C309" si="121">T309</f>
        <v>x3</v>
      </c>
      <c r="D309" s="98" t="str">
        <f>A!C305</f>
        <v>Iris sibirica 'Dawn Waltz'</v>
      </c>
      <c r="E309" s="109"/>
      <c r="F309" s="109"/>
      <c r="G309" s="99" t="str">
        <f>A!N305</f>
        <v>Siberian iris</v>
      </c>
      <c r="H309" s="89" t="str">
        <f>A!Q305</f>
        <v xml:space="preserve">flowing, ruffled soft lavender blossoms, pale yellow throats </v>
      </c>
      <c r="I309" s="69">
        <f>A!M305</f>
        <v>2</v>
      </c>
      <c r="J309" s="202">
        <f>A!P305</f>
        <v>0</v>
      </c>
      <c r="K309" s="83">
        <f>IF(A!G305="y",1,0)</f>
        <v>0</v>
      </c>
      <c r="L309" s="83">
        <f>IF(A!H305="y",1,0)</f>
        <v>0</v>
      </c>
      <c r="M309" s="84" t="str">
        <f>IF(A!F305="y","NEW","")</f>
        <v/>
      </c>
      <c r="N309" s="85">
        <f>A!I305</f>
        <v>0</v>
      </c>
      <c r="O309" s="797">
        <f>A!O305</f>
        <v>1</v>
      </c>
      <c r="P309" s="541" t="str">
        <f>A!K305</f>
        <v>M</v>
      </c>
      <c r="Q309" s="541">
        <f>A!E305</f>
        <v>0</v>
      </c>
      <c r="R309" s="541" t="s">
        <v>453</v>
      </c>
      <c r="S309" s="541">
        <f t="shared" ref="S309" si="122">B309</f>
        <v>0</v>
      </c>
      <c r="T309" s="541" t="str">
        <f>A!R305</f>
        <v>x3</v>
      </c>
      <c r="U309" s="541">
        <f>A!S305</f>
        <v>35</v>
      </c>
      <c r="V309" s="541">
        <f>A!T305</f>
        <v>0.125</v>
      </c>
      <c r="W309" s="541">
        <f t="shared" ref="W309" si="123">V309*B309</f>
        <v>0</v>
      </c>
      <c r="X309" s="541"/>
    </row>
    <row r="310" spans="1:24" ht="11.25" hidden="1" customHeight="1" x14ac:dyDescent="0.25">
      <c r="A310" s="121" t="str">
        <f>IF(S310=0,"",COUNTIF(A$23:A309,"&gt;0")+1)</f>
        <v/>
      </c>
      <c r="B310" s="796"/>
      <c r="C310" s="76" t="str">
        <f t="shared" ref="C310" si="124">T310</f>
        <v>x3</v>
      </c>
      <c r="D310" s="98" t="str">
        <f>A!C306</f>
        <v>Iris sibirica 'Happy Returns'</v>
      </c>
      <c r="E310" s="109"/>
      <c r="F310" s="109"/>
      <c r="G310" s="99" t="str">
        <f>A!N306</f>
        <v>Siberian iris</v>
      </c>
      <c r="H310" s="89" t="str">
        <f>A!Q306</f>
        <v>Medium violet blue, heavily gold signal</v>
      </c>
      <c r="I310" s="69">
        <f>A!M306</f>
        <v>2</v>
      </c>
      <c r="J310" s="202">
        <f>A!P306</f>
        <v>0</v>
      </c>
      <c r="K310" s="83">
        <f>IF(A!G306="y",1,0)</f>
        <v>0</v>
      </c>
      <c r="L310" s="83">
        <f>IF(A!H306="y",1,0)</f>
        <v>0</v>
      </c>
      <c r="M310" s="84" t="str">
        <f>IF(A!F306="y","NEW","")</f>
        <v/>
      </c>
      <c r="N310" s="85">
        <f>A!I306</f>
        <v>0</v>
      </c>
      <c r="O310" s="797">
        <f>A!O306</f>
        <v>1</v>
      </c>
      <c r="P310" s="541">
        <f>A!K306</f>
        <v>0</v>
      </c>
      <c r="Q310" s="541">
        <f>A!E306</f>
        <v>0</v>
      </c>
      <c r="R310" s="541" t="s">
        <v>453</v>
      </c>
      <c r="S310" s="541">
        <f t="shared" ref="S310" si="125">B310</f>
        <v>0</v>
      </c>
      <c r="T310" s="541" t="str">
        <f>A!R306</f>
        <v>x3</v>
      </c>
      <c r="U310" s="541" t="str">
        <f>A!S306</f>
        <v/>
      </c>
      <c r="V310" s="541">
        <f>A!T306</f>
        <v>0.125</v>
      </c>
      <c r="W310" s="541">
        <f t="shared" si="96"/>
        <v>0</v>
      </c>
      <c r="X310" s="541"/>
    </row>
    <row r="311" spans="1:24" ht="11.25" hidden="1" customHeight="1" x14ac:dyDescent="0.25">
      <c r="A311" s="121" t="str">
        <f>IF(S311=0,"",COUNTIF(A$23:A310,"&gt;0")+1)</f>
        <v/>
      </c>
      <c r="B311" s="796"/>
      <c r="C311" s="76" t="str">
        <f t="shared" si="94"/>
        <v>x3</v>
      </c>
      <c r="D311" s="98" t="str">
        <f>A!C307</f>
        <v>Iris sibirica 'Having Fun'</v>
      </c>
      <c r="E311" s="109"/>
      <c r="F311" s="109"/>
      <c r="G311" s="99" t="str">
        <f>A!N307</f>
        <v>Siberian iris</v>
      </c>
      <c r="H311" s="89" t="str">
        <f>A!Q307</f>
        <v>layers of ruffled, rounded petals in a soft violet shade</v>
      </c>
      <c r="I311" s="69">
        <f>A!M307</f>
        <v>1</v>
      </c>
      <c r="J311" s="202">
        <f>A!P307</f>
        <v>0</v>
      </c>
      <c r="K311" s="83">
        <f>IF(A!G307="y",1,0)</f>
        <v>0</v>
      </c>
      <c r="L311" s="83">
        <f>IF(A!H307="y",1,0)</f>
        <v>0</v>
      </c>
      <c r="M311" s="84" t="str">
        <f>IF(A!F307="y","NEW","")</f>
        <v/>
      </c>
      <c r="N311" s="85">
        <f>A!I307</f>
        <v>0</v>
      </c>
      <c r="O311" s="797">
        <f>A!O307</f>
        <v>1</v>
      </c>
      <c r="P311" s="541">
        <f>A!K307</f>
        <v>0</v>
      </c>
      <c r="Q311" s="541">
        <f>A!E307</f>
        <v>0</v>
      </c>
      <c r="R311" s="541" t="s">
        <v>453</v>
      </c>
      <c r="S311" s="541">
        <f t="shared" si="118"/>
        <v>0</v>
      </c>
      <c r="T311" s="541" t="str">
        <f>A!R307</f>
        <v>x3</v>
      </c>
      <c r="U311" s="541" t="str">
        <f>A!S307</f>
        <v/>
      </c>
      <c r="V311" s="541">
        <f>A!T307</f>
        <v>0.125</v>
      </c>
      <c r="W311" s="541">
        <f t="shared" si="96"/>
        <v>0</v>
      </c>
      <c r="X311" s="541"/>
    </row>
    <row r="312" spans="1:24" ht="11.25" hidden="1" customHeight="1" x14ac:dyDescent="0.25">
      <c r="A312" s="121" t="str">
        <f>IF(S312=0,"",COUNTIF(A$23:A311,"&gt;0")+1)</f>
        <v/>
      </c>
      <c r="B312" s="798"/>
      <c r="C312" s="76" t="str">
        <f t="shared" si="94"/>
        <v>x3</v>
      </c>
      <c r="D312" s="98" t="str">
        <f>A!C308</f>
        <v>Iris sibirica 'Kabluey'</v>
      </c>
      <c r="E312" s="78"/>
      <c r="F312" s="78"/>
      <c r="G312" s="99" t="str">
        <f>A!N308</f>
        <v>Siberian iris</v>
      </c>
      <c r="H312" s="89" t="str">
        <f>A!Q308</f>
        <v>spectacular dark violet flowers with creamy-white centers</v>
      </c>
      <c r="I312" s="69">
        <f>A!M308</f>
        <v>1</v>
      </c>
      <c r="J312" s="202">
        <f>A!P308</f>
        <v>0</v>
      </c>
      <c r="K312" s="83">
        <f>IF(A!G308="y",1,0)</f>
        <v>0</v>
      </c>
      <c r="L312" s="83">
        <f>IF(A!H308="y",1,0)</f>
        <v>0</v>
      </c>
      <c r="M312" s="84" t="str">
        <f>IF(A!F308="y","NEW","")</f>
        <v/>
      </c>
      <c r="N312" s="85">
        <f>A!I308</f>
        <v>0</v>
      </c>
      <c r="O312" s="797">
        <f>A!O308</f>
        <v>1</v>
      </c>
      <c r="P312" s="541">
        <f>A!K308</f>
        <v>0</v>
      </c>
      <c r="Q312" s="541">
        <f>A!E308</f>
        <v>0</v>
      </c>
      <c r="R312" s="541" t="s">
        <v>453</v>
      </c>
      <c r="S312" s="541">
        <f t="shared" si="118"/>
        <v>0</v>
      </c>
      <c r="T312" s="541" t="str">
        <f>A!R308</f>
        <v>x3</v>
      </c>
      <c r="U312" s="541" t="str">
        <f>A!S308</f>
        <v/>
      </c>
      <c r="V312" s="541">
        <f>A!T308</f>
        <v>0.125</v>
      </c>
      <c r="W312" s="541">
        <f t="shared" si="96"/>
        <v>0</v>
      </c>
      <c r="X312" s="541"/>
    </row>
    <row r="313" spans="1:24" ht="11.25" hidden="1" customHeight="1" x14ac:dyDescent="0.25">
      <c r="A313" s="121" t="str">
        <f>IF(S313=0,"",COUNTIF(A$23:A312,"&gt;0")+1)</f>
        <v/>
      </c>
      <c r="B313" s="799"/>
      <c r="C313" s="128" t="str">
        <f t="shared" ref="C313" si="126">T313</f>
        <v>x3</v>
      </c>
      <c r="D313" s="119" t="str">
        <f>A!C309</f>
        <v>Iris sibirica 'Rosy Bows'</v>
      </c>
      <c r="E313" s="514"/>
      <c r="F313" s="514"/>
      <c r="G313" s="197" t="str">
        <f>A!N309</f>
        <v>Siberian iris</v>
      </c>
      <c r="H313" s="129" t="str">
        <f>A!Q309</f>
        <v>ruffled blousy blooms are stunning over clumps foliage</v>
      </c>
      <c r="I313" s="130">
        <f>A!M309</f>
        <v>1</v>
      </c>
      <c r="J313" s="203">
        <f>A!P309</f>
        <v>0</v>
      </c>
      <c r="K313" s="131">
        <f>IF(A!G309="y",1,0)</f>
        <v>0</v>
      </c>
      <c r="L313" s="131">
        <f>IF(A!H309="y",1,0)</f>
        <v>0</v>
      </c>
      <c r="M313" s="132" t="str">
        <f>IF(A!F309="y","NEW","")</f>
        <v/>
      </c>
      <c r="N313" s="133">
        <f>A!I309</f>
        <v>0</v>
      </c>
      <c r="O313" s="800">
        <f>A!O309</f>
        <v>1</v>
      </c>
      <c r="P313" s="541">
        <f>A!K309</f>
        <v>0</v>
      </c>
      <c r="Q313" s="541">
        <f>A!E309</f>
        <v>0</v>
      </c>
      <c r="R313" s="541" t="s">
        <v>453</v>
      </c>
      <c r="S313" s="541">
        <f t="shared" ref="S313" si="127">B313</f>
        <v>0</v>
      </c>
      <c r="T313" s="541" t="str">
        <f>A!R309</f>
        <v>x3</v>
      </c>
      <c r="U313" s="541" t="str">
        <f>A!S309</f>
        <v/>
      </c>
      <c r="V313" s="541">
        <f>A!T309</f>
        <v>0.125</v>
      </c>
      <c r="W313" s="541">
        <f t="shared" si="96"/>
        <v>0</v>
      </c>
      <c r="X313" s="541"/>
    </row>
    <row r="314" spans="1:24" ht="11.25" hidden="1" customHeight="1" x14ac:dyDescent="0.25">
      <c r="A314" s="121" t="str">
        <f>IF(S314=0,"",COUNTIF(A$23:A313,"&gt;0")+1)</f>
        <v/>
      </c>
      <c r="B314" s="796"/>
      <c r="C314" s="76" t="str">
        <f t="shared" si="94"/>
        <v>x3</v>
      </c>
      <c r="D314" s="98" t="str">
        <f>A!C310</f>
        <v>Iris sibirica 'Silver Edge'</v>
      </c>
      <c r="E314" s="109"/>
      <c r="F314" s="109"/>
      <c r="G314" s="99" t="str">
        <f>A!N310</f>
        <v>Siberian iris</v>
      </c>
      <c r="H314" s="89" t="str">
        <f>A!Q310</f>
        <v>stunning, rich blue flowers edged in silver</v>
      </c>
      <c r="I314" s="69">
        <f>A!M310</f>
        <v>1</v>
      </c>
      <c r="J314" s="202">
        <f>A!P310</f>
        <v>0</v>
      </c>
      <c r="K314" s="83">
        <f>IF(A!G310="y",1,0)</f>
        <v>0</v>
      </c>
      <c r="L314" s="83">
        <f>IF(A!H310="y",1,0)</f>
        <v>0</v>
      </c>
      <c r="M314" s="84" t="str">
        <f>IF(A!F310="y","NEW","")</f>
        <v/>
      </c>
      <c r="N314" s="85">
        <f>A!I310</f>
        <v>0</v>
      </c>
      <c r="O314" s="797">
        <f>A!O310</f>
        <v>1</v>
      </c>
      <c r="P314" s="541">
        <f>A!K310</f>
        <v>0</v>
      </c>
      <c r="Q314" s="541">
        <f>A!E310</f>
        <v>0</v>
      </c>
      <c r="R314" s="541" t="s">
        <v>453</v>
      </c>
      <c r="S314" s="541">
        <f t="shared" si="118"/>
        <v>0</v>
      </c>
      <c r="T314" s="541" t="str">
        <f>A!R310</f>
        <v>x3</v>
      </c>
      <c r="U314" s="541" t="str">
        <f>A!S310</f>
        <v/>
      </c>
      <c r="V314" s="541">
        <f>A!T310</f>
        <v>0.125</v>
      </c>
      <c r="W314" s="541">
        <f t="shared" si="96"/>
        <v>0</v>
      </c>
      <c r="X314" s="541"/>
    </row>
    <row r="315" spans="1:24" ht="11.25" hidden="1" customHeight="1" x14ac:dyDescent="0.25">
      <c r="A315" s="121" t="str">
        <f>IF(S315=0,"",COUNTIF(A$23:A314,"&gt;0")+1)</f>
        <v/>
      </c>
      <c r="B315" s="801"/>
      <c r="C315" s="76" t="str">
        <f t="shared" si="94"/>
        <v>x3</v>
      </c>
      <c r="D315" s="98" t="str">
        <f>A!C311</f>
        <v>Iris sibirica 'Snow Queen'</v>
      </c>
      <c r="E315" s="109"/>
      <c r="F315" s="109"/>
      <c r="G315" s="100" t="str">
        <f>A!N311</f>
        <v>Siberian iris</v>
      </c>
      <c r="H315" s="89" t="str">
        <f>A!Q311</f>
        <v>beautiful white flowers with yellow throats</v>
      </c>
      <c r="I315" s="69">
        <f>A!M311</f>
        <v>1</v>
      </c>
      <c r="J315" s="202">
        <f>A!P311</f>
        <v>0</v>
      </c>
      <c r="K315" s="83">
        <f>IF(A!G311="y",1,0)</f>
        <v>0</v>
      </c>
      <c r="L315" s="83">
        <f>IF(A!H311="y",1,0)</f>
        <v>0</v>
      </c>
      <c r="M315" s="84" t="str">
        <f>IF(A!F311="y","NEW","")</f>
        <v/>
      </c>
      <c r="N315" s="85">
        <f>A!I311</f>
        <v>0</v>
      </c>
      <c r="O315" s="797">
        <f>A!O311</f>
        <v>1</v>
      </c>
      <c r="P315" s="541">
        <f>A!K311</f>
        <v>0</v>
      </c>
      <c r="Q315" s="541">
        <f>A!E311</f>
        <v>0</v>
      </c>
      <c r="R315" s="541" t="s">
        <v>453</v>
      </c>
      <c r="S315" s="541">
        <f t="shared" si="118"/>
        <v>0</v>
      </c>
      <c r="T315" s="541" t="str">
        <f>A!R311</f>
        <v>x3</v>
      </c>
      <c r="U315" s="541" t="str">
        <f>A!S311</f>
        <v/>
      </c>
      <c r="V315" s="541">
        <f>A!T311</f>
        <v>0.125</v>
      </c>
      <c r="W315" s="541">
        <f t="shared" si="96"/>
        <v>0</v>
      </c>
      <c r="X315" s="541"/>
    </row>
    <row r="316" spans="1:24" ht="11.25" hidden="1" customHeight="1" x14ac:dyDescent="0.25">
      <c r="A316" s="121" t="str">
        <f>IF(S316=0,"",COUNTIF(A$23:A315,"&gt;0")+1)</f>
        <v/>
      </c>
      <c r="B316" s="801"/>
      <c r="C316" s="76" t="str">
        <f t="shared" si="94"/>
        <v>x3</v>
      </c>
      <c r="D316" s="98" t="str">
        <f>A!C312</f>
        <v>Iris sibirica 'Sparkling Rose'</v>
      </c>
      <c r="E316" s="109"/>
      <c r="F316" s="109"/>
      <c r="G316" s="100" t="str">
        <f>A!N312</f>
        <v>Siberian iris</v>
      </c>
      <c r="H316" s="89" t="str">
        <f>A!Q312</f>
        <v>lilac-pink petals with a white veined base</v>
      </c>
      <c r="I316" s="69">
        <f>A!M312</f>
        <v>1</v>
      </c>
      <c r="J316" s="202">
        <f>A!P312</f>
        <v>0</v>
      </c>
      <c r="K316" s="83">
        <f>IF(A!G312="y",1,0)</f>
        <v>0</v>
      </c>
      <c r="L316" s="83">
        <f>IF(A!H312="y",1,0)</f>
        <v>0</v>
      </c>
      <c r="M316" s="84" t="str">
        <f>IF(A!F312="y","NEW","")</f>
        <v/>
      </c>
      <c r="N316" s="85">
        <f>A!I312</f>
        <v>0</v>
      </c>
      <c r="O316" s="797">
        <f>A!O312</f>
        <v>1</v>
      </c>
      <c r="P316" s="541">
        <f>A!K312</f>
        <v>0</v>
      </c>
      <c r="Q316" s="541">
        <f>A!E312</f>
        <v>0</v>
      </c>
      <c r="R316" s="541" t="s">
        <v>453</v>
      </c>
      <c r="S316" s="541">
        <f t="shared" si="118"/>
        <v>0</v>
      </c>
      <c r="T316" s="541" t="str">
        <f>A!R312</f>
        <v>x3</v>
      </c>
      <c r="U316" s="541" t="str">
        <f>A!S312</f>
        <v/>
      </c>
      <c r="V316" s="541">
        <f>A!T312</f>
        <v>0.125</v>
      </c>
      <c r="W316" s="541">
        <f t="shared" si="96"/>
        <v>0</v>
      </c>
      <c r="X316" s="541"/>
    </row>
    <row r="317" spans="1:24" ht="11.25" hidden="1" customHeight="1" x14ac:dyDescent="0.25">
      <c r="A317" s="121" t="str">
        <f>IF(S317=0,"",COUNTIF(A$23:A316,"&gt;0")+1)</f>
        <v/>
      </c>
      <c r="B317" s="796"/>
      <c r="C317" s="76" t="str">
        <f t="shared" si="94"/>
        <v>x3</v>
      </c>
      <c r="D317" s="98" t="str">
        <f>A!C313</f>
        <v>Ligularia dentata 'Desdemona'</v>
      </c>
      <c r="E317" s="109"/>
      <c r="F317" s="109"/>
      <c r="G317" s="99" t="str">
        <f>A!N313</f>
        <v>leopard plant</v>
      </c>
      <c r="H317" s="89" t="str">
        <f>A!Q313</f>
        <v>originating from China, tall stems of yellow flowers</v>
      </c>
      <c r="I317" s="69">
        <f>A!M313</f>
        <v>2</v>
      </c>
      <c r="J317" s="202">
        <f>A!P313</f>
        <v>0</v>
      </c>
      <c r="K317" s="83">
        <f>IF(A!G313="y",1,0)</f>
        <v>0</v>
      </c>
      <c r="L317" s="83">
        <f>IF(A!H313="y",1,0)</f>
        <v>0</v>
      </c>
      <c r="M317" s="84" t="str">
        <f>IF(A!F313="y","NEW","")</f>
        <v/>
      </c>
      <c r="N317" s="85">
        <f>A!I313</f>
        <v>0</v>
      </c>
      <c r="O317" s="797">
        <f>A!O313</f>
        <v>1</v>
      </c>
      <c r="P317" s="541">
        <f>A!K313</f>
        <v>0</v>
      </c>
      <c r="Q317" s="541">
        <f>A!E313</f>
        <v>0</v>
      </c>
      <c r="R317" s="541" t="s">
        <v>453</v>
      </c>
      <c r="S317" s="541">
        <f t="shared" si="118"/>
        <v>0</v>
      </c>
      <c r="T317" s="541" t="str">
        <f>A!R313</f>
        <v>x3</v>
      </c>
      <c r="U317" s="541" t="str">
        <f>A!S313</f>
        <v/>
      </c>
      <c r="V317" s="541">
        <f>A!T313</f>
        <v>0.125</v>
      </c>
      <c r="W317" s="541">
        <f t="shared" si="96"/>
        <v>0</v>
      </c>
      <c r="X317" s="541"/>
    </row>
    <row r="318" spans="1:24" ht="11.25" hidden="1" customHeight="1" x14ac:dyDescent="0.25">
      <c r="A318" s="121" t="str">
        <f>IF(S318=0,"",COUNTIF(A$23:A317,"&gt;0")+1)</f>
        <v/>
      </c>
      <c r="B318" s="796"/>
      <c r="C318" s="76" t="str">
        <f t="shared" ref="C318:C319" si="128">T318</f>
        <v>x3</v>
      </c>
      <c r="D318" s="98" t="str">
        <f>A!C314</f>
        <v>Lobelia speciosa deep Red</v>
      </c>
      <c r="E318" s="109"/>
      <c r="F318" s="109"/>
      <c r="G318" s="99" t="str">
        <f>A!N314</f>
        <v>red cardinal</v>
      </c>
      <c r="H318" s="89" t="str">
        <f>A!Q314</f>
        <v>contrasting deep rose flower spikes over green foliage</v>
      </c>
      <c r="I318" s="69">
        <f>A!M314</f>
        <v>1</v>
      </c>
      <c r="J318" s="202">
        <f>A!P314</f>
        <v>0</v>
      </c>
      <c r="K318" s="83">
        <f>IF(A!G314="y",1,0)</f>
        <v>0</v>
      </c>
      <c r="L318" s="83">
        <f>IF(A!H314="y",1,0)</f>
        <v>0</v>
      </c>
      <c r="M318" s="84" t="str">
        <f>IF(A!F314="y","NEW","")</f>
        <v/>
      </c>
      <c r="N318" s="85">
        <f>A!I314</f>
        <v>0</v>
      </c>
      <c r="O318" s="797">
        <f>A!O314</f>
        <v>1</v>
      </c>
      <c r="P318" s="541" t="str">
        <f>A!K314</f>
        <v>M</v>
      </c>
      <c r="Q318" s="541">
        <f>A!E314</f>
        <v>0</v>
      </c>
      <c r="R318" s="541" t="s">
        <v>453</v>
      </c>
      <c r="S318" s="541">
        <f t="shared" ref="S318:S319" si="129">B318</f>
        <v>0</v>
      </c>
      <c r="T318" s="541" t="str">
        <f>A!R314</f>
        <v>x3</v>
      </c>
      <c r="U318" s="541">
        <f>A!S314</f>
        <v>50</v>
      </c>
      <c r="V318" s="541">
        <f>A!T314</f>
        <v>0.125</v>
      </c>
      <c r="W318" s="541">
        <f t="shared" ref="W318:W319" si="130">V318*B318</f>
        <v>0</v>
      </c>
      <c r="X318" s="541"/>
    </row>
    <row r="319" spans="1:24" ht="11.25" hidden="1" customHeight="1" x14ac:dyDescent="0.25">
      <c r="A319" s="121" t="str">
        <f>IF(S319=0,"",COUNTIF(A$23:A318,"&gt;0")+1)</f>
        <v/>
      </c>
      <c r="B319" s="796"/>
      <c r="C319" s="76" t="str">
        <f t="shared" si="128"/>
        <v>x3</v>
      </c>
      <c r="D319" s="98" t="str">
        <f>A!C315</f>
        <v>Lycopus europaeus</v>
      </c>
      <c r="E319" s="109"/>
      <c r="F319" s="109"/>
      <c r="G319" s="99" t="str">
        <f>A!N315</f>
        <v>gypsywort</v>
      </c>
      <c r="H319" s="89" t="str">
        <f>A!Q315</f>
        <v>native plant historically used to lower blood pressure</v>
      </c>
      <c r="I319" s="69">
        <f>A!M315</f>
        <v>2</v>
      </c>
      <c r="J319" s="202">
        <f>A!P315</f>
        <v>0</v>
      </c>
      <c r="K319" s="83">
        <f>IF(A!G315="y",1,0)</f>
        <v>0</v>
      </c>
      <c r="L319" s="83">
        <f>IF(A!H315="y",1,0)</f>
        <v>0</v>
      </c>
      <c r="M319" s="84" t="str">
        <f>IF(A!F315="y","NEW","")</f>
        <v/>
      </c>
      <c r="N319" s="85">
        <f>A!I315</f>
        <v>0</v>
      </c>
      <c r="O319" s="797">
        <f>A!O315</f>
        <v>1</v>
      </c>
      <c r="P319" s="541">
        <f>A!K315</f>
        <v>0</v>
      </c>
      <c r="Q319" s="541">
        <f>A!E315</f>
        <v>0</v>
      </c>
      <c r="R319" s="541" t="s">
        <v>453</v>
      </c>
      <c r="S319" s="541">
        <f t="shared" si="129"/>
        <v>0</v>
      </c>
      <c r="T319" s="541" t="str">
        <f>A!R315</f>
        <v>x3</v>
      </c>
      <c r="U319" s="541" t="str">
        <f>A!S315</f>
        <v/>
      </c>
      <c r="V319" s="541">
        <f>A!T315</f>
        <v>0.125</v>
      </c>
      <c r="W319" s="541">
        <f t="shared" si="130"/>
        <v>0</v>
      </c>
      <c r="X319" s="541"/>
    </row>
    <row r="320" spans="1:24" ht="11.25" hidden="1" customHeight="1" x14ac:dyDescent="0.25">
      <c r="A320" s="121" t="str">
        <f>IF(S320=0,"",COUNTIF(A$23:A319,"&gt;0")+1)</f>
        <v/>
      </c>
      <c r="B320" s="796"/>
      <c r="C320" s="76" t="str">
        <f t="shared" si="94"/>
        <v>x3</v>
      </c>
      <c r="D320" s="98" t="str">
        <f>A!C316</f>
        <v>Matteuccia struthiopteris</v>
      </c>
      <c r="E320" s="109"/>
      <c r="F320" s="109"/>
      <c r="G320" s="100" t="str">
        <f>A!N316</f>
        <v>ostrich fern</v>
      </c>
      <c r="H320" s="89" t="str">
        <f>A!Q316</f>
        <v>large, pale green, lacy fronds</v>
      </c>
      <c r="I320" s="69">
        <f>A!M316</f>
        <v>2</v>
      </c>
      <c r="J320" s="202">
        <f>A!P316</f>
        <v>0</v>
      </c>
      <c r="K320" s="83">
        <f>IF(A!G316="y",1,0)</f>
        <v>0</v>
      </c>
      <c r="L320" s="83">
        <f>IF(A!H316="y",1,0)</f>
        <v>0</v>
      </c>
      <c r="M320" s="84" t="str">
        <f>IF(A!F316="y","NEW","")</f>
        <v/>
      </c>
      <c r="N320" s="85">
        <f>A!I316</f>
        <v>0</v>
      </c>
      <c r="O320" s="797">
        <f>A!O316</f>
        <v>1</v>
      </c>
      <c r="P320" s="541">
        <f>A!K316</f>
        <v>0</v>
      </c>
      <c r="Q320" s="541">
        <f>A!E316</f>
        <v>0</v>
      </c>
      <c r="R320" s="541" t="s">
        <v>453</v>
      </c>
      <c r="S320" s="541">
        <f t="shared" si="118"/>
        <v>0</v>
      </c>
      <c r="T320" s="541" t="str">
        <f>A!R316</f>
        <v>x3</v>
      </c>
      <c r="U320" s="541" t="str">
        <f>A!S316</f>
        <v/>
      </c>
      <c r="V320" s="541">
        <f>A!T316</f>
        <v>0.125</v>
      </c>
      <c r="W320" s="541">
        <f t="shared" si="96"/>
        <v>0</v>
      </c>
      <c r="X320" s="541"/>
    </row>
    <row r="321" spans="1:24" ht="11.25" hidden="1" customHeight="1" x14ac:dyDescent="0.25">
      <c r="A321" s="121" t="str">
        <f>IF(S321=0,"",COUNTIF(A$23:A320,"&gt;0")+1)</f>
        <v/>
      </c>
      <c r="B321" s="802"/>
      <c r="C321" s="76" t="str">
        <f t="shared" si="94"/>
        <v>x3</v>
      </c>
      <c r="D321" s="98" t="str">
        <f>A!C317</f>
        <v>Osmunda regalis</v>
      </c>
      <c r="E321" s="109"/>
      <c r="F321" s="109"/>
      <c r="G321" s="100" t="str">
        <f>A!N317</f>
        <v>royal fern</v>
      </c>
      <c r="H321" s="89" t="str">
        <f>A!Q317</f>
        <v>a large, stunning fern, suited to the pond margins</v>
      </c>
      <c r="I321" s="69">
        <f>A!M317</f>
        <v>2</v>
      </c>
      <c r="J321" s="202" t="str">
        <f>A!P317</f>
        <v>yes</v>
      </c>
      <c r="K321" s="83">
        <f>IF(A!G317="y",1,0)</f>
        <v>0</v>
      </c>
      <c r="L321" s="83">
        <f>IF(A!H317="y",1,0)</f>
        <v>0</v>
      </c>
      <c r="M321" s="84" t="str">
        <f>IF(A!F317="y","NEW","")</f>
        <v/>
      </c>
      <c r="N321" s="85">
        <f>A!I317</f>
        <v>0</v>
      </c>
      <c r="O321" s="797">
        <f>A!O317</f>
        <v>1</v>
      </c>
      <c r="P321" s="541">
        <f>A!K317</f>
        <v>0</v>
      </c>
      <c r="Q321" s="541">
        <f>A!E317</f>
        <v>0</v>
      </c>
      <c r="R321" s="541" t="s">
        <v>453</v>
      </c>
      <c r="S321" s="541">
        <f t="shared" si="118"/>
        <v>0</v>
      </c>
      <c r="T321" s="541" t="str">
        <f>A!R317</f>
        <v>x3</v>
      </c>
      <c r="U321" s="541" t="str">
        <f>A!S317</f>
        <v/>
      </c>
      <c r="V321" s="541">
        <f>A!T317</f>
        <v>0.125</v>
      </c>
      <c r="W321" s="541">
        <f t="shared" si="96"/>
        <v>0</v>
      </c>
      <c r="X321" s="541"/>
    </row>
    <row r="322" spans="1:24" ht="11.25" hidden="1" customHeight="1" x14ac:dyDescent="0.25">
      <c r="A322" s="121" t="str">
        <f>IF(S322=0,"",COUNTIF(A$23:A321,"&gt;0")+1)</f>
        <v/>
      </c>
      <c r="B322" s="802"/>
      <c r="C322" s="76" t="str">
        <f t="shared" si="94"/>
        <v>x3</v>
      </c>
      <c r="D322" s="98" t="str">
        <f>A!C318</f>
        <v>Polystichium Herrenhausen</v>
      </c>
      <c r="E322" s="109"/>
      <c r="F322" s="109"/>
      <c r="G322" s="100" t="str">
        <f>A!N318</f>
        <v>soft shield fern</v>
      </c>
      <c r="H322" s="89" t="str">
        <f>A!Q318</f>
        <v>semi-evergreen fern, suited to the pondside</v>
      </c>
      <c r="I322" s="69">
        <f>A!M318</f>
        <v>2</v>
      </c>
      <c r="J322" s="202">
        <f>A!P318</f>
        <v>0</v>
      </c>
      <c r="K322" s="83">
        <f>IF(A!G318="y",1,0)</f>
        <v>0</v>
      </c>
      <c r="L322" s="83">
        <f>IF(A!H318="y",1,0)</f>
        <v>0</v>
      </c>
      <c r="M322" s="84" t="str">
        <f>IF(A!F318="y","NEW","")</f>
        <v/>
      </c>
      <c r="N322" s="85">
        <f>A!I318</f>
        <v>0</v>
      </c>
      <c r="O322" s="797">
        <f>A!O318</f>
        <v>1</v>
      </c>
      <c r="P322" s="541">
        <f>A!K318</f>
        <v>0</v>
      </c>
      <c r="Q322" s="541">
        <f>A!E318</f>
        <v>0</v>
      </c>
      <c r="R322" s="541" t="s">
        <v>453</v>
      </c>
      <c r="S322" s="541">
        <f t="shared" si="118"/>
        <v>0</v>
      </c>
      <c r="T322" s="541" t="str">
        <f>A!R318</f>
        <v>x3</v>
      </c>
      <c r="U322" s="541" t="str">
        <f>A!S318</f>
        <v/>
      </c>
      <c r="V322" s="541">
        <f>A!T318</f>
        <v>0.125</v>
      </c>
      <c r="W322" s="541">
        <f t="shared" si="96"/>
        <v>0</v>
      </c>
      <c r="X322" s="541"/>
    </row>
    <row r="323" spans="1:24" ht="11.25" hidden="1" customHeight="1" x14ac:dyDescent="0.25">
      <c r="A323" s="121" t="str">
        <f>IF(S323=0,"",COUNTIF(A$23:A322,"&gt;0")+1)</f>
        <v/>
      </c>
      <c r="B323" s="802"/>
      <c r="C323" s="76" t="str">
        <f t="shared" si="94"/>
        <v>x3</v>
      </c>
      <c r="D323" s="98" t="str">
        <f>A!C319</f>
        <v>Polystichum setiferum</v>
      </c>
      <c r="E323" s="109"/>
      <c r="F323" s="109"/>
      <c r="G323" s="100" t="str">
        <f>A!N319</f>
        <v>soft shield fern</v>
      </c>
      <c r="H323" s="89" t="str">
        <f>A!Q319</f>
        <v>offering evergreen, soft, dark green fronds</v>
      </c>
      <c r="I323" s="69">
        <f>A!M319</f>
        <v>2</v>
      </c>
      <c r="J323" s="202" t="str">
        <f>A!P319</f>
        <v>Yes</v>
      </c>
      <c r="K323" s="83">
        <f>IF(A!G319="y",1,0)</f>
        <v>0</v>
      </c>
      <c r="L323" s="83">
        <f>IF(A!H319="y",1,0)</f>
        <v>0</v>
      </c>
      <c r="M323" s="84" t="str">
        <f>IF(A!F319="y","NEW","")</f>
        <v/>
      </c>
      <c r="N323" s="85">
        <f>A!I319</f>
        <v>0</v>
      </c>
      <c r="O323" s="797">
        <f>A!O319</f>
        <v>1</v>
      </c>
      <c r="P323" s="541">
        <f>A!K319</f>
        <v>0</v>
      </c>
      <c r="Q323" s="541">
        <f>A!E319</f>
        <v>0</v>
      </c>
      <c r="R323" s="541" t="s">
        <v>453</v>
      </c>
      <c r="S323" s="541">
        <f t="shared" si="118"/>
        <v>0</v>
      </c>
      <c r="T323" s="541" t="str">
        <f>A!R319</f>
        <v>x3</v>
      </c>
      <c r="U323" s="541" t="str">
        <f>A!S319</f>
        <v/>
      </c>
      <c r="V323" s="541">
        <f>A!T319</f>
        <v>0.125</v>
      </c>
      <c r="W323" s="541">
        <f t="shared" si="96"/>
        <v>0</v>
      </c>
      <c r="X323" s="541"/>
    </row>
    <row r="324" spans="1:24" ht="11.25" hidden="1" customHeight="1" x14ac:dyDescent="0.25">
      <c r="A324" s="121" t="str">
        <f>IF(S324=0,"",COUNTIF(A$23:A323,"&gt;0")+1)</f>
        <v/>
      </c>
      <c r="B324" s="798"/>
      <c r="C324" s="76" t="str">
        <f t="shared" si="94"/>
        <v>x3</v>
      </c>
      <c r="D324" s="98" t="str">
        <f>A!C320</f>
        <v>Primula vialii</v>
      </c>
      <c r="E324" s="78"/>
      <c r="F324" s="78"/>
      <c r="G324" s="100" t="str">
        <f>A!N320</f>
        <v>orchid primula</v>
      </c>
      <c r="H324" s="89" t="str">
        <f>A!Q320</f>
        <v>high impact purple flowers with red tips, unusual</v>
      </c>
      <c r="I324" s="69">
        <f>A!M320</f>
        <v>1</v>
      </c>
      <c r="J324" s="202">
        <f>A!P320</f>
        <v>0</v>
      </c>
      <c r="K324" s="83">
        <f>IF(A!G320="y",1,0)</f>
        <v>0</v>
      </c>
      <c r="L324" s="83">
        <f>IF(A!H320="y",1,0)</f>
        <v>0</v>
      </c>
      <c r="M324" s="84" t="str">
        <f>IF(A!F320="y","NEW","")</f>
        <v/>
      </c>
      <c r="N324" s="85">
        <f>A!I320</f>
        <v>0</v>
      </c>
      <c r="O324" s="797">
        <f>A!O320</f>
        <v>1</v>
      </c>
      <c r="P324" s="541">
        <f>A!K320</f>
        <v>0</v>
      </c>
      <c r="Q324" s="541">
        <f>A!E320</f>
        <v>0</v>
      </c>
      <c r="R324" s="541" t="s">
        <v>453</v>
      </c>
      <c r="S324" s="541">
        <f t="shared" si="118"/>
        <v>0</v>
      </c>
      <c r="T324" s="541" t="str">
        <f>A!R320</f>
        <v>x3</v>
      </c>
      <c r="U324" s="541" t="str">
        <f>A!S320</f>
        <v/>
      </c>
      <c r="V324" s="541">
        <f>A!T320</f>
        <v>0.125</v>
      </c>
      <c r="W324" s="541">
        <f t="shared" si="96"/>
        <v>0</v>
      </c>
      <c r="X324" s="541"/>
    </row>
    <row r="325" spans="1:24" ht="11.25" customHeight="1" x14ac:dyDescent="0.25">
      <c r="A325" s="121" t="str">
        <f>IF(S325=0,"",COUNTIF(A$23:A324,"&gt;0")+1)</f>
        <v/>
      </c>
      <c r="B325" s="798"/>
      <c r="C325" s="76" t="str">
        <f t="shared" si="94"/>
        <v>x3</v>
      </c>
      <c r="D325" s="98" t="str">
        <f>A!C321</f>
        <v>Rodgersia pinnata</v>
      </c>
      <c r="E325" s="78"/>
      <c r="F325" s="78"/>
      <c r="G325" s="100" t="str">
        <f>A!N321</f>
        <v>rodgersia</v>
      </c>
      <c r="H325" s="89" t="str">
        <f>A!Q321</f>
        <v>striking plant for the bog garden</v>
      </c>
      <c r="I325" s="69">
        <f>A!M321</f>
        <v>2</v>
      </c>
      <c r="J325" s="202">
        <f>A!P321</f>
        <v>0</v>
      </c>
      <c r="K325" s="83">
        <f>IF(A!G321="y",1,0)</f>
        <v>1</v>
      </c>
      <c r="L325" s="83">
        <f>IF(A!H321="y",1,0)</f>
        <v>0</v>
      </c>
      <c r="M325" s="84" t="str">
        <f>IF(A!F321="y","NEW","")</f>
        <v/>
      </c>
      <c r="N325" s="85">
        <f>A!I321</f>
        <v>0</v>
      </c>
      <c r="O325" s="797">
        <f>A!O321</f>
        <v>1</v>
      </c>
      <c r="P325" s="541" t="str">
        <f>A!K321</f>
        <v>M</v>
      </c>
      <c r="Q325" s="541" t="str">
        <f>A!E321</f>
        <v>y</v>
      </c>
      <c r="R325" s="541" t="s">
        <v>453</v>
      </c>
      <c r="S325" s="541">
        <f t="shared" si="118"/>
        <v>0</v>
      </c>
      <c r="T325" s="541" t="str">
        <f>A!R321</f>
        <v>x3</v>
      </c>
      <c r="U325" s="541">
        <f>A!S321</f>
        <v>50</v>
      </c>
      <c r="V325" s="541">
        <f>A!T321</f>
        <v>0.125</v>
      </c>
      <c r="W325" s="541">
        <f t="shared" si="96"/>
        <v>0</v>
      </c>
      <c r="X325" s="541"/>
    </row>
    <row r="326" spans="1:24" ht="11.25" hidden="1" customHeight="1" x14ac:dyDescent="0.25">
      <c r="A326" s="121" t="str">
        <f>IF(S326=0,"",COUNTIF(A$23:A325,"&gt;0")+1)</f>
        <v/>
      </c>
      <c r="B326" s="799"/>
      <c r="C326" s="128" t="str">
        <f t="shared" si="94"/>
        <v>x3</v>
      </c>
      <c r="D326" s="119" t="str">
        <f>A!C322</f>
        <v>Schizostylis Alba</v>
      </c>
      <c r="E326" s="514"/>
      <c r="F326" s="514"/>
      <c r="G326" s="420" t="str">
        <f>A!N322</f>
        <v>white flag</v>
      </c>
      <c r="H326" s="129" t="str">
        <f>A!Q322</f>
        <v>pretty white flowers in the late summer</v>
      </c>
      <c r="I326" s="130">
        <f>A!M322</f>
        <v>1</v>
      </c>
      <c r="J326" s="203">
        <f>A!P322</f>
        <v>0</v>
      </c>
      <c r="K326" s="131">
        <f>IF(A!G322="y",1,0)</f>
        <v>0</v>
      </c>
      <c r="L326" s="131">
        <f>IF(A!H322="y",1,0)</f>
        <v>0</v>
      </c>
      <c r="M326" s="132" t="str">
        <f>IF(A!F322="y","NEW","")</f>
        <v/>
      </c>
      <c r="N326" s="133">
        <f>A!I322</f>
        <v>0</v>
      </c>
      <c r="O326" s="800">
        <f>A!O322</f>
        <v>1</v>
      </c>
      <c r="P326" s="541">
        <f>A!K322</f>
        <v>0</v>
      </c>
      <c r="Q326" s="541">
        <f>A!E322</f>
        <v>0</v>
      </c>
      <c r="R326" s="541" t="s">
        <v>453</v>
      </c>
      <c r="S326" s="541">
        <f t="shared" si="118"/>
        <v>0</v>
      </c>
      <c r="T326" s="541" t="str">
        <f>A!R322</f>
        <v>x3</v>
      </c>
      <c r="U326" s="541" t="str">
        <f>A!S322</f>
        <v/>
      </c>
      <c r="V326" s="541">
        <f>A!T322</f>
        <v>0.125</v>
      </c>
      <c r="W326" s="541">
        <f t="shared" si="96"/>
        <v>0</v>
      </c>
      <c r="X326" s="541"/>
    </row>
    <row r="327" spans="1:24" ht="11.25" customHeight="1" thickBot="1" x14ac:dyDescent="0.3">
      <c r="A327" s="121" t="str">
        <f>IF(S327=0,"",COUNTIF(A$23:A326,"&gt;0")+1)</f>
        <v/>
      </c>
      <c r="B327" s="803"/>
      <c r="C327" s="804" t="str">
        <f t="shared" si="94"/>
        <v>x3</v>
      </c>
      <c r="D327" s="805" t="str">
        <f>A!C324</f>
        <v xml:space="preserve">Schizostylis Pink      </v>
      </c>
      <c r="E327" s="806"/>
      <c r="F327" s="806"/>
      <c r="G327" s="807" t="str">
        <f>A!N324</f>
        <v>pink flag</v>
      </c>
      <c r="H327" s="808" t="str">
        <f>A!Q324</f>
        <v>subtle pink flowers over iris-like foliage</v>
      </c>
      <c r="I327" s="809">
        <f>A!M324</f>
        <v>1</v>
      </c>
      <c r="J327" s="810">
        <f>A!P324</f>
        <v>0</v>
      </c>
      <c r="K327" s="811">
        <f>IF(A!G324="y",1,0)</f>
        <v>1</v>
      </c>
      <c r="L327" s="811">
        <f>IF(A!H324="y",1,0)</f>
        <v>0</v>
      </c>
      <c r="M327" s="812" t="str">
        <f>IF(A!F324="y","NEW","")</f>
        <v/>
      </c>
      <c r="N327" s="813">
        <f>A!I324</f>
        <v>0</v>
      </c>
      <c r="O327" s="814">
        <f>A!O324</f>
        <v>1</v>
      </c>
      <c r="P327" s="541" t="str">
        <f>A!K324</f>
        <v>M</v>
      </c>
      <c r="Q327" s="541" t="str">
        <f>A!E324</f>
        <v>y</v>
      </c>
      <c r="R327" s="541" t="s">
        <v>453</v>
      </c>
      <c r="S327" s="541">
        <f t="shared" si="118"/>
        <v>0</v>
      </c>
      <c r="T327" s="541" t="str">
        <f>A!R324</f>
        <v>x3</v>
      </c>
      <c r="U327" s="541">
        <f>A!S324</f>
        <v>50</v>
      </c>
      <c r="V327" s="541">
        <f>A!T324</f>
        <v>0.125</v>
      </c>
      <c r="W327" s="541">
        <f t="shared" si="96"/>
        <v>0</v>
      </c>
      <c r="X327" s="541"/>
    </row>
    <row r="328" spans="1:24" ht="11.25" hidden="1" customHeight="1" x14ac:dyDescent="0.25">
      <c r="A328" s="121" t="str">
        <f>IF(S328=0,"",COUNTIF(A$23:A327,"&gt;0")+1)</f>
        <v/>
      </c>
      <c r="B328" s="683"/>
      <c r="C328" s="128" t="str">
        <f t="shared" si="94"/>
        <v>x3</v>
      </c>
      <c r="D328" s="119" t="str">
        <f>A!C325</f>
        <v>Schizostylis Red</v>
      </c>
      <c r="E328" s="514"/>
      <c r="F328" s="514"/>
      <c r="G328" s="420" t="str">
        <f>A!N325</f>
        <v>red flag</v>
      </c>
      <c r="H328" s="129" t="str">
        <f>A!Q325</f>
        <v>deep red flowers throughout autumn</v>
      </c>
      <c r="I328" s="130">
        <f>A!M325</f>
        <v>1</v>
      </c>
      <c r="J328" s="203">
        <f>A!P325</f>
        <v>0</v>
      </c>
      <c r="K328" s="131">
        <f>IF(A!G325="y",1,0)</f>
        <v>0</v>
      </c>
      <c r="L328" s="131">
        <f>IF(A!H325="y",1,0)</f>
        <v>0</v>
      </c>
      <c r="M328" s="132" t="str">
        <f>IF(A!F325="y","NEW","")</f>
        <v/>
      </c>
      <c r="N328" s="133">
        <f>A!I325</f>
        <v>0</v>
      </c>
      <c r="O328" s="685">
        <f>A!O325</f>
        <v>1</v>
      </c>
      <c r="P328" s="541">
        <f>A!K325</f>
        <v>0</v>
      </c>
      <c r="Q328" s="541">
        <f>A!E325</f>
        <v>0</v>
      </c>
      <c r="R328" s="541" t="s">
        <v>453</v>
      </c>
      <c r="S328" s="541">
        <f t="shared" si="118"/>
        <v>0</v>
      </c>
      <c r="T328" s="541" t="str">
        <f>A!R325</f>
        <v>x3</v>
      </c>
      <c r="U328" s="541" t="str">
        <f>A!S325</f>
        <v/>
      </c>
      <c r="V328" s="541">
        <f>A!T325</f>
        <v>0.125</v>
      </c>
      <c r="W328" s="541">
        <f t="shared" si="96"/>
        <v>0</v>
      </c>
      <c r="X328" s="541"/>
    </row>
    <row r="329" spans="1:24" ht="11.25" hidden="1" customHeight="1" thickBot="1" x14ac:dyDescent="0.3">
      <c r="A329" s="121" t="str">
        <f>IF(S329=0,"",COUNTIF(A$23:A328,"&gt;0")+1)</f>
        <v/>
      </c>
      <c r="B329" s="686"/>
      <c r="C329" s="687" t="str">
        <f t="shared" si="94"/>
        <v>x3</v>
      </c>
      <c r="D329" s="688" t="str">
        <f>A!C326</f>
        <v>Tulbaghia Violacea</v>
      </c>
      <c r="E329" s="689"/>
      <c r="F329" s="689"/>
      <c r="G329" s="690" t="str">
        <f>A!N326</f>
        <v>society garlic</v>
      </c>
      <c r="H329" s="691" t="str">
        <f>A!Q326</f>
        <v>offering large umbels of fragrant lilac flowers</v>
      </c>
      <c r="I329" s="692">
        <f>A!M326</f>
        <v>2</v>
      </c>
      <c r="J329" s="693">
        <f>A!P326</f>
        <v>0</v>
      </c>
      <c r="K329" s="694">
        <f>IF(A!G326="y",1,0)</f>
        <v>0</v>
      </c>
      <c r="L329" s="694">
        <f>IF(A!H326="y",1,0)</f>
        <v>0</v>
      </c>
      <c r="M329" s="695" t="str">
        <f>IF(A!F326="y","NEW","")</f>
        <v/>
      </c>
      <c r="N329" s="696">
        <f>A!I326</f>
        <v>0</v>
      </c>
      <c r="O329" s="697">
        <f>A!O326</f>
        <v>1</v>
      </c>
      <c r="P329" s="541" t="str">
        <f>A!K326</f>
        <v>m</v>
      </c>
      <c r="Q329" s="541">
        <f>A!E326</f>
        <v>0</v>
      </c>
      <c r="R329" s="541" t="s">
        <v>453</v>
      </c>
      <c r="S329" s="541">
        <f t="shared" si="118"/>
        <v>0</v>
      </c>
      <c r="T329" s="541" t="str">
        <f>A!R326</f>
        <v>x3</v>
      </c>
      <c r="U329" s="541">
        <f>A!S326</f>
        <v>50</v>
      </c>
      <c r="V329" s="541">
        <f>A!T326</f>
        <v>0.125</v>
      </c>
      <c r="W329" s="541">
        <f t="shared" si="96"/>
        <v>0</v>
      </c>
      <c r="X329" s="541"/>
    </row>
    <row r="330" spans="1:24" ht="11.25" customHeight="1" x14ac:dyDescent="0.25">
      <c r="A330" s="121" t="str">
        <f>IF(S330=0,"",COUNTIF(A$23:A329,"&gt;0")+1)</f>
        <v/>
      </c>
      <c r="B330" s="490">
        <f>SUM(B258:B329)</f>
        <v>0</v>
      </c>
      <c r="C330" s="490"/>
      <c r="D330" s="491" t="s">
        <v>1186</v>
      </c>
      <c r="E330" s="492"/>
      <c r="F330" s="492"/>
      <c r="G330" s="492"/>
      <c r="H330" s="492"/>
      <c r="I330" s="492"/>
      <c r="J330" s="493"/>
      <c r="K330" s="492"/>
      <c r="L330" s="492"/>
      <c r="M330" s="494"/>
      <c r="N330" s="492"/>
      <c r="O330" s="599"/>
      <c r="P330" s="748"/>
      <c r="Q330" s="541"/>
      <c r="R330" s="541" t="s">
        <v>453</v>
      </c>
      <c r="S330" s="541">
        <f t="shared" si="118"/>
        <v>0</v>
      </c>
      <c r="T330" s="541" t="str">
        <f>A!R329</f>
        <v>x3</v>
      </c>
      <c r="U330" s="541"/>
      <c r="V330" s="541"/>
      <c r="W330" s="541"/>
      <c r="X330" s="541"/>
    </row>
    <row r="331" spans="1:24" ht="8.25" customHeight="1" thickBot="1" x14ac:dyDescent="0.3">
      <c r="A331" s="121" t="str">
        <f>IF(S331=0,"",COUNTIF(A$23:A330,"&gt;0")+1)</f>
        <v/>
      </c>
      <c r="P331" s="541"/>
      <c r="Q331" s="541"/>
      <c r="R331" s="541"/>
      <c r="S331" s="541"/>
      <c r="T331" s="541"/>
      <c r="U331" s="541"/>
      <c r="V331" s="541"/>
      <c r="W331" s="541"/>
      <c r="X331" s="541"/>
    </row>
    <row r="332" spans="1:24" ht="9" customHeight="1" x14ac:dyDescent="0.25">
      <c r="A332" s="121" t="str">
        <f>IF(S332=0,"",COUNTIF(A$23:A331,"&gt;0")+1)</f>
        <v/>
      </c>
      <c r="B332" s="955" t="s">
        <v>115</v>
      </c>
      <c r="C332" s="956"/>
      <c r="D332" s="910" t="s">
        <v>1321</v>
      </c>
      <c r="E332" s="911"/>
      <c r="F332" s="911"/>
      <c r="G332" s="911"/>
      <c r="H332" s="911"/>
      <c r="I332" s="932" t="s">
        <v>1251</v>
      </c>
      <c r="J332" s="932"/>
      <c r="K332" s="932"/>
      <c r="L332" s="932"/>
      <c r="M332" s="932"/>
      <c r="N332" s="932"/>
      <c r="O332" s="933"/>
      <c r="P332" s="748"/>
      <c r="Q332" s="748"/>
      <c r="R332" s="541"/>
      <c r="S332" s="541"/>
      <c r="T332" s="541"/>
      <c r="U332" s="541"/>
      <c r="V332" s="541"/>
      <c r="W332" s="541"/>
      <c r="X332" s="541"/>
    </row>
    <row r="333" spans="1:24" ht="9" customHeight="1" thickBot="1" x14ac:dyDescent="0.3">
      <c r="A333" s="121" t="str">
        <f>IF(S333=0,"",COUNTIF(A$23:A332,"&gt;0")+1)</f>
        <v/>
      </c>
      <c r="B333" s="1020" t="s">
        <v>1187</v>
      </c>
      <c r="C333" s="1021"/>
      <c r="D333" s="912"/>
      <c r="E333" s="913"/>
      <c r="F333" s="913"/>
      <c r="G333" s="913"/>
      <c r="H333" s="913"/>
      <c r="I333" s="552" t="s">
        <v>114</v>
      </c>
      <c r="J333" s="553"/>
      <c r="K333" s="310"/>
      <c r="L333" s="310"/>
      <c r="M333" s="311"/>
      <c r="N333" s="310"/>
      <c r="O333" s="312" t="s">
        <v>41</v>
      </c>
      <c r="P333" s="748"/>
      <c r="Q333" s="748"/>
      <c r="R333" s="541"/>
      <c r="S333" s="541"/>
      <c r="T333" s="541"/>
      <c r="U333" s="541"/>
      <c r="V333" s="541"/>
      <c r="W333" s="541"/>
      <c r="X333" s="541"/>
    </row>
    <row r="334" spans="1:24" ht="11.25" customHeight="1" x14ac:dyDescent="0.25">
      <c r="A334" s="121" t="str">
        <f>IF(S334=0,"",COUNTIF(A$23:A333,"&gt;0")+1)</f>
        <v/>
      </c>
      <c r="B334" s="556"/>
      <c r="C334" s="557" t="str">
        <f t="shared" ref="C334:C350" si="131">T334</f>
        <v>x4</v>
      </c>
      <c r="D334" s="558" t="str">
        <f>A!C330</f>
        <v>Assorted</v>
      </c>
      <c r="E334" s="559"/>
      <c r="F334" s="559"/>
      <c r="G334" s="602" t="str">
        <f>A!N330</f>
        <v>Our selection</v>
      </c>
      <c r="H334" s="861" t="str">
        <f>A!Q330</f>
        <v>2L Plant complete with floating island</v>
      </c>
      <c r="I334" s="566"/>
      <c r="J334" s="563"/>
      <c r="K334" s="564">
        <f>IF(A!G331="y",1,0)</f>
        <v>1</v>
      </c>
      <c r="L334" s="564">
        <f>IF(A!H331="y",1,0)</f>
        <v>1</v>
      </c>
      <c r="M334" s="565" t="str">
        <f>IF(A!F331="y","NEW","")</f>
        <v>NEW</v>
      </c>
      <c r="N334" s="600">
        <f>A!I331</f>
        <v>0</v>
      </c>
      <c r="O334" s="567" t="str">
        <f>A!O331</f>
        <v>1,3</v>
      </c>
      <c r="P334" s="748"/>
      <c r="Q334" s="541" t="str">
        <f>A!E330</f>
        <v>y</v>
      </c>
      <c r="R334" s="541" t="s">
        <v>786</v>
      </c>
      <c r="S334" s="541">
        <f t="shared" ref="S334:S351" si="132">B334</f>
        <v>0</v>
      </c>
      <c r="T334" s="541" t="str">
        <f>A!R330</f>
        <v>x4</v>
      </c>
      <c r="U334" s="541">
        <f>A!S330</f>
        <v>30</v>
      </c>
      <c r="V334" s="541">
        <f>A!T330</f>
        <v>0.25</v>
      </c>
      <c r="W334" s="541">
        <f t="shared" ref="W334:W350" si="133">V334*B334</f>
        <v>0</v>
      </c>
      <c r="X334" s="541"/>
    </row>
    <row r="335" spans="1:24" ht="11.25" customHeight="1" thickBot="1" x14ac:dyDescent="0.3">
      <c r="A335" s="121" t="str">
        <f>IF(S335=0,"",COUNTIF(A$23:A334,"&gt;0")+1)</f>
        <v/>
      </c>
      <c r="B335" s="350"/>
      <c r="C335" s="128" t="str">
        <f t="shared" ref="C335" si="134">T335</f>
        <v>x4</v>
      </c>
      <c r="D335" s="119" t="str">
        <f>A!C331</f>
        <v>Mixed varieties with 3 plants</v>
      </c>
      <c r="E335" s="113"/>
      <c r="F335" s="113"/>
      <c r="G335" s="860" t="str">
        <f>A!N331</f>
        <v>Our selection</v>
      </c>
      <c r="H335" s="129" t="str">
        <f>A!Q331</f>
        <v>3 plant in 1 2L pot complete with floating island</v>
      </c>
      <c r="I335" s="130"/>
      <c r="J335" s="203"/>
      <c r="K335" s="131">
        <f>IF(A!G332="y",1,0)</f>
        <v>0</v>
      </c>
      <c r="L335" s="131">
        <f>IF(A!H332="y",1,0)</f>
        <v>0</v>
      </c>
      <c r="M335" s="132" t="str">
        <f>IF(A!F332="y","NEW","")</f>
        <v/>
      </c>
      <c r="N335" s="133">
        <f>A!I332</f>
        <v>0</v>
      </c>
      <c r="O335" s="307" t="str">
        <f>A!O332</f>
        <v>1,2</v>
      </c>
      <c r="P335" s="748"/>
      <c r="Q335" s="541" t="str">
        <f>A!E331</f>
        <v>y</v>
      </c>
      <c r="R335" s="541" t="s">
        <v>786</v>
      </c>
      <c r="S335" s="541">
        <f t="shared" ref="S335" si="135">B335</f>
        <v>0</v>
      </c>
      <c r="T335" s="541" t="str">
        <f>A!R331</f>
        <v>x4</v>
      </c>
      <c r="U335" s="541">
        <f>A!S331</f>
        <v>50</v>
      </c>
      <c r="V335" s="541">
        <f>A!T331</f>
        <v>0.25</v>
      </c>
      <c r="W335" s="541">
        <f t="shared" ref="W335" si="136">V335*B335</f>
        <v>0</v>
      </c>
      <c r="X335" s="541"/>
    </row>
    <row r="336" spans="1:24" ht="11.25" hidden="1" customHeight="1" x14ac:dyDescent="0.25">
      <c r="A336" s="121" t="str">
        <f>IF(S336=0,"",COUNTIF(A$23:A335,"&gt;0")+1)</f>
        <v/>
      </c>
      <c r="B336" s="344"/>
      <c r="C336" s="76" t="str">
        <f t="shared" si="131"/>
        <v>x4</v>
      </c>
      <c r="D336" s="98" t="str">
        <f>A!C332</f>
        <v>Caltha palustris</v>
      </c>
      <c r="E336" s="109"/>
      <c r="F336" s="109"/>
      <c r="G336" s="283" t="str">
        <f>A!N332</f>
        <v>marsh marigold</v>
      </c>
      <c r="H336" s="89" t="str">
        <f>A!Q332</f>
        <v>native marigold a must have for any pond</v>
      </c>
      <c r="I336" s="69">
        <f>A!M332</f>
        <v>1</v>
      </c>
      <c r="J336" s="202" t="str">
        <f>A!P332</f>
        <v>Yes</v>
      </c>
      <c r="K336" s="83">
        <f>IF(A!G332="y",1,0)</f>
        <v>0</v>
      </c>
      <c r="L336" s="83">
        <f>IF(A!H332="y",1,0)</f>
        <v>0</v>
      </c>
      <c r="M336" s="84" t="str">
        <f>IF(A!F332="y","NEW","")</f>
        <v/>
      </c>
      <c r="N336" s="85">
        <f>A!I332</f>
        <v>0</v>
      </c>
      <c r="O336" s="290" t="str">
        <f>A!O332</f>
        <v>1,2</v>
      </c>
      <c r="P336" s="748"/>
      <c r="Q336" s="541">
        <f>A!E332</f>
        <v>0</v>
      </c>
      <c r="R336" s="541" t="s">
        <v>786</v>
      </c>
      <c r="S336" s="541">
        <f t="shared" si="132"/>
        <v>0</v>
      </c>
      <c r="T336" s="541" t="str">
        <f>A!R332</f>
        <v>x4</v>
      </c>
      <c r="U336" s="541">
        <f>A!S332</f>
        <v>50</v>
      </c>
      <c r="V336" s="541">
        <f>A!T332</f>
        <v>0.25</v>
      </c>
      <c r="W336" s="541">
        <f t="shared" si="133"/>
        <v>0</v>
      </c>
      <c r="X336" s="541"/>
    </row>
    <row r="337" spans="1:24" ht="11.25" hidden="1" customHeight="1" x14ac:dyDescent="0.25">
      <c r="A337" s="121" t="str">
        <f>IF(S337=0,"",COUNTIF(A$23:A336,"&gt;0")+1)</f>
        <v/>
      </c>
      <c r="B337" s="344"/>
      <c r="C337" s="76" t="str">
        <f t="shared" ref="C337" si="137">T337</f>
        <v>x4</v>
      </c>
      <c r="D337" s="98" t="str">
        <f>A!C333</f>
        <v>Cotula Coronopifolia</v>
      </c>
      <c r="E337" s="109"/>
      <c r="F337" s="109"/>
      <c r="G337" s="99" t="str">
        <f>A!N333</f>
        <v>golden buttons</v>
      </c>
      <c r="H337" s="89" t="str">
        <f>A!Q333</f>
        <v xml:space="preserve">an introduced aromatic, with golden yellow flowers </v>
      </c>
      <c r="I337" s="69">
        <f>A!M333</f>
        <v>1</v>
      </c>
      <c r="J337" s="202">
        <f>A!P333</f>
        <v>0</v>
      </c>
      <c r="K337" s="83">
        <f>IF(A!G333="y",1,0)</f>
        <v>0</v>
      </c>
      <c r="L337" s="83">
        <f>IF(A!H333="y",1,0)</f>
        <v>0</v>
      </c>
      <c r="M337" s="84" t="str">
        <f>IF(A!F333="y","NEW","")</f>
        <v/>
      </c>
      <c r="N337" s="85">
        <f>A!I333</f>
        <v>0</v>
      </c>
      <c r="O337" s="290" t="str">
        <f>A!O333</f>
        <v>1,2</v>
      </c>
      <c r="P337" s="748"/>
      <c r="Q337" s="541">
        <f>A!E333</f>
        <v>0</v>
      </c>
      <c r="R337" s="541" t="s">
        <v>786</v>
      </c>
      <c r="S337" s="541">
        <f t="shared" ref="S337:S350" si="138">B337</f>
        <v>0</v>
      </c>
      <c r="T337" s="541" t="str">
        <f>A!R333</f>
        <v>x4</v>
      </c>
      <c r="U337" s="541">
        <f>A!S333</f>
        <v>30</v>
      </c>
      <c r="V337" s="541">
        <f>A!T333</f>
        <v>0.25</v>
      </c>
      <c r="W337" s="541">
        <f t="shared" si="133"/>
        <v>0</v>
      </c>
      <c r="X337" s="541"/>
    </row>
    <row r="338" spans="1:24" ht="11.25" hidden="1" customHeight="1" x14ac:dyDescent="0.25">
      <c r="A338" s="121" t="str">
        <f>IF(S338=0,"",COUNTIF(A$23:A337,"&gt;0")+1)</f>
        <v/>
      </c>
      <c r="B338" s="344"/>
      <c r="C338" s="76" t="str">
        <f t="shared" si="131"/>
        <v>x4</v>
      </c>
      <c r="D338" s="98" t="str">
        <f>A!C334</f>
        <v>Houttuynia cordata variegata</v>
      </c>
      <c r="E338" s="109"/>
      <c r="F338" s="109"/>
      <c r="G338" s="99" t="str">
        <f>A!N334</f>
        <v>orange peel</v>
      </c>
      <c r="H338" s="89" t="str">
        <f>A!Q334</f>
        <v>scented, multi coloured foliage, smelling of orange peel</v>
      </c>
      <c r="I338" s="69">
        <f>A!M334</f>
        <v>1</v>
      </c>
      <c r="J338" s="202">
        <f>A!P334</f>
        <v>0</v>
      </c>
      <c r="K338" s="83">
        <f>IF(A!G334="y",1,0)</f>
        <v>0</v>
      </c>
      <c r="L338" s="83">
        <f>IF(A!H334="y",1,0)</f>
        <v>0</v>
      </c>
      <c r="M338" s="84" t="str">
        <f>IF(A!F334="y","NEW","")</f>
        <v/>
      </c>
      <c r="N338" s="85">
        <f>A!I334</f>
        <v>0</v>
      </c>
      <c r="O338" s="290" t="str">
        <f>A!O334</f>
        <v>1,2</v>
      </c>
      <c r="P338" s="748"/>
      <c r="Q338" s="541">
        <f>A!E334</f>
        <v>0</v>
      </c>
      <c r="R338" s="541" t="s">
        <v>786</v>
      </c>
      <c r="S338" s="541">
        <f t="shared" si="138"/>
        <v>0</v>
      </c>
      <c r="T338" s="541" t="str">
        <f>A!R334</f>
        <v>x4</v>
      </c>
      <c r="U338" s="541">
        <f>A!S334</f>
        <v>50</v>
      </c>
      <c r="V338" s="541">
        <f>A!T334</f>
        <v>0.25</v>
      </c>
      <c r="W338" s="541">
        <f t="shared" si="133"/>
        <v>0</v>
      </c>
      <c r="X338" s="541"/>
    </row>
    <row r="339" spans="1:24" ht="11.25" hidden="1" customHeight="1" x14ac:dyDescent="0.25">
      <c r="A339" s="121" t="str">
        <f>IF(S339=0,"",COUNTIF(A$23:A338,"&gt;0")+1)</f>
        <v/>
      </c>
      <c r="B339" s="344"/>
      <c r="C339" s="76" t="str">
        <f t="shared" ref="C339" si="139">T339</f>
        <v>x4</v>
      </c>
      <c r="D339" s="98" t="str">
        <f>A!C335</f>
        <v>Hypericum elodes</v>
      </c>
      <c r="E339" s="109"/>
      <c r="F339" s="109"/>
      <c r="G339" s="99" t="str">
        <f>A!N335</f>
        <v>St Johns wort</v>
      </c>
      <c r="H339" s="89" t="str">
        <f>A!Q335</f>
        <v>mat-forming native with yellow flowers</v>
      </c>
      <c r="I339" s="69">
        <f>A!M335</f>
        <v>1</v>
      </c>
      <c r="J339" s="202" t="str">
        <f>A!P335</f>
        <v>Yes</v>
      </c>
      <c r="K339" s="83">
        <f>IF(A!G335="y",1,0)</f>
        <v>0</v>
      </c>
      <c r="L339" s="83">
        <f>IF(A!H335="y",1,0)</f>
        <v>0</v>
      </c>
      <c r="M339" s="84" t="str">
        <f>IF(A!F335="y","NEW","")</f>
        <v/>
      </c>
      <c r="N339" s="85">
        <f>A!I335</f>
        <v>0</v>
      </c>
      <c r="O339" s="290" t="str">
        <f>A!O335</f>
        <v>1,2</v>
      </c>
      <c r="P339" s="748"/>
      <c r="Q339" s="541">
        <f>A!E335</f>
        <v>0</v>
      </c>
      <c r="R339" s="541" t="s">
        <v>786</v>
      </c>
      <c r="S339" s="541">
        <f t="shared" ref="S339" si="140">B339</f>
        <v>0</v>
      </c>
      <c r="T339" s="541" t="str">
        <f>A!R335</f>
        <v>x4</v>
      </c>
      <c r="U339" s="541">
        <f>A!S335</f>
        <v>30</v>
      </c>
      <c r="V339" s="541">
        <f>A!T335</f>
        <v>0.25</v>
      </c>
      <c r="W339" s="541">
        <f t="shared" si="133"/>
        <v>0</v>
      </c>
      <c r="X339" s="541"/>
    </row>
    <row r="340" spans="1:24" ht="11.25" hidden="1" customHeight="1" x14ac:dyDescent="0.25">
      <c r="A340" s="121" t="str">
        <f>IF(S340=0,"",COUNTIF(A$23:A339,"&gt;0")+1)</f>
        <v/>
      </c>
      <c r="B340" s="604"/>
      <c r="C340" s="76" t="str">
        <f t="shared" si="131"/>
        <v>x4</v>
      </c>
      <c r="D340" s="98" t="str">
        <f>A!C336</f>
        <v xml:space="preserve">Lobelia Queen Victoria </v>
      </c>
      <c r="E340" s="78"/>
      <c r="F340" s="78"/>
      <c r="G340" s="99" t="str">
        <f>A!N336</f>
        <v>red cardinal</v>
      </c>
      <c r="H340" s="89" t="str">
        <f>A!Q336</f>
        <v>a must have herb for every pondkeeper</v>
      </c>
      <c r="I340" s="69">
        <f>A!M336</f>
        <v>1</v>
      </c>
      <c r="J340" s="202" t="str">
        <f>A!P336</f>
        <v>Yes</v>
      </c>
      <c r="K340" s="83">
        <f>IF(A!G336="y",1,0)</f>
        <v>0</v>
      </c>
      <c r="L340" s="83">
        <f>IF(A!H336="y",1,0)</f>
        <v>0</v>
      </c>
      <c r="M340" s="84" t="str">
        <f>IF(A!F336="y","NEW","")</f>
        <v/>
      </c>
      <c r="N340" s="85">
        <f>A!I336</f>
        <v>0</v>
      </c>
      <c r="O340" s="290" t="str">
        <f>A!O336</f>
        <v>1,2</v>
      </c>
      <c r="P340" s="748"/>
      <c r="Q340" s="541">
        <f>A!E336</f>
        <v>0</v>
      </c>
      <c r="R340" s="541" t="s">
        <v>786</v>
      </c>
      <c r="S340" s="541">
        <f t="shared" si="138"/>
        <v>0</v>
      </c>
      <c r="T340" s="541" t="str">
        <f>A!R336</f>
        <v>x4</v>
      </c>
      <c r="U340" s="541">
        <f>A!S336</f>
        <v>50</v>
      </c>
      <c r="V340" s="541">
        <f>A!T336</f>
        <v>0.25</v>
      </c>
      <c r="W340" s="541">
        <f t="shared" si="133"/>
        <v>0</v>
      </c>
      <c r="X340" s="541"/>
    </row>
    <row r="341" spans="1:24" ht="11.25" hidden="1" customHeight="1" x14ac:dyDescent="0.25">
      <c r="A341" s="121" t="str">
        <f>IF(S341=0,"",COUNTIF(A$23:A340,"&gt;0")+1)</f>
        <v/>
      </c>
      <c r="B341" s="601"/>
      <c r="C341" s="128" t="str">
        <f t="shared" si="131"/>
        <v>x4</v>
      </c>
      <c r="D341" s="119" t="str">
        <f>A!C337</f>
        <v>Lysimachia nummularia</v>
      </c>
      <c r="E341" s="514"/>
      <c r="F341" s="514"/>
      <c r="G341" s="197" t="str">
        <f>A!N337</f>
        <v>creeping jenny</v>
      </c>
      <c r="H341" s="129" t="str">
        <f>A!Q337</f>
        <v>perfect for the pondside or margin</v>
      </c>
      <c r="I341" s="130">
        <f>A!M337</f>
        <v>2</v>
      </c>
      <c r="J341" s="203" t="str">
        <f>A!P337</f>
        <v>Yes</v>
      </c>
      <c r="K341" s="131">
        <f>IF(A!G337="y",1,0)</f>
        <v>0</v>
      </c>
      <c r="L341" s="131">
        <f>IF(A!H337="y",1,0)</f>
        <v>0</v>
      </c>
      <c r="M341" s="132" t="str">
        <f>IF(A!F337="y","NEW","")</f>
        <v/>
      </c>
      <c r="N341" s="133">
        <f>A!I337</f>
        <v>0</v>
      </c>
      <c r="O341" s="307" t="str">
        <f>A!O337</f>
        <v>1,2</v>
      </c>
      <c r="P341" s="748"/>
      <c r="Q341" s="541">
        <f>A!E337</f>
        <v>0</v>
      </c>
      <c r="R341" s="541" t="s">
        <v>786</v>
      </c>
      <c r="S341" s="541">
        <f t="shared" si="138"/>
        <v>0</v>
      </c>
      <c r="T341" s="541" t="str">
        <f>A!R337</f>
        <v>x4</v>
      </c>
      <c r="U341" s="541" t="str">
        <f>A!S337</f>
        <v/>
      </c>
      <c r="V341" s="541">
        <f>A!T337</f>
        <v>0.25</v>
      </c>
      <c r="W341" s="541">
        <f t="shared" si="133"/>
        <v>0</v>
      </c>
      <c r="X341" s="541"/>
    </row>
    <row r="342" spans="1:24" ht="11.25" hidden="1" customHeight="1" x14ac:dyDescent="0.25">
      <c r="A342" s="121" t="str">
        <f>IF(S342=0,"",COUNTIF(A$23:A341,"&gt;0")+1)</f>
        <v/>
      </c>
      <c r="B342" s="345"/>
      <c r="C342" s="76" t="str">
        <f t="shared" ref="C342:C347" si="141">T342</f>
        <v>x4</v>
      </c>
      <c r="D342" s="98" t="str">
        <f>A!C338</f>
        <v>Lysimachia nummularia Aurea</v>
      </c>
      <c r="E342" s="109"/>
      <c r="F342" s="109"/>
      <c r="G342" s="99" t="str">
        <f>A!N338</f>
        <v>golden jenny</v>
      </c>
      <c r="H342" s="89" t="str">
        <f>A!Q338</f>
        <v>low rafting mat of golden foliage with yellow flowers</v>
      </c>
      <c r="I342" s="69">
        <f>A!M338</f>
        <v>1</v>
      </c>
      <c r="J342" s="202">
        <f>A!P338</f>
        <v>0</v>
      </c>
      <c r="K342" s="83">
        <f>IF(A!G338="y",1,0)</f>
        <v>0</v>
      </c>
      <c r="L342" s="83">
        <f>IF(A!H338="y",1,0)</f>
        <v>0</v>
      </c>
      <c r="M342" s="84" t="str">
        <f>IF(A!F338="y","NEW","")</f>
        <v/>
      </c>
      <c r="N342" s="85">
        <f>A!I338</f>
        <v>0</v>
      </c>
      <c r="O342" s="290" t="str">
        <f>A!O338</f>
        <v>1,2</v>
      </c>
      <c r="P342" s="748"/>
      <c r="Q342" s="541">
        <f>A!E338</f>
        <v>0</v>
      </c>
      <c r="R342" s="541" t="s">
        <v>786</v>
      </c>
      <c r="S342" s="541">
        <f t="shared" ref="S342:S347" si="142">B342</f>
        <v>0</v>
      </c>
      <c r="T342" s="541" t="str">
        <f>A!R338</f>
        <v>x4</v>
      </c>
      <c r="U342" s="541" t="str">
        <f>A!S338</f>
        <v/>
      </c>
      <c r="V342" s="541">
        <f>A!T338</f>
        <v>0.25</v>
      </c>
      <c r="W342" s="541">
        <f t="shared" si="133"/>
        <v>0</v>
      </c>
      <c r="X342" s="541"/>
    </row>
    <row r="343" spans="1:24" ht="11.25" hidden="1" customHeight="1" x14ac:dyDescent="0.25">
      <c r="A343" s="121" t="str">
        <f>IF(S343=0,"",COUNTIF(A$23:A342,"&gt;0")+1)</f>
        <v/>
      </c>
      <c r="B343" s="345"/>
      <c r="C343" s="76" t="str">
        <f t="shared" si="141"/>
        <v>x4</v>
      </c>
      <c r="D343" s="98" t="str">
        <f>A!C339</f>
        <v>Lythrum salicaria</v>
      </c>
      <c r="E343" s="109"/>
      <c r="F343" s="109"/>
      <c r="G343" s="99" t="str">
        <f>A!N339</f>
        <v>purple loosestrife</v>
      </c>
      <c r="H343" s="89" t="str">
        <f>A!Q339</f>
        <v>beautiful tall pink flowers throughout the season</v>
      </c>
      <c r="I343" s="69">
        <f>A!M339</f>
        <v>1</v>
      </c>
      <c r="J343" s="202" t="str">
        <f>A!P339</f>
        <v>Yes</v>
      </c>
      <c r="K343" s="83">
        <f>IF(A!G339="y",1,0)</f>
        <v>0</v>
      </c>
      <c r="L343" s="83">
        <f>IF(A!H339="y",1,0)</f>
        <v>0</v>
      </c>
      <c r="M343" s="84" t="str">
        <f>IF(A!F339="y","NEW","")</f>
        <v/>
      </c>
      <c r="N343" s="85">
        <f>A!I339</f>
        <v>0</v>
      </c>
      <c r="O343" s="290" t="str">
        <f>A!O339</f>
        <v>1,2</v>
      </c>
      <c r="P343" s="748"/>
      <c r="Q343" s="541">
        <f>A!E339</f>
        <v>0</v>
      </c>
      <c r="R343" s="541" t="s">
        <v>786</v>
      </c>
      <c r="S343" s="541">
        <f t="shared" si="142"/>
        <v>0</v>
      </c>
      <c r="T343" s="541" t="str">
        <f>A!R339</f>
        <v>x4</v>
      </c>
      <c r="U343" s="541" t="str">
        <f>A!S339</f>
        <v/>
      </c>
      <c r="V343" s="541">
        <f>A!T339</f>
        <v>0.25</v>
      </c>
      <c r="W343" s="541">
        <f t="shared" si="133"/>
        <v>0</v>
      </c>
      <c r="X343" s="541"/>
    </row>
    <row r="344" spans="1:24" ht="11.25" hidden="1" customHeight="1" x14ac:dyDescent="0.25">
      <c r="A344" s="121" t="str">
        <f>IF(S344=0,"",COUNTIF(A$23:A343,"&gt;0")+1)</f>
        <v/>
      </c>
      <c r="B344" s="345"/>
      <c r="C344" s="76" t="str">
        <f t="shared" ref="C344" si="143">T344</f>
        <v>x4</v>
      </c>
      <c r="D344" s="98" t="str">
        <f>A!C340</f>
        <v>Mentha aquatica</v>
      </c>
      <c r="E344" s="109"/>
      <c r="F344" s="109"/>
      <c r="G344" s="99" t="str">
        <f>A!N340</f>
        <v>water mint</v>
      </c>
      <c r="H344" s="89" t="str">
        <f>A!Q340</f>
        <v>a must have herb for every pondkeeper</v>
      </c>
      <c r="I344" s="69">
        <f>A!M340</f>
        <v>1</v>
      </c>
      <c r="J344" s="202" t="str">
        <f>A!P340</f>
        <v>yes</v>
      </c>
      <c r="K344" s="83">
        <f>IF(A!G340="y",1,0)</f>
        <v>0</v>
      </c>
      <c r="L344" s="83">
        <f>IF(A!H340="y",1,0)</f>
        <v>0</v>
      </c>
      <c r="M344" s="84" t="str">
        <f>IF(A!F340="y","NEW","")</f>
        <v/>
      </c>
      <c r="N344" s="85">
        <f>A!I340</f>
        <v>0</v>
      </c>
      <c r="O344" s="290" t="str">
        <f>A!O340</f>
        <v>1,2</v>
      </c>
      <c r="P344" s="748"/>
      <c r="Q344" s="541">
        <f>A!E340</f>
        <v>0</v>
      </c>
      <c r="R344" s="541" t="s">
        <v>786</v>
      </c>
      <c r="S344" s="541">
        <f t="shared" ref="S344" si="144">B344</f>
        <v>0</v>
      </c>
      <c r="T344" s="541" t="str">
        <f>A!R340</f>
        <v>x4</v>
      </c>
      <c r="U344" s="541">
        <f>A!S340</f>
        <v>30</v>
      </c>
      <c r="V344" s="541">
        <f>A!T340</f>
        <v>0.25</v>
      </c>
      <c r="W344" s="541">
        <f t="shared" si="133"/>
        <v>0</v>
      </c>
      <c r="X344" s="541"/>
    </row>
    <row r="345" spans="1:24" ht="11.25" hidden="1" customHeight="1" thickBot="1" x14ac:dyDescent="0.3">
      <c r="A345" s="121" t="str">
        <f>IF(S345=0,"",COUNTIF(A$23:A344,"&gt;0")+1)</f>
        <v/>
      </c>
      <c r="B345" s="603"/>
      <c r="C345" s="292" t="str">
        <f t="shared" ref="C345" si="145">T345</f>
        <v>x4</v>
      </c>
      <c r="D345" s="353" t="str">
        <f>A!C341</f>
        <v>Mentha pulegium</v>
      </c>
      <c r="E345" s="294"/>
      <c r="F345" s="294"/>
      <c r="G345" s="354" t="str">
        <f>A!N341</f>
        <v>penny royal</v>
      </c>
      <c r="H345" s="296" t="str">
        <f>A!Q341</f>
        <v>a creeping mint, compact and aromatic</v>
      </c>
      <c r="I345" s="297">
        <f>A!M341</f>
        <v>1</v>
      </c>
      <c r="J345" s="298" t="str">
        <f>A!P341</f>
        <v>yes</v>
      </c>
      <c r="K345" s="299">
        <f>IF(A!G341="y",1,0)</f>
        <v>0</v>
      </c>
      <c r="L345" s="299">
        <f>IF(A!H341="y",1,0)</f>
        <v>0</v>
      </c>
      <c r="M345" s="300" t="str">
        <f>IF(A!F341="y","NEW","")</f>
        <v/>
      </c>
      <c r="N345" s="301">
        <f>A!I341</f>
        <v>0</v>
      </c>
      <c r="O345" s="302" t="str">
        <f>A!O341</f>
        <v>1,2</v>
      </c>
      <c r="P345" s="748"/>
      <c r="Q345" s="541">
        <f>A!E341</f>
        <v>0</v>
      </c>
      <c r="R345" s="541" t="s">
        <v>786</v>
      </c>
      <c r="S345" s="541">
        <f t="shared" ref="S345" si="146">B345</f>
        <v>0</v>
      </c>
      <c r="T345" s="541" t="str">
        <f>A!R341</f>
        <v>x4</v>
      </c>
      <c r="U345" s="541">
        <f>A!S341</f>
        <v>30</v>
      </c>
      <c r="V345" s="541">
        <f>A!T341</f>
        <v>0.25</v>
      </c>
      <c r="W345" s="541">
        <f t="shared" si="133"/>
        <v>0</v>
      </c>
      <c r="X345" s="541"/>
    </row>
    <row r="346" spans="1:24" ht="12" hidden="1" customHeight="1" x14ac:dyDescent="0.25">
      <c r="A346" s="121" t="str">
        <f>IF(S346=0,"",COUNTIF(A$23:A345,"&gt;0")+1)</f>
        <v/>
      </c>
      <c r="B346" s="601"/>
      <c r="C346" s="128" t="str">
        <f t="shared" si="141"/>
        <v>x4</v>
      </c>
      <c r="D346" s="119" t="str">
        <f>A!C342</f>
        <v>Myosotis palustris</v>
      </c>
      <c r="E346" s="514"/>
      <c r="F346" s="514"/>
      <c r="G346" s="197" t="str">
        <f>A!N342</f>
        <v>water forget-me-not</v>
      </c>
      <c r="H346" s="129" t="str">
        <f>A!Q342</f>
        <v>must have for every pond, small blue flowers</v>
      </c>
      <c r="I346" s="130">
        <f>A!M342</f>
        <v>1</v>
      </c>
      <c r="J346" s="203" t="str">
        <f>A!P342</f>
        <v>Yes</v>
      </c>
      <c r="K346" s="131">
        <f>IF(A!G342="y",1,0)</f>
        <v>0</v>
      </c>
      <c r="L346" s="131">
        <f>IF(A!H342="y",1,0)</f>
        <v>0</v>
      </c>
      <c r="M346" s="132" t="str">
        <f>IF(A!F342="y","NEW","")</f>
        <v/>
      </c>
      <c r="N346" s="133">
        <f>A!I342</f>
        <v>0</v>
      </c>
      <c r="O346" s="307">
        <f>A!O342</f>
        <v>2</v>
      </c>
      <c r="P346" s="748"/>
      <c r="Q346" s="541">
        <f>A!E342</f>
        <v>0</v>
      </c>
      <c r="R346" s="541" t="s">
        <v>786</v>
      </c>
      <c r="S346" s="541">
        <f t="shared" si="142"/>
        <v>0</v>
      </c>
      <c r="T346" s="541" t="str">
        <f>A!R342</f>
        <v>x4</v>
      </c>
      <c r="U346" s="541" t="str">
        <f>A!S342</f>
        <v/>
      </c>
      <c r="V346" s="541">
        <f>A!T342</f>
        <v>0.25</v>
      </c>
      <c r="W346" s="541">
        <f t="shared" si="133"/>
        <v>0</v>
      </c>
      <c r="X346" s="541"/>
    </row>
    <row r="347" spans="1:24" ht="12" hidden="1" customHeight="1" x14ac:dyDescent="0.25">
      <c r="A347" s="121" t="str">
        <f>IF(S347=0,"",COUNTIF(A$23:A346,"&gt;0")+1)</f>
        <v/>
      </c>
      <c r="B347" s="345"/>
      <c r="C347" s="76" t="str">
        <f t="shared" si="141"/>
        <v>x4</v>
      </c>
      <c r="D347" s="98" t="str">
        <f>A!C343</f>
        <v>Myosotis palustris alba</v>
      </c>
      <c r="E347" s="109"/>
      <c r="F347" s="109"/>
      <c r="G347" s="99" t="str">
        <f>A!N343</f>
        <v>white water forget-me-not</v>
      </c>
      <c r="H347" s="89" t="str">
        <f>A!Q343</f>
        <v>white flowers over green foliage</v>
      </c>
      <c r="I347" s="69">
        <f>A!M343</f>
        <v>1</v>
      </c>
      <c r="J347" s="202">
        <f>A!P343</f>
        <v>0</v>
      </c>
      <c r="K347" s="83">
        <f>IF(A!G343="y",1,0)</f>
        <v>0</v>
      </c>
      <c r="L347" s="83">
        <f>IF(A!H343="y",1,0)</f>
        <v>0</v>
      </c>
      <c r="M347" s="84" t="str">
        <f>IF(A!F343="y","NEW","")</f>
        <v/>
      </c>
      <c r="N347" s="85">
        <f>A!I343</f>
        <v>0</v>
      </c>
      <c r="O347" s="290" t="str">
        <f>A!O343</f>
        <v>1,2</v>
      </c>
      <c r="P347" s="748"/>
      <c r="Q347" s="541">
        <f>A!E343</f>
        <v>0</v>
      </c>
      <c r="R347" s="541" t="s">
        <v>786</v>
      </c>
      <c r="S347" s="541">
        <f t="shared" si="142"/>
        <v>0</v>
      </c>
      <c r="T347" s="541" t="str">
        <f>A!R343</f>
        <v>x4</v>
      </c>
      <c r="U347" s="541" t="str">
        <f>A!S343</f>
        <v/>
      </c>
      <c r="V347" s="541">
        <f>A!T343</f>
        <v>0.25</v>
      </c>
      <c r="W347" s="541">
        <f t="shared" si="133"/>
        <v>0</v>
      </c>
      <c r="X347" s="541"/>
    </row>
    <row r="348" spans="1:24" ht="12" hidden="1" customHeight="1" x14ac:dyDescent="0.25">
      <c r="A348" s="121" t="str">
        <f>IF(S348=0,"",COUNTIF(A$23:A347,"&gt;0")+1)</f>
        <v/>
      </c>
      <c r="B348" s="345"/>
      <c r="C348" s="76" t="str">
        <f t="shared" si="131"/>
        <v>x4</v>
      </c>
      <c r="D348" s="98" t="str">
        <f>A!C344</f>
        <v>Myriophyllum Brasiliensis</v>
      </c>
      <c r="E348" s="109"/>
      <c r="F348" s="109"/>
      <c r="G348" s="99" t="str">
        <f>A!N344</f>
        <v>red stemmed p. feather</v>
      </c>
      <c r="H348" s="89" t="str">
        <f>A!Q344</f>
        <v>attractive red stems, green foliage</v>
      </c>
      <c r="I348" s="69">
        <f>A!M344</f>
        <v>1</v>
      </c>
      <c r="J348" s="202">
        <f>A!P344</f>
        <v>0</v>
      </c>
      <c r="K348" s="83">
        <f>IF(A!G344="y",1,0)</f>
        <v>0</v>
      </c>
      <c r="L348" s="83">
        <f>IF(A!H344="y",1,0)</f>
        <v>0</v>
      </c>
      <c r="M348" s="84" t="str">
        <f>IF(A!F344="y","NEW","")</f>
        <v/>
      </c>
      <c r="N348" s="85">
        <f>A!I344</f>
        <v>0</v>
      </c>
      <c r="O348" s="290" t="str">
        <f>A!O344</f>
        <v>2,3</v>
      </c>
      <c r="P348" s="748"/>
      <c r="Q348" s="541">
        <f>A!E344</f>
        <v>0</v>
      </c>
      <c r="R348" s="541" t="s">
        <v>786</v>
      </c>
      <c r="S348" s="541">
        <f t="shared" si="138"/>
        <v>0</v>
      </c>
      <c r="T348" s="541" t="str">
        <f>A!R344</f>
        <v>x4</v>
      </c>
      <c r="U348" s="541" t="str">
        <f>A!S344</f>
        <v/>
      </c>
      <c r="V348" s="541">
        <f>A!T344</f>
        <v>0.25</v>
      </c>
      <c r="W348" s="541">
        <f t="shared" si="133"/>
        <v>0</v>
      </c>
      <c r="X348" s="541"/>
    </row>
    <row r="349" spans="1:24" ht="12" hidden="1" customHeight="1" x14ac:dyDescent="0.25">
      <c r="A349" s="121" t="str">
        <f>IF(S349=0,"",COUNTIF(A$23:A348,"&gt;0")+1)</f>
        <v/>
      </c>
      <c r="B349" s="344"/>
      <c r="C349" s="76" t="str">
        <f t="shared" si="131"/>
        <v>x4</v>
      </c>
      <c r="D349" s="98" t="str">
        <f>A!C345</f>
        <v>Nasturtium aquaticum</v>
      </c>
      <c r="E349" s="109"/>
      <c r="F349" s="109"/>
      <c r="G349" s="99" t="str">
        <f>A!N345</f>
        <v>watercress</v>
      </c>
      <c r="H349" s="89" t="str">
        <f>A!Q345</f>
        <v>the natural way to keep green algae at bay</v>
      </c>
      <c r="I349" s="69">
        <f>A!M345</f>
        <v>1</v>
      </c>
      <c r="J349" s="202" t="str">
        <f>A!P345</f>
        <v>Yes</v>
      </c>
      <c r="K349" s="83">
        <f>IF(A!G345="y",1,0)</f>
        <v>0</v>
      </c>
      <c r="L349" s="83">
        <f>IF(A!H345="y",1,0)</f>
        <v>0</v>
      </c>
      <c r="M349" s="84" t="str">
        <f>IF(A!F345="y","NEW","")</f>
        <v/>
      </c>
      <c r="N349" s="85">
        <f>A!I345</f>
        <v>0</v>
      </c>
      <c r="O349" s="290">
        <f>A!O345</f>
        <v>2</v>
      </c>
      <c r="P349" s="748"/>
      <c r="Q349" s="541">
        <f>A!E345</f>
        <v>0</v>
      </c>
      <c r="R349" s="541" t="s">
        <v>786</v>
      </c>
      <c r="S349" s="541">
        <f t="shared" si="138"/>
        <v>0</v>
      </c>
      <c r="T349" s="541" t="str">
        <f>A!R345</f>
        <v>x4</v>
      </c>
      <c r="U349" s="541">
        <f>A!S345</f>
        <v>30</v>
      </c>
      <c r="V349" s="541">
        <f>A!T345</f>
        <v>0.25</v>
      </c>
      <c r="W349" s="541">
        <f t="shared" si="133"/>
        <v>0</v>
      </c>
      <c r="X349" s="541"/>
    </row>
    <row r="350" spans="1:24" ht="12" hidden="1" customHeight="1" thickBot="1" x14ac:dyDescent="0.3">
      <c r="A350" s="121" t="str">
        <f>IF(S350=0,"",COUNTIF(A$23:A349,"&gt;0")+1)</f>
        <v/>
      </c>
      <c r="B350" s="344"/>
      <c r="C350" s="165" t="str">
        <f t="shared" si="131"/>
        <v>x4</v>
      </c>
      <c r="D350" s="108" t="str">
        <f>A!C347</f>
        <v>Veronica beccabunga</v>
      </c>
      <c r="E350" s="109"/>
      <c r="F350" s="109"/>
      <c r="G350" s="166" t="str">
        <f>A!N347</f>
        <v>brooklime</v>
      </c>
      <c r="H350" s="167" t="str">
        <f>A!Q347</f>
        <v>a real functional native, great for all ponds</v>
      </c>
      <c r="I350" s="111">
        <f>A!M347</f>
        <v>1</v>
      </c>
      <c r="J350" s="242" t="str">
        <f>A!P347</f>
        <v>Yes</v>
      </c>
      <c r="K350" s="243">
        <f>IF(A!G347="y",1,0)</f>
        <v>0</v>
      </c>
      <c r="L350" s="243">
        <f>IF(A!H347="y",1,0)</f>
        <v>0</v>
      </c>
      <c r="M350" s="244" t="str">
        <f>IF(A!F347="y","NEW","")</f>
        <v/>
      </c>
      <c r="N350" s="245">
        <f>A!I347</f>
        <v>0</v>
      </c>
      <c r="O350" s="346" t="str">
        <f>A!O347</f>
        <v>1,2</v>
      </c>
      <c r="P350" s="748"/>
      <c r="Q350" s="541">
        <f>A!E347</f>
        <v>0</v>
      </c>
      <c r="R350" s="541" t="s">
        <v>786</v>
      </c>
      <c r="S350" s="541">
        <f t="shared" si="138"/>
        <v>0</v>
      </c>
      <c r="T350" s="541" t="str">
        <f>A!R347</f>
        <v>x4</v>
      </c>
      <c r="U350" s="541">
        <f>A!S346</f>
        <v>50</v>
      </c>
      <c r="V350" s="541">
        <f>A!T346</f>
        <v>0.25</v>
      </c>
      <c r="W350" s="541">
        <f t="shared" si="133"/>
        <v>0</v>
      </c>
      <c r="X350" s="541"/>
    </row>
    <row r="351" spans="1:24" ht="11.25" customHeight="1" x14ac:dyDescent="0.25">
      <c r="A351" s="121" t="str">
        <f>IF(S351=0,"",COUNTIF(A$23:A350,"&gt;0")+1)</f>
        <v/>
      </c>
      <c r="B351" s="629">
        <f>SUM(B334:B350)</f>
        <v>0</v>
      </c>
      <c r="C351" s="629"/>
      <c r="D351" s="630" t="s">
        <v>1353</v>
      </c>
      <c r="E351" s="631"/>
      <c r="F351" s="631"/>
      <c r="G351" s="631"/>
      <c r="H351" s="631"/>
      <c r="I351" s="631"/>
      <c r="J351" s="632"/>
      <c r="K351" s="631"/>
      <c r="L351" s="631"/>
      <c r="M351" s="633"/>
      <c r="N351" s="631"/>
      <c r="O351" s="634"/>
      <c r="P351" s="628"/>
      <c r="Q351" s="748"/>
      <c r="R351" s="541" t="s">
        <v>786</v>
      </c>
      <c r="S351" s="541">
        <f t="shared" si="132"/>
        <v>0</v>
      </c>
      <c r="T351" s="541" t="s">
        <v>1142</v>
      </c>
      <c r="U351" s="541" t="str">
        <f>A!S348</f>
        <v/>
      </c>
      <c r="V351" s="541"/>
      <c r="W351" s="541"/>
      <c r="X351" s="541"/>
    </row>
    <row r="352" spans="1:24" ht="8.25" customHeight="1" thickBot="1" x14ac:dyDescent="0.3">
      <c r="A352" s="121" t="str">
        <f>IF(S352=0,"",COUNTIF(A$23:A351,"&gt;0")+1)</f>
        <v/>
      </c>
      <c r="P352" s="541"/>
      <c r="Q352" s="541"/>
      <c r="R352" s="541"/>
      <c r="S352" s="541"/>
      <c r="T352" s="541"/>
      <c r="U352" s="541"/>
      <c r="V352" s="541"/>
      <c r="W352" s="541"/>
      <c r="X352" s="541"/>
    </row>
    <row r="353" spans="1:24" ht="9" customHeight="1" x14ac:dyDescent="0.25">
      <c r="A353" s="121" t="str">
        <f>IF(S353=0,"",COUNTIF(A$23:A352,"&gt;0")+1)</f>
        <v/>
      </c>
      <c r="B353" s="955" t="s">
        <v>115</v>
      </c>
      <c r="C353" s="956"/>
      <c r="D353" s="910" t="s">
        <v>1175</v>
      </c>
      <c r="E353" s="911"/>
      <c r="F353" s="911"/>
      <c r="G353" s="911"/>
      <c r="H353" s="934" t="s">
        <v>1180</v>
      </c>
      <c r="I353" s="932" t="s">
        <v>1252</v>
      </c>
      <c r="J353" s="932"/>
      <c r="K353" s="932"/>
      <c r="L353" s="932"/>
      <c r="M353" s="932"/>
      <c r="N353" s="932"/>
      <c r="O353" s="933"/>
      <c r="P353" s="541"/>
      <c r="Q353" s="541"/>
      <c r="R353" s="541"/>
      <c r="S353" s="541"/>
      <c r="T353" s="541"/>
      <c r="U353" s="541"/>
      <c r="V353" s="541"/>
      <c r="W353" s="541"/>
      <c r="X353" s="541"/>
    </row>
    <row r="354" spans="1:24" ht="9" customHeight="1" thickBot="1" x14ac:dyDescent="0.3">
      <c r="A354" s="121" t="str">
        <f>IF(S354=0,"",COUNTIF(A$23:A353,"&gt;0")+1)</f>
        <v/>
      </c>
      <c r="B354" s="957" t="s">
        <v>1189</v>
      </c>
      <c r="C354" s="958"/>
      <c r="D354" s="926"/>
      <c r="E354" s="927"/>
      <c r="F354" s="927"/>
      <c r="G354" s="927"/>
      <c r="H354" s="935"/>
      <c r="I354" s="311" t="s">
        <v>114</v>
      </c>
      <c r="J354" s="309"/>
      <c r="K354" s="310"/>
      <c r="L354" s="310"/>
      <c r="M354" s="311"/>
      <c r="N354" s="310"/>
      <c r="O354" s="312" t="s">
        <v>41</v>
      </c>
      <c r="P354" s="541"/>
      <c r="Q354" s="540" t="s">
        <v>113</v>
      </c>
      <c r="R354" s="541"/>
      <c r="S354" s="541"/>
      <c r="T354" s="541"/>
      <c r="U354" s="541"/>
      <c r="V354" s="541"/>
      <c r="W354" s="541"/>
      <c r="X354" s="541"/>
    </row>
    <row r="355" spans="1:24" ht="11.25" customHeight="1" x14ac:dyDescent="0.25">
      <c r="A355" s="121" t="str">
        <f>IF(S355=0,"",COUNTIF(A$23:A354,"&gt;0")+1)</f>
        <v/>
      </c>
      <c r="B355" s="556"/>
      <c r="C355" s="557" t="str">
        <f t="shared" ref="C355:C426" si="147">T355</f>
        <v>x3</v>
      </c>
      <c r="D355" s="558" t="str">
        <f>A!C152</f>
        <v>Assorted Gardeners Choice</v>
      </c>
      <c r="E355" s="559"/>
      <c r="F355" s="559"/>
      <c r="G355" s="560" t="str">
        <f>A!N152</f>
        <v>our best selection</v>
      </c>
      <c r="H355" s="561" t="str">
        <f>A!Q152</f>
        <v>our choice, best plants available on the nursery</v>
      </c>
      <c r="I355" s="562"/>
      <c r="J355" s="563">
        <f>A!P152</f>
        <v>0</v>
      </c>
      <c r="K355" s="564">
        <f>IF(A!G152="y",1,0)</f>
        <v>1</v>
      </c>
      <c r="L355" s="564">
        <f>IF(A!H152="y",1,0)</f>
        <v>1</v>
      </c>
      <c r="M355" s="565" t="str">
        <f>IF(A!F152="y","NEW","")</f>
        <v/>
      </c>
      <c r="N355" s="566"/>
      <c r="O355" s="567" t="str">
        <f>A!O152</f>
        <v>1,2,3</v>
      </c>
      <c r="P355" s="541" t="str">
        <f>A!K152</f>
        <v>M</v>
      </c>
      <c r="Q355" s="541" t="str">
        <f>A!E152</f>
        <v>Y</v>
      </c>
      <c r="R355" s="541" t="s">
        <v>211</v>
      </c>
      <c r="S355" s="541">
        <f t="shared" ref="S355:S389" si="148">B355</f>
        <v>0</v>
      </c>
      <c r="T355" s="541" t="str">
        <f>A!R152</f>
        <v>x3</v>
      </c>
      <c r="U355" s="541">
        <f>A!S152</f>
        <v>50</v>
      </c>
      <c r="V355" s="541">
        <f>A!T152</f>
        <v>0.125</v>
      </c>
      <c r="W355" s="541">
        <f t="shared" ref="W355:W423" si="149">V355*B355</f>
        <v>0</v>
      </c>
      <c r="X355" s="541"/>
    </row>
    <row r="356" spans="1:24" ht="12" customHeight="1" x14ac:dyDescent="0.25">
      <c r="A356" s="121" t="str">
        <f>IF(S356=0,"",COUNTIF(A$23:A355,"&gt;0")+1)</f>
        <v/>
      </c>
      <c r="B356" s="351"/>
      <c r="C356" s="76" t="str">
        <f t="shared" si="147"/>
        <v>x3</v>
      </c>
      <c r="D356" s="98" t="str">
        <f>A!C153</f>
        <v xml:space="preserve">Acorus calamus  </v>
      </c>
      <c r="E356" s="78"/>
      <c r="F356" s="78"/>
      <c r="G356" s="99" t="str">
        <f>A!N153</f>
        <v>sweet rush</v>
      </c>
      <c r="H356" s="89" t="str">
        <f>A!Q153</f>
        <v>fragrant, green iris-like foliage</v>
      </c>
      <c r="I356" s="69">
        <f>A!M153</f>
        <v>2</v>
      </c>
      <c r="J356" s="202" t="str">
        <f>A!P153</f>
        <v>Yes</v>
      </c>
      <c r="K356" s="83">
        <f>IF(A!G153="y",1,0)</f>
        <v>1</v>
      </c>
      <c r="L356" s="83">
        <f>IF(A!H153="y",1,0)</f>
        <v>1</v>
      </c>
      <c r="M356" s="84" t="str">
        <f>IF(A!F153="y","NEW","")</f>
        <v/>
      </c>
      <c r="N356" s="85">
        <f>A!I153</f>
        <v>0</v>
      </c>
      <c r="O356" s="290">
        <f>A!O153</f>
        <v>2</v>
      </c>
      <c r="P356" s="541" t="str">
        <f>A!K153</f>
        <v>L</v>
      </c>
      <c r="Q356" s="541" t="str">
        <f>A!E153</f>
        <v>y</v>
      </c>
      <c r="R356" s="541" t="s">
        <v>211</v>
      </c>
      <c r="S356" s="541">
        <f t="shared" si="148"/>
        <v>0</v>
      </c>
      <c r="T356" s="541" t="str">
        <f>A!R153</f>
        <v>x3</v>
      </c>
      <c r="U356" s="541">
        <f>A!S153</f>
        <v>65</v>
      </c>
      <c r="V356" s="541">
        <f>A!T153</f>
        <v>0.125</v>
      </c>
      <c r="W356" s="541">
        <f t="shared" si="149"/>
        <v>0</v>
      </c>
      <c r="X356" s="541"/>
    </row>
    <row r="357" spans="1:24" ht="12" hidden="1" customHeight="1" x14ac:dyDescent="0.25">
      <c r="A357" s="121" t="str">
        <f>IF(S357=0,"",COUNTIF(A$23:A356,"&gt;0")+1)</f>
        <v/>
      </c>
      <c r="B357" s="351"/>
      <c r="C357" s="76" t="str">
        <f t="shared" si="147"/>
        <v>x3</v>
      </c>
      <c r="D357" s="98" t="str">
        <f>A!C154</f>
        <v>Acorus gramineus 'Golden Delight'</v>
      </c>
      <c r="E357" s="78"/>
      <c r="F357" s="78"/>
      <c r="G357" s="99" t="str">
        <f>A!N154</f>
        <v>golden rush</v>
      </c>
      <c r="H357" s="89" t="str">
        <f>A!Q154</f>
        <v>evergreen leaves grow into attractive fans.</v>
      </c>
      <c r="I357" s="69">
        <f>A!M154</f>
        <v>1</v>
      </c>
      <c r="J357" s="202">
        <f>A!P154</f>
        <v>0</v>
      </c>
      <c r="K357" s="83">
        <f>IF(A!G154="y",1,0)</f>
        <v>0</v>
      </c>
      <c r="L357" s="83">
        <f>IF(A!H154="y",1,0)</f>
        <v>0</v>
      </c>
      <c r="M357" s="84" t="str">
        <f>IF(A!F154="y","NEW","")</f>
        <v/>
      </c>
      <c r="N357" s="85">
        <f>A!I154</f>
        <v>0</v>
      </c>
      <c r="O357" s="290" t="str">
        <f>A!O154</f>
        <v>1,2</v>
      </c>
      <c r="P357" s="541">
        <f>A!K154</f>
        <v>0</v>
      </c>
      <c r="Q357" s="541">
        <f>A!E154</f>
        <v>0</v>
      </c>
      <c r="R357" s="541" t="s">
        <v>211</v>
      </c>
      <c r="S357" s="541">
        <f t="shared" si="148"/>
        <v>0</v>
      </c>
      <c r="T357" s="541" t="str">
        <f>A!R154</f>
        <v>x3</v>
      </c>
      <c r="U357" s="541" t="str">
        <f>A!S154</f>
        <v/>
      </c>
      <c r="V357" s="541">
        <f>A!T154</f>
        <v>0.125</v>
      </c>
      <c r="W357" s="541">
        <f t="shared" si="149"/>
        <v>0</v>
      </c>
      <c r="X357" s="541"/>
    </row>
    <row r="358" spans="1:24" ht="12" hidden="1" customHeight="1" x14ac:dyDescent="0.25">
      <c r="A358" s="121" t="str">
        <f>IF(S358=0,"",COUNTIF(A$23:A357,"&gt;0")+1)</f>
        <v/>
      </c>
      <c r="B358" s="351"/>
      <c r="C358" s="76" t="str">
        <f t="shared" si="147"/>
        <v>x3</v>
      </c>
      <c r="D358" s="98" t="str">
        <f>A!C155</f>
        <v>Acorus gramineus Ogon</v>
      </c>
      <c r="E358" s="78"/>
      <c r="F358" s="78"/>
      <c r="G358" s="99" t="str">
        <f>A!N155</f>
        <v>golden gramineus</v>
      </c>
      <c r="H358" s="89" t="str">
        <f>A!Q155</f>
        <v>wonderful golden/green variegated foliage</v>
      </c>
      <c r="I358" s="69">
        <f>A!M155</f>
        <v>1</v>
      </c>
      <c r="J358" s="202">
        <f>A!P155</f>
        <v>0</v>
      </c>
      <c r="K358" s="83">
        <f>IF(A!G155="y",1,0)</f>
        <v>0</v>
      </c>
      <c r="L358" s="83">
        <f>IF(A!H155="y",1,0)</f>
        <v>0</v>
      </c>
      <c r="M358" s="84" t="str">
        <f>IF(A!F155="y","NEW","")</f>
        <v/>
      </c>
      <c r="N358" s="85">
        <f>A!I155</f>
        <v>0</v>
      </c>
      <c r="O358" s="290" t="str">
        <f>A!O155</f>
        <v>1,2</v>
      </c>
      <c r="P358" s="541">
        <f>A!K155</f>
        <v>0</v>
      </c>
      <c r="Q358" s="541">
        <f>A!E155</f>
        <v>0</v>
      </c>
      <c r="R358" s="541" t="s">
        <v>211</v>
      </c>
      <c r="S358" s="541">
        <f t="shared" si="148"/>
        <v>0</v>
      </c>
      <c r="T358" s="541" t="str">
        <f>A!R155</f>
        <v>x3</v>
      </c>
      <c r="U358" s="541" t="str">
        <f>A!S155</f>
        <v/>
      </c>
      <c r="V358" s="541">
        <f>A!T155</f>
        <v>0.125</v>
      </c>
      <c r="W358" s="541">
        <f t="shared" si="149"/>
        <v>0</v>
      </c>
      <c r="X358" s="541"/>
    </row>
    <row r="359" spans="1:24" ht="12" hidden="1" customHeight="1" x14ac:dyDescent="0.25">
      <c r="A359" s="121" t="str">
        <f>IF(S359=0,"",COUNTIF(A$23:A358,"&gt;0")+1)</f>
        <v/>
      </c>
      <c r="B359" s="351"/>
      <c r="C359" s="76" t="str">
        <f t="shared" si="147"/>
        <v>x3</v>
      </c>
      <c r="D359" s="98" t="str">
        <f>A!C156</f>
        <v>Acorus gramineus 'Variegatus'</v>
      </c>
      <c r="E359" s="78"/>
      <c r="F359" s="78"/>
      <c r="G359" s="99" t="str">
        <f>A!N156</f>
        <v>dwarf rush</v>
      </c>
      <c r="H359" s="89" t="str">
        <f>A!Q156</f>
        <v>evergreen green/cream variegated foliage</v>
      </c>
      <c r="I359" s="69">
        <f>A!M156</f>
        <v>2</v>
      </c>
      <c r="J359" s="202">
        <f>A!P156</f>
        <v>0</v>
      </c>
      <c r="K359" s="83">
        <f>IF(A!G156="y",1,0)</f>
        <v>0</v>
      </c>
      <c r="L359" s="83">
        <f>IF(A!H156="y",1,0)</f>
        <v>0</v>
      </c>
      <c r="M359" s="84" t="str">
        <f>IF(A!F156="y","NEW","")</f>
        <v/>
      </c>
      <c r="N359" s="85">
        <f>A!I156</f>
        <v>0</v>
      </c>
      <c r="O359" s="290" t="str">
        <f>A!O156</f>
        <v>1,2</v>
      </c>
      <c r="P359" s="541">
        <f>A!K156</f>
        <v>0</v>
      </c>
      <c r="Q359" s="541">
        <f>A!E156</f>
        <v>0</v>
      </c>
      <c r="R359" s="541" t="s">
        <v>211</v>
      </c>
      <c r="S359" s="541">
        <f t="shared" si="148"/>
        <v>0</v>
      </c>
      <c r="T359" s="541" t="str">
        <f>A!R156</f>
        <v>x3</v>
      </c>
      <c r="U359" s="541" t="str">
        <f>A!S156</f>
        <v/>
      </c>
      <c r="V359" s="541">
        <f>A!T156</f>
        <v>0.125</v>
      </c>
      <c r="W359" s="541">
        <f t="shared" si="149"/>
        <v>0</v>
      </c>
      <c r="X359" s="541"/>
    </row>
    <row r="360" spans="1:24" ht="12" customHeight="1" x14ac:dyDescent="0.25">
      <c r="A360" s="121" t="str">
        <f>IF(S360=0,"",COUNTIF(A$23:A359,"&gt;0")+1)</f>
        <v/>
      </c>
      <c r="B360" s="351"/>
      <c r="C360" s="76" t="str">
        <f t="shared" ref="C360" si="150">T360</f>
        <v>x3</v>
      </c>
      <c r="D360" s="98" t="str">
        <f>A!C157</f>
        <v xml:space="preserve">Alisma parviflora  </v>
      </c>
      <c r="E360" s="78"/>
      <c r="F360" s="78"/>
      <c r="G360" s="99" t="str">
        <f>A!N157</f>
        <v>American plantain</v>
      </c>
      <c r="H360" s="89" t="str">
        <f>A!Q157</f>
        <v>small dainty white flowers over rounded foliage</v>
      </c>
      <c r="I360" s="69">
        <f>A!M157</f>
        <v>0</v>
      </c>
      <c r="J360" s="202">
        <f>A!P157</f>
        <v>0</v>
      </c>
      <c r="K360" s="83">
        <f>IF(A!G157="y",1,0)</f>
        <v>1</v>
      </c>
      <c r="L360" s="83">
        <f>IF(A!H157="y",1,0)</f>
        <v>1</v>
      </c>
      <c r="M360" s="84" t="str">
        <f>IF(A!F157="y","NEW","")</f>
        <v/>
      </c>
      <c r="N360" s="85" t="str">
        <f>A!I157</f>
        <v>y</v>
      </c>
      <c r="O360" s="290" t="str">
        <f>A!O157</f>
        <v>1,2</v>
      </c>
      <c r="P360" s="541" t="str">
        <f>A!K157</f>
        <v>M</v>
      </c>
      <c r="Q360" s="541" t="str">
        <f>A!E157</f>
        <v>Y</v>
      </c>
      <c r="R360" s="541" t="s">
        <v>211</v>
      </c>
      <c r="S360" s="541">
        <f t="shared" ref="S360" si="151">B360</f>
        <v>0</v>
      </c>
      <c r="T360" s="541" t="str">
        <f>A!R157</f>
        <v>x3</v>
      </c>
      <c r="U360" s="541">
        <f>A!S157</f>
        <v>35</v>
      </c>
      <c r="V360" s="541">
        <f>A!T157</f>
        <v>0.125</v>
      </c>
      <c r="W360" s="541">
        <f t="shared" ref="W360" si="152">V360*B360</f>
        <v>0</v>
      </c>
      <c r="X360" s="541"/>
    </row>
    <row r="361" spans="1:24" ht="12" customHeight="1" x14ac:dyDescent="0.25">
      <c r="A361" s="121" t="str">
        <f>IF(S361=0,"",COUNTIF(A$23:A360,"&gt;0")+1)</f>
        <v/>
      </c>
      <c r="B361" s="351"/>
      <c r="C361" s="76" t="str">
        <f t="shared" si="147"/>
        <v>x3</v>
      </c>
      <c r="D361" s="98" t="str">
        <f>A!C158</f>
        <v>Alisma plantago</v>
      </c>
      <c r="E361" s="78"/>
      <c r="F361" s="78"/>
      <c r="G361" s="99" t="str">
        <f>A!N158</f>
        <v>water plantain</v>
      </c>
      <c r="H361" s="89" t="str">
        <f>A!Q158</f>
        <v>small dainty white flowers over ovate foliage</v>
      </c>
      <c r="I361" s="69">
        <f>A!M158</f>
        <v>1</v>
      </c>
      <c r="J361" s="202" t="str">
        <f>A!P158</f>
        <v>Yes</v>
      </c>
      <c r="K361" s="83">
        <f>IF(A!G158="y",1,0)</f>
        <v>1</v>
      </c>
      <c r="L361" s="83">
        <f>IF(A!H158="y",1,0)</f>
        <v>0</v>
      </c>
      <c r="M361" s="84" t="str">
        <f>IF(A!F158="y","NEW","")</f>
        <v/>
      </c>
      <c r="N361" s="85" t="str">
        <f>A!I158</f>
        <v>y</v>
      </c>
      <c r="O361" s="290" t="str">
        <f>A!O158</f>
        <v>1,2</v>
      </c>
      <c r="P361" s="541" t="str">
        <f>A!K158</f>
        <v>L</v>
      </c>
      <c r="Q361" s="541" t="str">
        <f>A!E158</f>
        <v>y</v>
      </c>
      <c r="R361" s="541" t="s">
        <v>211</v>
      </c>
      <c r="S361" s="541">
        <f t="shared" si="148"/>
        <v>0</v>
      </c>
      <c r="T361" s="541" t="str">
        <f>A!R158</f>
        <v>x3</v>
      </c>
      <c r="U361" s="541">
        <f>A!S158</f>
        <v>65</v>
      </c>
      <c r="V361" s="541">
        <f>A!T158</f>
        <v>0.125</v>
      </c>
      <c r="W361" s="541">
        <f t="shared" si="149"/>
        <v>0</v>
      </c>
      <c r="X361" s="541"/>
    </row>
    <row r="362" spans="1:24" ht="11.25" customHeight="1" x14ac:dyDescent="0.25">
      <c r="A362" s="121" t="str">
        <f>IF(S362=0,"",COUNTIF(A$23:A361,"&gt;0")+1)</f>
        <v/>
      </c>
      <c r="B362" s="351"/>
      <c r="C362" s="76" t="str">
        <f t="shared" si="147"/>
        <v>x3</v>
      </c>
      <c r="D362" s="98" t="str">
        <f>A!C159</f>
        <v>Anemopsis Californicum</v>
      </c>
      <c r="E362" s="78"/>
      <c r="F362" s="78"/>
      <c r="G362" s="99" t="str">
        <f>A!N159</f>
        <v>apache beads</v>
      </c>
      <c r="H362" s="89" t="str">
        <f>A!Q159</f>
        <v>name derived from seeds used in necklaces</v>
      </c>
      <c r="I362" s="69">
        <f>A!M159</f>
        <v>1</v>
      </c>
      <c r="J362" s="202">
        <f>A!P159</f>
        <v>0</v>
      </c>
      <c r="K362" s="83">
        <f>IF(A!G159="y",1,0)</f>
        <v>1</v>
      </c>
      <c r="L362" s="83">
        <f>IF(A!H159="y",1,0)</f>
        <v>0</v>
      </c>
      <c r="M362" s="84" t="str">
        <f>IF(A!F159="y","NEW","")</f>
        <v/>
      </c>
      <c r="N362" s="85">
        <f>A!I159</f>
        <v>0</v>
      </c>
      <c r="O362" s="290" t="str">
        <f>A!O159</f>
        <v>1,2</v>
      </c>
      <c r="P362" s="541" t="str">
        <f>A!K159</f>
        <v>S</v>
      </c>
      <c r="Q362" s="541" t="str">
        <f>A!E159</f>
        <v>Y</v>
      </c>
      <c r="R362" s="541" t="s">
        <v>211</v>
      </c>
      <c r="S362" s="541">
        <f t="shared" si="148"/>
        <v>0</v>
      </c>
      <c r="T362" s="541" t="str">
        <f>A!R159</f>
        <v>x3</v>
      </c>
      <c r="U362" s="541">
        <f>A!S159</f>
        <v>30</v>
      </c>
      <c r="V362" s="541">
        <f>A!T159</f>
        <v>0.125</v>
      </c>
      <c r="W362" s="541">
        <f t="shared" si="149"/>
        <v>0</v>
      </c>
      <c r="X362" s="541"/>
    </row>
    <row r="363" spans="1:24" ht="12" hidden="1" customHeight="1" x14ac:dyDescent="0.25">
      <c r="A363" s="121" t="str">
        <f>IF(S363=0,"",COUNTIF(A$23:A362,"&gt;0")+1)</f>
        <v/>
      </c>
      <c r="B363" s="351"/>
      <c r="C363" s="76" t="str">
        <f t="shared" si="147"/>
        <v>x3</v>
      </c>
      <c r="D363" s="98" t="str">
        <f>A!C160</f>
        <v>Arundo donax variegata</v>
      </c>
      <c r="E363" s="78"/>
      <c r="F363" s="78"/>
      <c r="G363" s="99" t="str">
        <f>A!N160</f>
        <v>giant variegated reed</v>
      </c>
      <c r="H363" s="89" t="str">
        <f>A!Q160</f>
        <v>large, arching, green/white striped foliage</v>
      </c>
      <c r="I363" s="69">
        <f>A!M160</f>
        <v>1</v>
      </c>
      <c r="J363" s="202">
        <f>A!P160</f>
        <v>0</v>
      </c>
      <c r="K363" s="83">
        <f>IF(A!G160="y",1,0)</f>
        <v>0</v>
      </c>
      <c r="L363" s="83">
        <f>IF(A!H160="y",1,0)</f>
        <v>0</v>
      </c>
      <c r="M363" s="84" t="str">
        <f>IF(A!F160="y","NEW","")</f>
        <v/>
      </c>
      <c r="N363" s="85">
        <f>A!I160</f>
        <v>0</v>
      </c>
      <c r="O363" s="290" t="str">
        <f>A!O160</f>
        <v>1,2,3</v>
      </c>
      <c r="P363" s="541">
        <f>A!K160</f>
        <v>0</v>
      </c>
      <c r="Q363" s="541">
        <f>A!E160</f>
        <v>0</v>
      </c>
      <c r="R363" s="541" t="s">
        <v>211</v>
      </c>
      <c r="S363" s="541">
        <f t="shared" si="148"/>
        <v>0</v>
      </c>
      <c r="T363" s="541" t="str">
        <f>A!R160</f>
        <v>x3</v>
      </c>
      <c r="U363" s="541" t="str">
        <f>A!S160</f>
        <v/>
      </c>
      <c r="V363" s="541">
        <f>A!T160</f>
        <v>0.125</v>
      </c>
      <c r="W363" s="541">
        <f t="shared" si="149"/>
        <v>0</v>
      </c>
      <c r="X363" s="541"/>
    </row>
    <row r="364" spans="1:24" ht="12" customHeight="1" x14ac:dyDescent="0.25">
      <c r="A364" s="121" t="str">
        <f>IF(S364=0,"",COUNTIF(A$23:A363,"&gt;0")+1)</f>
        <v/>
      </c>
      <c r="B364" s="351"/>
      <c r="C364" s="76" t="str">
        <f t="shared" si="147"/>
        <v>x3</v>
      </c>
      <c r="D364" s="98" t="str">
        <f>A!C161</f>
        <v>Butomus umbellatus</v>
      </c>
      <c r="E364" s="78"/>
      <c r="F364" s="78"/>
      <c r="G364" s="99" t="str">
        <f>A!N161</f>
        <v>flowering rush</v>
      </c>
      <c r="H364" s="89" t="str">
        <f>A!Q161</f>
        <v>dainty pink flowers over rush-like foliage</v>
      </c>
      <c r="I364" s="69">
        <f>A!M161</f>
        <v>1</v>
      </c>
      <c r="J364" s="202" t="str">
        <f>A!P161</f>
        <v>Yes</v>
      </c>
      <c r="K364" s="83">
        <f>IF(A!G161="y",1,0)</f>
        <v>1</v>
      </c>
      <c r="L364" s="83">
        <f>IF(A!H161="y",1,0)</f>
        <v>1</v>
      </c>
      <c r="M364" s="84" t="str">
        <f>IF(A!F161="y","NEW","")</f>
        <v/>
      </c>
      <c r="N364" s="85">
        <f>A!I161</f>
        <v>0</v>
      </c>
      <c r="O364" s="290" t="str">
        <f>A!O161</f>
        <v>2,3</v>
      </c>
      <c r="P364" s="541" t="str">
        <f>A!K161</f>
        <v>L</v>
      </c>
      <c r="Q364" s="541" t="str">
        <f>A!E161</f>
        <v>y</v>
      </c>
      <c r="R364" s="541" t="s">
        <v>211</v>
      </c>
      <c r="S364" s="541">
        <f t="shared" si="148"/>
        <v>0</v>
      </c>
      <c r="T364" s="541" t="str">
        <f>A!R161</f>
        <v>x3</v>
      </c>
      <c r="U364" s="541">
        <f>A!S161</f>
        <v>65</v>
      </c>
      <c r="V364" s="541">
        <f>A!T161</f>
        <v>0.125</v>
      </c>
      <c r="W364" s="541">
        <f t="shared" si="149"/>
        <v>0</v>
      </c>
      <c r="X364" s="541"/>
    </row>
    <row r="365" spans="1:24" ht="12" hidden="1" customHeight="1" x14ac:dyDescent="0.25">
      <c r="A365" s="121" t="str">
        <f>IF(S365=0,"",COUNTIF(A$23:A364,"&gt;0")+1)</f>
        <v/>
      </c>
      <c r="B365" s="351"/>
      <c r="C365" s="76" t="str">
        <f t="shared" si="147"/>
        <v>x3</v>
      </c>
      <c r="D365" s="98" t="str">
        <f>A!C162</f>
        <v>Calla palustris</v>
      </c>
      <c r="E365" s="78"/>
      <c r="F365" s="78"/>
      <c r="G365" s="99" t="str">
        <f>A!N162</f>
        <v>bog arum</v>
      </c>
      <c r="H365" s="89" t="str">
        <f>A!Q162</f>
        <v>white arum-like flowers followed by bright red berries</v>
      </c>
      <c r="I365" s="69">
        <f>A!M162</f>
        <v>1</v>
      </c>
      <c r="J365" s="202">
        <f>A!P162</f>
        <v>0</v>
      </c>
      <c r="K365" s="83">
        <f>IF(A!G162="y",1,0)</f>
        <v>0</v>
      </c>
      <c r="L365" s="83">
        <f>IF(A!H162="y",1,0)</f>
        <v>0</v>
      </c>
      <c r="M365" s="84" t="str">
        <f>IF(A!F162="y","NEW","")</f>
        <v/>
      </c>
      <c r="N365" s="85">
        <f>A!I162</f>
        <v>0</v>
      </c>
      <c r="O365" s="290" t="str">
        <f>A!O162</f>
        <v>1,2</v>
      </c>
      <c r="P365" s="541">
        <f>A!K162</f>
        <v>0</v>
      </c>
      <c r="Q365" s="541">
        <f>A!E162</f>
        <v>0</v>
      </c>
      <c r="R365" s="541" t="s">
        <v>211</v>
      </c>
      <c r="S365" s="541">
        <f t="shared" si="148"/>
        <v>0</v>
      </c>
      <c r="T365" s="541" t="str">
        <f>A!R162</f>
        <v>x3</v>
      </c>
      <c r="U365" s="541" t="str">
        <f>A!S162</f>
        <v/>
      </c>
      <c r="V365" s="541">
        <f>A!T162</f>
        <v>0.125</v>
      </c>
      <c r="W365" s="541">
        <f t="shared" si="149"/>
        <v>0</v>
      </c>
      <c r="X365" s="541"/>
    </row>
    <row r="366" spans="1:24" ht="11.25" customHeight="1" x14ac:dyDescent="0.25">
      <c r="A366" s="121" t="str">
        <f>IF(S366=0,"",COUNTIF(A$23:A365,"&gt;0")+1)</f>
        <v/>
      </c>
      <c r="B366" s="351"/>
      <c r="C366" s="76" t="str">
        <f t="shared" si="147"/>
        <v>x3</v>
      </c>
      <c r="D366" s="98" t="str">
        <f>A!C163</f>
        <v>Caltha palustris</v>
      </c>
      <c r="E366" s="78"/>
      <c r="F366" s="78"/>
      <c r="G366" s="99" t="str">
        <f>A!N163</f>
        <v>marsh marigold</v>
      </c>
      <c r="H366" s="89" t="str">
        <f>A!Q163</f>
        <v>native marigold a must have for any pond</v>
      </c>
      <c r="I366" s="69">
        <f>A!M163</f>
        <v>1</v>
      </c>
      <c r="J366" s="202" t="str">
        <f>A!P163</f>
        <v>Yes</v>
      </c>
      <c r="K366" s="83">
        <f>IF(A!G163="y",1,0)</f>
        <v>1</v>
      </c>
      <c r="L366" s="83">
        <f>IF(A!H163="y",1,0)</f>
        <v>0</v>
      </c>
      <c r="M366" s="84" t="str">
        <f>IF(A!F163="y","NEW","")</f>
        <v/>
      </c>
      <c r="N366" s="85" t="str">
        <f>A!I163</f>
        <v>y</v>
      </c>
      <c r="O366" s="290" t="str">
        <f>A!O163</f>
        <v>1,2</v>
      </c>
      <c r="P366" s="541" t="str">
        <f>A!K163</f>
        <v>M</v>
      </c>
      <c r="Q366" s="541" t="str">
        <f>A!E163</f>
        <v>y</v>
      </c>
      <c r="R366" s="541" t="s">
        <v>211</v>
      </c>
      <c r="S366" s="541">
        <f t="shared" si="148"/>
        <v>0</v>
      </c>
      <c r="T366" s="541" t="str">
        <f>A!R163</f>
        <v>x3</v>
      </c>
      <c r="U366" s="541">
        <f>A!S163</f>
        <v>50</v>
      </c>
      <c r="V366" s="541">
        <f>A!T163</f>
        <v>0.125</v>
      </c>
      <c r="W366" s="541">
        <f t="shared" si="149"/>
        <v>0</v>
      </c>
      <c r="X366" s="541"/>
    </row>
    <row r="367" spans="1:24" ht="12" hidden="1" customHeight="1" x14ac:dyDescent="0.25">
      <c r="A367" s="121" t="str">
        <f>IF(S367=0,"",COUNTIF(A$23:A366,"&gt;0")+1)</f>
        <v/>
      </c>
      <c r="B367" s="351"/>
      <c r="C367" s="76" t="str">
        <f t="shared" si="147"/>
        <v>x3</v>
      </c>
      <c r="D367" s="98" t="str">
        <f>A!C164</f>
        <v>Caltha palustris Alba</v>
      </c>
      <c r="E367" s="78"/>
      <c r="F367" s="78"/>
      <c r="G367" s="99" t="str">
        <f>A!N164</f>
        <v>himalayan marigold</v>
      </c>
      <c r="H367" s="89" t="str">
        <f>A!Q164</f>
        <v>white flowering form of our native marsh marigold</v>
      </c>
      <c r="I367" s="69">
        <f>A!M164</f>
        <v>1</v>
      </c>
      <c r="J367" s="202">
        <f>A!P164</f>
        <v>0</v>
      </c>
      <c r="K367" s="83">
        <f>IF(A!G164="y",1,0)</f>
        <v>0</v>
      </c>
      <c r="L367" s="83">
        <f>IF(A!H164="y",1,0)</f>
        <v>0</v>
      </c>
      <c r="M367" s="84" t="str">
        <f>IF(A!F164="y","NEW","")</f>
        <v/>
      </c>
      <c r="N367" s="85">
        <f>A!I164</f>
        <v>0</v>
      </c>
      <c r="O367" s="290" t="str">
        <f>A!O164</f>
        <v>1,2</v>
      </c>
      <c r="P367" s="541">
        <f>A!K164</f>
        <v>0</v>
      </c>
      <c r="Q367" s="541">
        <f>A!E164</f>
        <v>0</v>
      </c>
      <c r="R367" s="541" t="s">
        <v>211</v>
      </c>
      <c r="S367" s="541">
        <f t="shared" si="148"/>
        <v>0</v>
      </c>
      <c r="T367" s="541" t="str">
        <f>A!R164</f>
        <v>x3</v>
      </c>
      <c r="U367" s="541" t="str">
        <f>A!S164</f>
        <v/>
      </c>
      <c r="V367" s="541">
        <f>A!T164</f>
        <v>0.125</v>
      </c>
      <c r="W367" s="541">
        <f t="shared" si="149"/>
        <v>0</v>
      </c>
      <c r="X367" s="541"/>
    </row>
    <row r="368" spans="1:24" ht="12" hidden="1" customHeight="1" x14ac:dyDescent="0.25">
      <c r="A368" s="121" t="str">
        <f>IF(S368=0,"",COUNTIF(A$23:A367,"&gt;0")+1)</f>
        <v/>
      </c>
      <c r="B368" s="351"/>
      <c r="C368" s="76" t="str">
        <f t="shared" si="147"/>
        <v>x3</v>
      </c>
      <c r="D368" s="98" t="str">
        <f>A!C165</f>
        <v>Caltha palustris 'Flore Pleno'</v>
      </c>
      <c r="E368" s="78"/>
      <c r="F368" s="78"/>
      <c r="G368" s="99" t="str">
        <f>A!N165</f>
        <v>double marsh marigold</v>
      </c>
      <c r="H368" s="89" t="str">
        <f>A!Q165</f>
        <v>beautiful double yellow flowered marigold</v>
      </c>
      <c r="I368" s="69">
        <f>A!M165</f>
        <v>1</v>
      </c>
      <c r="J368" s="202">
        <f>A!P165</f>
        <v>0</v>
      </c>
      <c r="K368" s="83">
        <f>IF(A!G165="y",1,0)</f>
        <v>0</v>
      </c>
      <c r="L368" s="83">
        <f>IF(A!H165="y",1,0)</f>
        <v>0</v>
      </c>
      <c r="M368" s="84" t="str">
        <f>IF(A!F165="y","NEW","")</f>
        <v/>
      </c>
      <c r="N368" s="85">
        <f>A!I165</f>
        <v>0</v>
      </c>
      <c r="O368" s="290" t="str">
        <f>A!O165</f>
        <v>1,2</v>
      </c>
      <c r="P368" s="541">
        <f>A!K165</f>
        <v>0</v>
      </c>
      <c r="Q368" s="541">
        <f>A!E165</f>
        <v>0</v>
      </c>
      <c r="R368" s="541" t="s">
        <v>211</v>
      </c>
      <c r="S368" s="541">
        <f t="shared" si="148"/>
        <v>0</v>
      </c>
      <c r="T368" s="541" t="str">
        <f>A!R165</f>
        <v>x3</v>
      </c>
      <c r="U368" s="541" t="str">
        <f>A!S165</f>
        <v/>
      </c>
      <c r="V368" s="541">
        <f>A!T165</f>
        <v>0.125</v>
      </c>
      <c r="W368" s="541">
        <f t="shared" si="149"/>
        <v>0</v>
      </c>
      <c r="X368" s="541"/>
    </row>
    <row r="369" spans="1:24" ht="12" hidden="1" customHeight="1" x14ac:dyDescent="0.25">
      <c r="A369" s="121" t="str">
        <f>IF(S369=0,"",COUNTIF(A$23:A368,"&gt;0")+1)</f>
        <v/>
      </c>
      <c r="B369" s="351"/>
      <c r="C369" s="76" t="str">
        <f t="shared" si="147"/>
        <v>x3</v>
      </c>
      <c r="D369" s="98" t="str">
        <f>A!C166</f>
        <v>Caltha polypetala</v>
      </c>
      <c r="E369" s="78"/>
      <c r="F369" s="78"/>
      <c r="G369" s="99" t="str">
        <f>A!N166</f>
        <v>giant kingcup</v>
      </c>
      <c r="H369" s="89" t="str">
        <f>A!Q166</f>
        <v>the largest of the marigolds, a real specimen</v>
      </c>
      <c r="I369" s="69">
        <f>A!M166</f>
        <v>1</v>
      </c>
      <c r="J369" s="202">
        <f>A!P166</f>
        <v>0</v>
      </c>
      <c r="K369" s="83">
        <f>IF(A!G166="y",1,0)</f>
        <v>0</v>
      </c>
      <c r="L369" s="83">
        <f>IF(A!H166="y",1,0)</f>
        <v>0</v>
      </c>
      <c r="M369" s="84" t="str">
        <f>IF(A!F166="y","NEW","")</f>
        <v/>
      </c>
      <c r="N369" s="85">
        <f>A!I166</f>
        <v>0</v>
      </c>
      <c r="O369" s="290" t="str">
        <f>A!O166</f>
        <v>1,2</v>
      </c>
      <c r="P369" s="541">
        <f>A!K166</f>
        <v>0</v>
      </c>
      <c r="Q369" s="541">
        <f>A!E166</f>
        <v>0</v>
      </c>
      <c r="R369" s="541" t="s">
        <v>211</v>
      </c>
      <c r="S369" s="541">
        <f t="shared" si="148"/>
        <v>0</v>
      </c>
      <c r="T369" s="541" t="str">
        <f>A!R166</f>
        <v>x3</v>
      </c>
      <c r="U369" s="541" t="str">
        <f>A!S166</f>
        <v/>
      </c>
      <c r="V369" s="541">
        <f>A!T166</f>
        <v>0.125</v>
      </c>
      <c r="W369" s="541">
        <f t="shared" si="149"/>
        <v>0</v>
      </c>
      <c r="X369" s="541"/>
    </row>
    <row r="370" spans="1:24" ht="12" hidden="1" customHeight="1" x14ac:dyDescent="0.25">
      <c r="A370" s="121" t="str">
        <f>IF(S370=0,"",COUNTIF(A$23:A369,"&gt;0")+1)</f>
        <v/>
      </c>
      <c r="B370" s="351"/>
      <c r="C370" s="76" t="str">
        <f t="shared" si="147"/>
        <v>x3</v>
      </c>
      <c r="D370" s="98" t="str">
        <f>A!C167</f>
        <v>Carex acutiformis</v>
      </c>
      <c r="E370" s="78"/>
      <c r="F370" s="78"/>
      <c r="G370" s="99" t="str">
        <f>A!N167</f>
        <v>lesser pond sedge</v>
      </c>
      <c r="H370" s="89" t="str">
        <f>A!Q167</f>
        <v>tall, indigenous sedge, unusual brown flower spikes</v>
      </c>
      <c r="I370" s="69">
        <f>A!M167</f>
        <v>2</v>
      </c>
      <c r="J370" s="202">
        <f>A!P167</f>
        <v>0</v>
      </c>
      <c r="K370" s="83">
        <f>IF(A!G167="y",1,0)</f>
        <v>0</v>
      </c>
      <c r="L370" s="83">
        <f>IF(A!H167="y",1,0)</f>
        <v>0</v>
      </c>
      <c r="M370" s="84" t="str">
        <f>IF(A!F167="y","NEW","")</f>
        <v/>
      </c>
      <c r="N370" s="85">
        <f>A!I167</f>
        <v>0</v>
      </c>
      <c r="O370" s="290" t="str">
        <f>A!O167</f>
        <v>1,2</v>
      </c>
      <c r="P370" s="541">
        <f>A!K167</f>
        <v>0</v>
      </c>
      <c r="Q370" s="541">
        <f>A!E167</f>
        <v>0</v>
      </c>
      <c r="R370" s="541" t="s">
        <v>211</v>
      </c>
      <c r="S370" s="541">
        <f t="shared" si="148"/>
        <v>0</v>
      </c>
      <c r="T370" s="541" t="str">
        <f>A!R167</f>
        <v>x3</v>
      </c>
      <c r="U370" s="541" t="str">
        <f>A!S167</f>
        <v/>
      </c>
      <c r="V370" s="541">
        <f>A!T167</f>
        <v>0.125</v>
      </c>
      <c r="W370" s="541">
        <f t="shared" si="149"/>
        <v>0</v>
      </c>
      <c r="X370" s="541"/>
    </row>
    <row r="371" spans="1:24" ht="12" hidden="1" customHeight="1" x14ac:dyDescent="0.25">
      <c r="A371" s="121" t="str">
        <f>IF(S371=0,"",COUNTIF(A$23:A370,"&gt;0")+1)</f>
        <v/>
      </c>
      <c r="B371" s="351"/>
      <c r="C371" s="76" t="str">
        <f t="shared" si="147"/>
        <v>x3</v>
      </c>
      <c r="D371" s="98" t="str">
        <f>A!C168</f>
        <v>Carex Bowles Golden</v>
      </c>
      <c r="E371" s="78"/>
      <c r="F371" s="78"/>
      <c r="G371" s="99" t="str">
        <f>A!N168</f>
        <v>bowles sedge</v>
      </c>
      <c r="H371" s="89" t="str">
        <f>A!Q168</f>
        <v>wonderful, vivid golden foliage, with dark flower heads</v>
      </c>
      <c r="I371" s="69">
        <f>A!M168</f>
        <v>2</v>
      </c>
      <c r="J371" s="202">
        <f>A!P168</f>
        <v>0</v>
      </c>
      <c r="K371" s="83">
        <f>IF(A!G168="y",1,0)</f>
        <v>0</v>
      </c>
      <c r="L371" s="83">
        <f>IF(A!H168="y",1,0)</f>
        <v>0</v>
      </c>
      <c r="M371" s="84" t="str">
        <f>IF(A!F168="y","NEW","")</f>
        <v/>
      </c>
      <c r="N371" s="85">
        <f>A!I168</f>
        <v>0</v>
      </c>
      <c r="O371" s="290" t="str">
        <f>A!O168</f>
        <v>1,2</v>
      </c>
      <c r="P371" s="541">
        <f>A!K168</f>
        <v>0</v>
      </c>
      <c r="Q371" s="541">
        <f>A!E168</f>
        <v>0</v>
      </c>
      <c r="R371" s="541" t="s">
        <v>211</v>
      </c>
      <c r="S371" s="541">
        <f t="shared" si="148"/>
        <v>0</v>
      </c>
      <c r="T371" s="541" t="str">
        <f>A!R168</f>
        <v>x3</v>
      </c>
      <c r="U371" s="541" t="str">
        <f>A!S168</f>
        <v/>
      </c>
      <c r="V371" s="541">
        <f>A!T168</f>
        <v>0.125</v>
      </c>
      <c r="W371" s="541">
        <f t="shared" si="149"/>
        <v>0</v>
      </c>
      <c r="X371" s="541"/>
    </row>
    <row r="372" spans="1:24" ht="12" hidden="1" customHeight="1" x14ac:dyDescent="0.25">
      <c r="A372" s="121" t="str">
        <f>IF(S372=0,"",COUNTIF(A$23:A371,"&gt;0")+1)</f>
        <v/>
      </c>
      <c r="B372" s="351"/>
      <c r="C372" s="76" t="str">
        <f t="shared" si="147"/>
        <v>x3</v>
      </c>
      <c r="D372" s="98" t="str">
        <f>A!C169</f>
        <v>Carex muskingumensis</v>
      </c>
      <c r="E372" s="78"/>
      <c r="F372" s="78"/>
      <c r="G372" s="99" t="str">
        <f>A!N169</f>
        <v>musk sedge</v>
      </c>
      <c r="H372" s="89" t="str">
        <f>A!Q169</f>
        <v>feathery bright green foliage</v>
      </c>
      <c r="I372" s="69">
        <f>A!M169</f>
        <v>2</v>
      </c>
      <c r="J372" s="202">
        <f>A!P169</f>
        <v>0</v>
      </c>
      <c r="K372" s="83">
        <f>IF(A!G169="y",1,0)</f>
        <v>0</v>
      </c>
      <c r="L372" s="83">
        <f>IF(A!H169="y",1,0)</f>
        <v>0</v>
      </c>
      <c r="M372" s="84" t="str">
        <f>IF(A!F169="y","NEW","")</f>
        <v/>
      </c>
      <c r="N372" s="85">
        <f>A!I169</f>
        <v>0</v>
      </c>
      <c r="O372" s="290">
        <f>A!O169</f>
        <v>2</v>
      </c>
      <c r="P372" s="541">
        <f>A!K169</f>
        <v>0</v>
      </c>
      <c r="Q372" s="541">
        <f>A!E169</f>
        <v>0</v>
      </c>
      <c r="R372" s="541" t="s">
        <v>211</v>
      </c>
      <c r="S372" s="541">
        <f t="shared" si="148"/>
        <v>0</v>
      </c>
      <c r="T372" s="541" t="str">
        <f>A!R169</f>
        <v>x3</v>
      </c>
      <c r="U372" s="541" t="str">
        <f>A!S169</f>
        <v/>
      </c>
      <c r="V372" s="541">
        <f>A!T169</f>
        <v>0.125</v>
      </c>
      <c r="W372" s="541">
        <f t="shared" si="149"/>
        <v>0</v>
      </c>
      <c r="X372" s="541"/>
    </row>
    <row r="373" spans="1:24" ht="12" hidden="1" customHeight="1" x14ac:dyDescent="0.25">
      <c r="A373" s="121" t="str">
        <f>IF(S373=0,"",COUNTIF(A$23:A372,"&gt;0")+1)</f>
        <v/>
      </c>
      <c r="B373" s="351"/>
      <c r="C373" s="76" t="str">
        <f t="shared" si="147"/>
        <v>x3</v>
      </c>
      <c r="D373" s="98" t="str">
        <f>A!C170</f>
        <v xml:space="preserve">Carex pendula </v>
      </c>
      <c r="E373" s="78"/>
      <c r="F373" s="78"/>
      <c r="G373" s="99" t="str">
        <f>A!N170</f>
        <v>pendulous sedge</v>
      </c>
      <c r="H373" s="89" t="str">
        <f>A!Q170</f>
        <v>native sedge, drooping catkin-like flowers</v>
      </c>
      <c r="I373" s="69">
        <f>A!M170</f>
        <v>3</v>
      </c>
      <c r="J373" s="202">
        <f>A!P170</f>
        <v>0</v>
      </c>
      <c r="K373" s="83">
        <f>IF(A!G170="y",1,0)</f>
        <v>0</v>
      </c>
      <c r="L373" s="83">
        <f>IF(A!H170="y",1,0)</f>
        <v>0</v>
      </c>
      <c r="M373" s="84" t="str">
        <f>IF(A!F170="y","NEW","")</f>
        <v/>
      </c>
      <c r="N373" s="85">
        <f>A!I170</f>
        <v>0</v>
      </c>
      <c r="O373" s="290" t="str">
        <f>A!O170</f>
        <v>1,2</v>
      </c>
      <c r="P373" s="541">
        <f>A!K170</f>
        <v>0</v>
      </c>
      <c r="Q373" s="541">
        <f>A!E170</f>
        <v>0</v>
      </c>
      <c r="R373" s="541" t="s">
        <v>211</v>
      </c>
      <c r="S373" s="541">
        <f t="shared" si="148"/>
        <v>0</v>
      </c>
      <c r="T373" s="541" t="str">
        <f>A!R170</f>
        <v>x3</v>
      </c>
      <c r="U373" s="541" t="str">
        <f>A!S170</f>
        <v/>
      </c>
      <c r="V373" s="541">
        <f>A!T170</f>
        <v>0.125</v>
      </c>
      <c r="W373" s="541">
        <f t="shared" si="149"/>
        <v>0</v>
      </c>
      <c r="X373" s="541"/>
    </row>
    <row r="374" spans="1:24" ht="12" hidden="1" customHeight="1" x14ac:dyDescent="0.25">
      <c r="A374" s="121" t="str">
        <f>IF(S374=0,"",COUNTIF(A$23:A373,"&gt;0")+1)</f>
        <v/>
      </c>
      <c r="B374" s="344"/>
      <c r="C374" s="76" t="str">
        <f t="shared" si="147"/>
        <v>x3</v>
      </c>
      <c r="D374" s="98" t="str">
        <f>A!C171</f>
        <v>Carex panicea</v>
      </c>
      <c r="E374" s="109"/>
      <c r="F374" s="109"/>
      <c r="G374" s="99" t="str">
        <f>A!N171</f>
        <v>carnation grass</v>
      </c>
      <c r="H374" s="89" t="str">
        <f>A!Q171</f>
        <v>native sedge, bluish slender leaves, compact</v>
      </c>
      <c r="I374" s="69">
        <f>A!M171</f>
        <v>2</v>
      </c>
      <c r="J374" s="202" t="str">
        <f>A!P171</f>
        <v>Yes</v>
      </c>
      <c r="K374" s="83">
        <f>IF(A!G171="y",1,0)</f>
        <v>0</v>
      </c>
      <c r="L374" s="83">
        <f>IF(A!H171="y",1,0)</f>
        <v>0</v>
      </c>
      <c r="M374" s="84" t="str">
        <f>IF(A!F171="y","NEW","")</f>
        <v/>
      </c>
      <c r="N374" s="85">
        <f>A!I171</f>
        <v>0</v>
      </c>
      <c r="O374" s="290" t="str">
        <f>A!O171</f>
        <v>1,2</v>
      </c>
      <c r="P374" s="541">
        <f>A!K171</f>
        <v>0</v>
      </c>
      <c r="Q374" s="541">
        <f>A!E171</f>
        <v>0</v>
      </c>
      <c r="R374" s="541" t="s">
        <v>211</v>
      </c>
      <c r="S374" s="541">
        <f t="shared" si="148"/>
        <v>0</v>
      </c>
      <c r="T374" s="541" t="str">
        <f>A!R171</f>
        <v>x3</v>
      </c>
      <c r="U374" s="541" t="str">
        <f>A!S171</f>
        <v/>
      </c>
      <c r="V374" s="541">
        <f>A!T171</f>
        <v>0.125</v>
      </c>
      <c r="W374" s="541">
        <f t="shared" si="149"/>
        <v>0</v>
      </c>
      <c r="X374" s="541"/>
    </row>
    <row r="375" spans="1:24" ht="12" customHeight="1" x14ac:dyDescent="0.25">
      <c r="A375" s="121" t="str">
        <f>IF(S375=0,"",COUNTIF(A$23:A374,"&gt;0")+1)</f>
        <v/>
      </c>
      <c r="B375" s="344"/>
      <c r="C375" s="76" t="str">
        <f t="shared" si="147"/>
        <v>x3</v>
      </c>
      <c r="D375" s="98" t="str">
        <f>A!C172</f>
        <v>Cotula coronopifolia</v>
      </c>
      <c r="E375" s="109"/>
      <c r="F375" s="109"/>
      <c r="G375" s="99" t="str">
        <f>A!N172</f>
        <v>golden buttons</v>
      </c>
      <c r="H375" s="89" t="str">
        <f>A!Q172</f>
        <v xml:space="preserve">an introduced aromatic, with golden yellow flowers </v>
      </c>
      <c r="I375" s="69">
        <f>A!M172</f>
        <v>1</v>
      </c>
      <c r="J375" s="202">
        <f>A!P172</f>
        <v>0</v>
      </c>
      <c r="K375" s="83">
        <f>IF(A!G172="y",1,0)</f>
        <v>1</v>
      </c>
      <c r="L375" s="83">
        <f>IF(A!H172="y",1,0)</f>
        <v>0</v>
      </c>
      <c r="M375" s="84" t="str">
        <f>IF(A!F172="y","NEW","")</f>
        <v>NEW</v>
      </c>
      <c r="N375" s="85">
        <f>A!I172</f>
        <v>0</v>
      </c>
      <c r="O375" s="290" t="str">
        <f>A!O172</f>
        <v>1,2</v>
      </c>
      <c r="P375" s="541" t="str">
        <f>A!K172</f>
        <v>s</v>
      </c>
      <c r="Q375" s="541" t="str">
        <f>A!E172</f>
        <v>y</v>
      </c>
      <c r="R375" s="541" t="s">
        <v>211</v>
      </c>
      <c r="S375" s="541">
        <f t="shared" si="148"/>
        <v>0</v>
      </c>
      <c r="T375" s="541" t="str">
        <f>A!R172</f>
        <v>x3</v>
      </c>
      <c r="U375" s="541">
        <f>A!S172</f>
        <v>30</v>
      </c>
      <c r="V375" s="541">
        <f>A!T172</f>
        <v>0.125</v>
      </c>
      <c r="W375" s="541">
        <f t="shared" si="149"/>
        <v>0</v>
      </c>
      <c r="X375" s="541"/>
    </row>
    <row r="376" spans="1:24" ht="12" customHeight="1" x14ac:dyDescent="0.25">
      <c r="A376" s="121" t="str">
        <f>IF(S376=0,"",COUNTIF(A$23:A375,"&gt;0")+1)</f>
        <v/>
      </c>
      <c r="B376" s="344"/>
      <c r="C376" s="76" t="str">
        <f t="shared" si="147"/>
        <v>x3</v>
      </c>
      <c r="D376" s="98" t="str">
        <f>A!C173</f>
        <v>Cyperus alternifolius</v>
      </c>
      <c r="E376" s="109"/>
      <c r="F376" s="109"/>
      <c r="G376" s="99" t="str">
        <f>A!N173</f>
        <v>umbrella sedge</v>
      </c>
      <c r="H376" s="89" t="str">
        <f>A!Q173</f>
        <v>wonderful, architectural umbrella-like bracts</v>
      </c>
      <c r="I376" s="69">
        <f>A!M173</f>
        <v>1</v>
      </c>
      <c r="J376" s="202">
        <f>A!P173</f>
        <v>0</v>
      </c>
      <c r="K376" s="83">
        <f>IF(A!G173="y",1,0)</f>
        <v>1</v>
      </c>
      <c r="L376" s="83">
        <f>IF(A!H173="y",1,0)</f>
        <v>1</v>
      </c>
      <c r="M376" s="84" t="str">
        <f>IF(A!F173="y","NEW","")</f>
        <v/>
      </c>
      <c r="N376" s="85" t="str">
        <f>A!I173</f>
        <v>y</v>
      </c>
      <c r="O376" s="290" t="str">
        <f>A!O173</f>
        <v>2,3</v>
      </c>
      <c r="P376" s="541">
        <f>A!K173</f>
        <v>0</v>
      </c>
      <c r="Q376" s="541" t="str">
        <f>A!E173</f>
        <v>y</v>
      </c>
      <c r="R376" s="541" t="s">
        <v>211</v>
      </c>
      <c r="S376" s="541">
        <f t="shared" si="148"/>
        <v>0</v>
      </c>
      <c r="T376" s="541" t="str">
        <f>A!R173</f>
        <v>x3</v>
      </c>
      <c r="U376" s="541" t="str">
        <f>A!S173</f>
        <v/>
      </c>
      <c r="V376" s="541">
        <f>A!T173</f>
        <v>0.125</v>
      </c>
      <c r="W376" s="541">
        <f t="shared" si="149"/>
        <v>0</v>
      </c>
      <c r="X376" s="541"/>
    </row>
    <row r="377" spans="1:24" ht="11.25" customHeight="1" x14ac:dyDescent="0.25">
      <c r="A377" s="121" t="str">
        <f>IF(S377=0,"",COUNTIF(A$23:A376,"&gt;0")+1)</f>
        <v/>
      </c>
      <c r="B377" s="344"/>
      <c r="C377" s="76" t="str">
        <f t="shared" ref="C377" si="153">T377</f>
        <v>x3</v>
      </c>
      <c r="D377" s="98" t="str">
        <f>A!C174</f>
        <v>Cyperus Glaber</v>
      </c>
      <c r="E377" s="109"/>
      <c r="F377" s="109"/>
      <c r="G377" s="99" t="str">
        <f>A!N174</f>
        <v>flat sedge</v>
      </c>
      <c r="H377" s="89" t="str">
        <f>A!Q174</f>
        <v>hardy member of the sedge family, similar to alternifolius</v>
      </c>
      <c r="I377" s="69">
        <f>A!M174</f>
        <v>2</v>
      </c>
      <c r="J377" s="202">
        <f>A!P174</f>
        <v>0</v>
      </c>
      <c r="K377" s="83">
        <f>IF(A!G174="y",1,0)</f>
        <v>1</v>
      </c>
      <c r="L377" s="83">
        <f>IF(A!H174="y",1,0)</f>
        <v>0</v>
      </c>
      <c r="M377" s="84" t="str">
        <f>IF(A!F174="y","NEW","")</f>
        <v/>
      </c>
      <c r="N377" s="85">
        <f>A!I174</f>
        <v>0</v>
      </c>
      <c r="O377" s="290" t="str">
        <f>A!O174</f>
        <v>2,3</v>
      </c>
      <c r="P377" s="541" t="str">
        <f>A!K174</f>
        <v>M</v>
      </c>
      <c r="Q377" s="541" t="str">
        <f>A!E174</f>
        <v>y</v>
      </c>
      <c r="R377" s="541" t="s">
        <v>211</v>
      </c>
      <c r="S377" s="541">
        <f t="shared" ref="S377" si="154">B377</f>
        <v>0</v>
      </c>
      <c r="T377" s="541" t="str">
        <f>A!R174</f>
        <v>x3</v>
      </c>
      <c r="U377" s="541">
        <f>A!S174</f>
        <v>50</v>
      </c>
      <c r="V377" s="541">
        <f>A!T174</f>
        <v>0.125</v>
      </c>
      <c r="W377" s="541">
        <f t="shared" si="149"/>
        <v>0</v>
      </c>
      <c r="X377" s="541"/>
    </row>
    <row r="378" spans="1:24" ht="12" customHeight="1" x14ac:dyDescent="0.25">
      <c r="A378" s="121" t="str">
        <f>IF(S378=0,"",COUNTIF(A$23:A377,"&gt;0")+1)</f>
        <v/>
      </c>
      <c r="B378" s="344"/>
      <c r="C378" s="76" t="str">
        <f t="shared" si="147"/>
        <v>x3</v>
      </c>
      <c r="D378" s="98" t="str">
        <f>A!C175</f>
        <v>Cyperus papyrus</v>
      </c>
      <c r="E378" s="760" t="s">
        <v>1400</v>
      </c>
      <c r="F378" s="109"/>
      <c r="G378" s="99" t="str">
        <f>A!N175</f>
        <v>paper reed</v>
      </c>
      <c r="H378" s="89" t="str">
        <f>A!Q175</f>
        <v>unusual mopheads atop slender green foliage</v>
      </c>
      <c r="I378" s="69">
        <f>A!M175</f>
        <v>1</v>
      </c>
      <c r="J378" s="202">
        <f>A!P175</f>
        <v>0</v>
      </c>
      <c r="K378" s="83">
        <f>IF(A!G175="y",1,0)</f>
        <v>1</v>
      </c>
      <c r="L378" s="83">
        <f>IF(A!H175="y",1,0)</f>
        <v>1</v>
      </c>
      <c r="M378" s="84" t="str">
        <f>IF(A!F175="y","NEW","")</f>
        <v/>
      </c>
      <c r="N378" s="85" t="str">
        <f>A!I175</f>
        <v>y</v>
      </c>
      <c r="O378" s="290" t="str">
        <f>A!O175</f>
        <v>2,3</v>
      </c>
      <c r="P378" s="541" t="str">
        <f>A!K175</f>
        <v>M</v>
      </c>
      <c r="Q378" s="541" t="str">
        <f>A!E175</f>
        <v>y</v>
      </c>
      <c r="R378" s="541" t="s">
        <v>211</v>
      </c>
      <c r="S378" s="541">
        <f t="shared" si="148"/>
        <v>0</v>
      </c>
      <c r="T378" s="541" t="str">
        <f>A!R175</f>
        <v>x3</v>
      </c>
      <c r="U378" s="541">
        <f>A!S175</f>
        <v>50</v>
      </c>
      <c r="V378" s="541">
        <f>A!T175</f>
        <v>0.125</v>
      </c>
      <c r="W378" s="541">
        <f t="shared" si="149"/>
        <v>0</v>
      </c>
      <c r="X378" s="541"/>
    </row>
    <row r="379" spans="1:24" ht="11.25" customHeight="1" x14ac:dyDescent="0.25">
      <c r="A379" s="121" t="str">
        <f>IF(S379=0,"",COUNTIF(A$23:A378,"&gt;0")+1)</f>
        <v/>
      </c>
      <c r="B379" s="344"/>
      <c r="C379" s="76" t="str">
        <f t="shared" si="147"/>
        <v>x3</v>
      </c>
      <c r="D379" s="98" t="str">
        <f>A!C176</f>
        <v>Equisetum japonicum</v>
      </c>
      <c r="E379" s="109"/>
      <c r="F379" s="109"/>
      <c r="G379" s="99" t="str">
        <f>A!N176</f>
        <v>barred horsetail</v>
      </c>
      <c r="H379" s="89" t="str">
        <f>A!Q176</f>
        <v>striking must-have for all ponds, evergreen</v>
      </c>
      <c r="I379" s="69">
        <f>A!M176</f>
        <v>1</v>
      </c>
      <c r="J379" s="202">
        <f>A!P176</f>
        <v>0</v>
      </c>
      <c r="K379" s="83">
        <f>IF(A!G176="y",1,0)</f>
        <v>1</v>
      </c>
      <c r="L379" s="83">
        <f>IF(A!H176="y",1,0)</f>
        <v>1</v>
      </c>
      <c r="M379" s="84" t="str">
        <f>IF(A!F176="y","NEW","")</f>
        <v/>
      </c>
      <c r="N379" s="85">
        <f>A!I176</f>
        <v>0</v>
      </c>
      <c r="O379" s="290" t="str">
        <f>A!O176</f>
        <v>1,2,3</v>
      </c>
      <c r="P379" s="541" t="str">
        <f>A!K176</f>
        <v>L</v>
      </c>
      <c r="Q379" s="541" t="str">
        <f>A!E176</f>
        <v>y</v>
      </c>
      <c r="R379" s="541" t="s">
        <v>211</v>
      </c>
      <c r="S379" s="541">
        <f t="shared" si="148"/>
        <v>0</v>
      </c>
      <c r="T379" s="541" t="str">
        <f>A!R176</f>
        <v>x3</v>
      </c>
      <c r="U379" s="541">
        <f>A!S176</f>
        <v>65</v>
      </c>
      <c r="V379" s="541">
        <f>A!T176</f>
        <v>0.125</v>
      </c>
      <c r="W379" s="541">
        <f>V379*B379</f>
        <v>0</v>
      </c>
      <c r="X379" s="541"/>
    </row>
    <row r="380" spans="1:24" ht="11.25" customHeight="1" x14ac:dyDescent="0.25">
      <c r="A380" s="121" t="str">
        <f>IF(S380=0,"",COUNTIF(A$23:A379,"&gt;0")+1)</f>
        <v/>
      </c>
      <c r="B380" s="344"/>
      <c r="C380" s="76" t="str">
        <f t="shared" si="147"/>
        <v>x3</v>
      </c>
      <c r="D380" s="98" t="str">
        <f>A!C177</f>
        <v>Equisetum scipoides</v>
      </c>
      <c r="E380" s="109"/>
      <c r="F380" s="109"/>
      <c r="G380" s="99" t="str">
        <f>A!N177</f>
        <v>dwarf scouring rush</v>
      </c>
      <c r="H380" s="89" t="str">
        <f>A!Q177</f>
        <v>minature, thin green stems, barred with black rings</v>
      </c>
      <c r="I380" s="69">
        <f>A!M177</f>
        <v>2</v>
      </c>
      <c r="J380" s="202">
        <f>A!P177</f>
        <v>0</v>
      </c>
      <c r="K380" s="83">
        <f>IF(A!G177="y",1,0)</f>
        <v>1</v>
      </c>
      <c r="L380" s="83">
        <f>IF(A!H177="y",1,0)</f>
        <v>1</v>
      </c>
      <c r="M380" s="84" t="str">
        <f>IF(A!F177="y","NEW","")</f>
        <v/>
      </c>
      <c r="N380" s="85">
        <f>A!I177</f>
        <v>0</v>
      </c>
      <c r="O380" s="290" t="str">
        <f>A!O177</f>
        <v>1,2</v>
      </c>
      <c r="P380" s="541" t="str">
        <f>A!K177</f>
        <v>M</v>
      </c>
      <c r="Q380" s="541" t="str">
        <f>A!E177</f>
        <v>y</v>
      </c>
      <c r="R380" s="541" t="s">
        <v>211</v>
      </c>
      <c r="S380" s="541">
        <f t="shared" si="148"/>
        <v>0</v>
      </c>
      <c r="T380" s="541" t="str">
        <f>A!R177</f>
        <v>x3</v>
      </c>
      <c r="U380" s="541">
        <f>A!S177</f>
        <v>50</v>
      </c>
      <c r="V380" s="541">
        <f>A!T177</f>
        <v>0.125</v>
      </c>
      <c r="W380" s="541">
        <f t="shared" si="149"/>
        <v>0</v>
      </c>
      <c r="X380" s="541"/>
    </row>
    <row r="381" spans="1:24" ht="12" hidden="1" customHeight="1" x14ac:dyDescent="0.25">
      <c r="A381" s="121" t="str">
        <f>IF(S381=0,"",COUNTIF(A$23:A380,"&gt;0")+1)</f>
        <v/>
      </c>
      <c r="B381" s="344"/>
      <c r="C381" s="76" t="str">
        <f t="shared" si="147"/>
        <v>x3</v>
      </c>
      <c r="D381" s="98" t="str">
        <f>A!C178</f>
        <v>Eriphorum angustifolium</v>
      </c>
      <c r="E381" s="109"/>
      <c r="F381" s="109"/>
      <c r="G381" s="99" t="str">
        <f>A!N178</f>
        <v>cotton grass</v>
      </c>
      <c r="H381" s="89" t="str">
        <f>A!Q178</f>
        <v>fluffy heads of white cotton-like flowers</v>
      </c>
      <c r="I381" s="69">
        <f>A!M178</f>
        <v>3</v>
      </c>
      <c r="J381" s="202">
        <f>A!P178</f>
        <v>0</v>
      </c>
      <c r="K381" s="83">
        <f>IF(A!G178="y",1,0)</f>
        <v>0</v>
      </c>
      <c r="L381" s="83">
        <f>IF(A!H178="y",1,0)</f>
        <v>0</v>
      </c>
      <c r="M381" s="84" t="str">
        <f>IF(A!F178="y","NEW","")</f>
        <v/>
      </c>
      <c r="N381" s="85">
        <f>A!I178</f>
        <v>0</v>
      </c>
      <c r="O381" s="290" t="str">
        <f>A!O178</f>
        <v>1,2</v>
      </c>
      <c r="P381" s="541">
        <f>A!K178</f>
        <v>0</v>
      </c>
      <c r="Q381" s="541">
        <f>A!E178</f>
        <v>0</v>
      </c>
      <c r="R381" s="541" t="s">
        <v>211</v>
      </c>
      <c r="S381" s="541">
        <f t="shared" si="148"/>
        <v>0</v>
      </c>
      <c r="T381" s="541" t="str">
        <f>A!R178</f>
        <v>x3</v>
      </c>
      <c r="U381" s="541" t="str">
        <f>A!S178</f>
        <v/>
      </c>
      <c r="V381" s="541">
        <f>A!T178</f>
        <v>0.125</v>
      </c>
      <c r="W381" s="541">
        <f t="shared" si="149"/>
        <v>0</v>
      </c>
      <c r="X381" s="541"/>
    </row>
    <row r="382" spans="1:24" ht="12" customHeight="1" x14ac:dyDescent="0.25">
      <c r="A382" s="121" t="str">
        <f>IF(S382=0,"",COUNTIF(A$23:A381,"&gt;0")+1)</f>
        <v/>
      </c>
      <c r="B382" s="344"/>
      <c r="C382" s="76" t="str">
        <f t="shared" si="147"/>
        <v>x3</v>
      </c>
      <c r="D382" s="98" t="str">
        <f>A!C179</f>
        <v>Glyceria Variegata</v>
      </c>
      <c r="E382" s="109"/>
      <c r="F382" s="109"/>
      <c r="G382" s="99" t="str">
        <f>A!N179</f>
        <v>green &amp; white sweet grass</v>
      </c>
      <c r="H382" s="89" t="str">
        <f>A!Q179</f>
        <v>attractive creamy variegated foliage</v>
      </c>
      <c r="I382" s="69">
        <f>A!M179</f>
        <v>2</v>
      </c>
      <c r="J382" s="202">
        <f>A!P179</f>
        <v>0</v>
      </c>
      <c r="K382" s="83">
        <f>IF(A!G179="y",1,0)</f>
        <v>1</v>
      </c>
      <c r="L382" s="83">
        <f>IF(A!H179="y",1,0)</f>
        <v>1</v>
      </c>
      <c r="M382" s="84" t="str">
        <f>IF(A!F179="y","NEW","")</f>
        <v/>
      </c>
      <c r="N382" s="85">
        <f>A!I179</f>
        <v>0</v>
      </c>
      <c r="O382" s="290">
        <f>A!O179</f>
        <v>2</v>
      </c>
      <c r="P382" s="541" t="str">
        <f>A!K179</f>
        <v>M</v>
      </c>
      <c r="Q382" s="541" t="str">
        <f>A!E179</f>
        <v>y</v>
      </c>
      <c r="R382" s="541" t="s">
        <v>211</v>
      </c>
      <c r="S382" s="541">
        <f t="shared" si="148"/>
        <v>0</v>
      </c>
      <c r="T382" s="541" t="str">
        <f>A!R179</f>
        <v>x3</v>
      </c>
      <c r="U382" s="541">
        <f>A!S179</f>
        <v>50</v>
      </c>
      <c r="V382" s="541">
        <f>A!T179</f>
        <v>0.125</v>
      </c>
      <c r="W382" s="541">
        <f t="shared" si="149"/>
        <v>0</v>
      </c>
      <c r="X382" s="541"/>
    </row>
    <row r="383" spans="1:24" ht="12" hidden="1" customHeight="1" x14ac:dyDescent="0.25">
      <c r="A383" s="121" t="str">
        <f>IF(S383=0,"",COUNTIF(A$23:A382,"&gt;0")+1)</f>
        <v/>
      </c>
      <c r="B383" s="344"/>
      <c r="C383" s="76" t="str">
        <f t="shared" si="147"/>
        <v>x3</v>
      </c>
      <c r="D383" s="98" t="str">
        <f>A!C180</f>
        <v>Houttuynia cordata Bobo</v>
      </c>
      <c r="E383" s="109"/>
      <c r="F383" s="109"/>
      <c r="G383" s="99" t="str">
        <f>A!N180</f>
        <v>orange peel</v>
      </c>
      <c r="H383" s="89" t="str">
        <f>A!Q180</f>
        <v>multi-coloured variegated foliage of green,red and cream</v>
      </c>
      <c r="I383" s="69">
        <f>A!M180</f>
        <v>1</v>
      </c>
      <c r="J383" s="202">
        <f>A!P180</f>
        <v>0</v>
      </c>
      <c r="K383" s="83">
        <f>IF(A!G180="y",1,0)</f>
        <v>0</v>
      </c>
      <c r="L383" s="83">
        <f>IF(A!H180="y",1,0)</f>
        <v>0</v>
      </c>
      <c r="M383" s="84" t="str">
        <f>IF(A!F180="y","NEW","")</f>
        <v/>
      </c>
      <c r="N383" s="85">
        <f>A!I180</f>
        <v>0</v>
      </c>
      <c r="O383" s="290" t="str">
        <f>A!O180</f>
        <v>1,2</v>
      </c>
      <c r="P383" s="541">
        <f>A!K180</f>
        <v>0</v>
      </c>
      <c r="Q383" s="541">
        <f>A!E180</f>
        <v>0</v>
      </c>
      <c r="R383" s="541" t="s">
        <v>211</v>
      </c>
      <c r="S383" s="541">
        <f t="shared" si="148"/>
        <v>0</v>
      </c>
      <c r="T383" s="541" t="str">
        <f>A!R180</f>
        <v>x3</v>
      </c>
      <c r="U383" s="541" t="str">
        <f>A!S180</f>
        <v/>
      </c>
      <c r="V383" s="541">
        <f>A!T180</f>
        <v>0.125</v>
      </c>
      <c r="W383" s="541">
        <f t="shared" si="149"/>
        <v>0</v>
      </c>
      <c r="X383" s="541"/>
    </row>
    <row r="384" spans="1:24" ht="12" hidden="1" customHeight="1" x14ac:dyDescent="0.25">
      <c r="A384" s="121" t="str">
        <f>IF(S384=0,"",COUNTIF(A$23:A383,"&gt;0")+1)</f>
        <v/>
      </c>
      <c r="B384" s="344"/>
      <c r="C384" s="76" t="str">
        <f t="shared" si="147"/>
        <v>x3</v>
      </c>
      <c r="D384" s="98" t="str">
        <f>A!C181</f>
        <v>Houttuynia cordata Flame</v>
      </c>
      <c r="E384" s="109"/>
      <c r="F384" s="109"/>
      <c r="G384" s="99" t="str">
        <f>A!N181</f>
        <v>orange peel</v>
      </c>
      <c r="H384" s="89" t="str">
        <f>A!Q181</f>
        <v>much lighter in colour than variegata</v>
      </c>
      <c r="I384" s="69">
        <f>A!M181</f>
        <v>1</v>
      </c>
      <c r="J384" s="202">
        <f>A!P181</f>
        <v>0</v>
      </c>
      <c r="K384" s="83">
        <f>IF(A!G181="y",1,0)</f>
        <v>0</v>
      </c>
      <c r="L384" s="83">
        <f>IF(A!H181="y",1,0)</f>
        <v>0</v>
      </c>
      <c r="M384" s="84" t="str">
        <f>IF(A!F181="y","NEW","")</f>
        <v/>
      </c>
      <c r="N384" s="85">
        <f>A!I181</f>
        <v>0</v>
      </c>
      <c r="O384" s="290" t="str">
        <f>A!O181</f>
        <v>1,2</v>
      </c>
      <c r="P384" s="541">
        <f>A!K181</f>
        <v>0</v>
      </c>
      <c r="Q384" s="541">
        <f>A!E181</f>
        <v>0</v>
      </c>
      <c r="R384" s="541" t="s">
        <v>211</v>
      </c>
      <c r="S384" s="541">
        <f t="shared" si="148"/>
        <v>0</v>
      </c>
      <c r="T384" s="541" t="str">
        <f>A!R181</f>
        <v>x3</v>
      </c>
      <c r="U384" s="541" t="str">
        <f>A!S181</f>
        <v/>
      </c>
      <c r="V384" s="541">
        <f>A!T181</f>
        <v>0.125</v>
      </c>
      <c r="W384" s="541">
        <f t="shared" si="149"/>
        <v>0</v>
      </c>
      <c r="X384" s="541"/>
    </row>
    <row r="385" spans="1:24" ht="12" customHeight="1" x14ac:dyDescent="0.25">
      <c r="A385" s="121" t="str">
        <f>IF(S385=0,"",COUNTIF(A$23:A384,"&gt;0")+1)</f>
        <v/>
      </c>
      <c r="B385" s="344"/>
      <c r="C385" s="76" t="str">
        <f t="shared" si="147"/>
        <v>x3</v>
      </c>
      <c r="D385" s="98" t="str">
        <f>A!C182</f>
        <v>Houttuynia cordata variegata</v>
      </c>
      <c r="E385" s="109"/>
      <c r="F385" s="109"/>
      <c r="G385" s="99" t="str">
        <f>A!N182</f>
        <v>orange peel</v>
      </c>
      <c r="H385" s="89" t="str">
        <f>A!Q182</f>
        <v>scented, multi coloured foliage, smelling of orange peel</v>
      </c>
      <c r="I385" s="69">
        <f>A!M182</f>
        <v>1</v>
      </c>
      <c r="J385" s="202">
        <f>A!P182</f>
        <v>0</v>
      </c>
      <c r="K385" s="83">
        <f>IF(A!G182="y",1,0)</f>
        <v>1</v>
      </c>
      <c r="L385" s="83">
        <f>IF(A!H182="y",1,0)</f>
        <v>0</v>
      </c>
      <c r="M385" s="84" t="str">
        <f>IF(A!F182="y","NEW","")</f>
        <v/>
      </c>
      <c r="N385" s="85">
        <f>A!I182</f>
        <v>0</v>
      </c>
      <c r="O385" s="290" t="str">
        <f>A!O182</f>
        <v>1,2</v>
      </c>
      <c r="P385" s="541" t="str">
        <f>A!K182</f>
        <v>M</v>
      </c>
      <c r="Q385" s="541" t="str">
        <f>A!E182</f>
        <v>y</v>
      </c>
      <c r="R385" s="541" t="s">
        <v>211</v>
      </c>
      <c r="S385" s="541">
        <f t="shared" si="148"/>
        <v>0</v>
      </c>
      <c r="T385" s="541" t="str">
        <f>A!R182</f>
        <v>x3</v>
      </c>
      <c r="U385" s="541">
        <f>A!S182</f>
        <v>50</v>
      </c>
      <c r="V385" s="541">
        <f>A!T182</f>
        <v>0.125</v>
      </c>
      <c r="W385" s="541">
        <f t="shared" si="149"/>
        <v>0</v>
      </c>
      <c r="X385" s="541"/>
    </row>
    <row r="386" spans="1:24" ht="12" hidden="1" customHeight="1" x14ac:dyDescent="0.25">
      <c r="A386" s="121" t="str">
        <f>IF(S386=0,"",COUNTIF(A$23:A385,"&gt;0")+1)</f>
        <v/>
      </c>
      <c r="B386" s="344"/>
      <c r="C386" s="76" t="str">
        <f t="shared" ref="C386" si="155">T386</f>
        <v>x3</v>
      </c>
      <c r="D386" s="98" t="str">
        <f>A!C183</f>
        <v>Hypericum elodes</v>
      </c>
      <c r="E386" s="109"/>
      <c r="F386" s="109"/>
      <c r="G386" s="99" t="str">
        <f>A!N183</f>
        <v>St Johns wort</v>
      </c>
      <c r="H386" s="89" t="str">
        <f>A!Q183</f>
        <v>mat-forming native with yellow flowers</v>
      </c>
      <c r="I386" s="69">
        <f>A!M183</f>
        <v>1</v>
      </c>
      <c r="J386" s="202" t="str">
        <f>A!P183</f>
        <v>yes</v>
      </c>
      <c r="K386" s="83">
        <f>IF(A!G183="y",1,0)</f>
        <v>0</v>
      </c>
      <c r="L386" s="83">
        <f>IF(A!H183="y",1,0)</f>
        <v>0</v>
      </c>
      <c r="M386" s="84" t="str">
        <f>IF(A!F183="y","NEW","")</f>
        <v/>
      </c>
      <c r="N386" s="85">
        <f>A!I183</f>
        <v>0</v>
      </c>
      <c r="O386" s="290" t="str">
        <f>A!O183</f>
        <v>1,2</v>
      </c>
      <c r="P386" s="541" t="str">
        <f>A!K183</f>
        <v>s</v>
      </c>
      <c r="Q386" s="541">
        <f>A!E183</f>
        <v>0</v>
      </c>
      <c r="R386" s="541" t="s">
        <v>211</v>
      </c>
      <c r="S386" s="541">
        <f t="shared" ref="S386" si="156">B386</f>
        <v>0</v>
      </c>
      <c r="T386" s="541" t="str">
        <f>A!R183</f>
        <v>x3</v>
      </c>
      <c r="U386" s="541">
        <f>A!S183</f>
        <v>30</v>
      </c>
      <c r="V386" s="541">
        <f>A!T183</f>
        <v>0.125</v>
      </c>
      <c r="W386" s="541">
        <f t="shared" ref="W386" si="157">V386*B386</f>
        <v>0</v>
      </c>
      <c r="X386" s="541"/>
    </row>
    <row r="387" spans="1:24" ht="12" hidden="1" customHeight="1" x14ac:dyDescent="0.25">
      <c r="A387" s="121" t="str">
        <f>IF(S387=0,"",COUNTIF(A$23:A386,"&gt;0")+1)</f>
        <v/>
      </c>
      <c r="B387" s="344"/>
      <c r="C387" s="76" t="str">
        <f t="shared" si="147"/>
        <v>x3</v>
      </c>
      <c r="D387" s="98" t="str">
        <f>A!C184</f>
        <v>Iris ensata</v>
      </c>
      <c r="E387" s="109"/>
      <c r="F387" s="109"/>
      <c r="G387" s="99" t="str">
        <f>A!N184</f>
        <v>Japanese flag</v>
      </c>
      <c r="H387" s="89" t="str">
        <f>A!Q184</f>
        <v>one of the largest flowers of all aquatic irises, stunning</v>
      </c>
      <c r="I387" s="69">
        <f>A!M184</f>
        <v>1</v>
      </c>
      <c r="J387" s="202">
        <f>A!P184</f>
        <v>0</v>
      </c>
      <c r="K387" s="83">
        <f>IF(A!G184="y",1,0)</f>
        <v>0</v>
      </c>
      <c r="L387" s="83">
        <f>IF(A!H184="y",1,0)</f>
        <v>0</v>
      </c>
      <c r="M387" s="84" t="str">
        <f>IF(A!F184="y","NEW","")</f>
        <v/>
      </c>
      <c r="N387" s="85">
        <f>A!I184</f>
        <v>0</v>
      </c>
      <c r="O387" s="290" t="str">
        <f>A!O184</f>
        <v>1,2</v>
      </c>
      <c r="P387" s="541">
        <f>A!K184</f>
        <v>0</v>
      </c>
      <c r="Q387" s="541">
        <f>A!E184</f>
        <v>0</v>
      </c>
      <c r="R387" s="541" t="s">
        <v>211</v>
      </c>
      <c r="S387" s="541">
        <f t="shared" si="148"/>
        <v>0</v>
      </c>
      <c r="T387" s="541" t="str">
        <f>A!R184</f>
        <v>x3</v>
      </c>
      <c r="U387" s="541" t="str">
        <f>A!S184</f>
        <v/>
      </c>
      <c r="V387" s="541">
        <f>A!T184</f>
        <v>0.125</v>
      </c>
      <c r="W387" s="541">
        <f t="shared" si="149"/>
        <v>0</v>
      </c>
      <c r="X387" s="541"/>
    </row>
    <row r="388" spans="1:24" ht="12" hidden="1" customHeight="1" x14ac:dyDescent="0.25">
      <c r="A388" s="121" t="str">
        <f>IF(S388=0,"",COUNTIF(A$23:A387,"&gt;0")+1)</f>
        <v/>
      </c>
      <c r="B388" s="344"/>
      <c r="C388" s="76" t="str">
        <f t="shared" si="147"/>
        <v>x3</v>
      </c>
      <c r="D388" s="98" t="str">
        <f>A!C185</f>
        <v>Iris ensata 'Ruby King'</v>
      </c>
      <c r="E388" s="109"/>
      <c r="F388" s="109"/>
      <c r="G388" s="99" t="str">
        <f>A!N185</f>
        <v>Japanese flag</v>
      </c>
      <c r="H388" s="89" t="str">
        <f>A!Q185</f>
        <v>large claret blooms over green strap-like foliage</v>
      </c>
      <c r="I388" s="69">
        <f>A!M185</f>
        <v>1</v>
      </c>
      <c r="J388" s="202">
        <f>A!P185</f>
        <v>0</v>
      </c>
      <c r="K388" s="83">
        <f>IF(A!G185="y",1,0)</f>
        <v>0</v>
      </c>
      <c r="L388" s="83">
        <f>IF(A!H185="y",1,0)</f>
        <v>0</v>
      </c>
      <c r="M388" s="84" t="str">
        <f>IF(A!F185="y","NEW","")</f>
        <v/>
      </c>
      <c r="N388" s="85">
        <f>A!I185</f>
        <v>0</v>
      </c>
      <c r="O388" s="290" t="str">
        <f>A!O185</f>
        <v>1,2</v>
      </c>
      <c r="P388" s="541">
        <f>A!K185</f>
        <v>0</v>
      </c>
      <c r="Q388" s="541">
        <f>A!E185</f>
        <v>0</v>
      </c>
      <c r="R388" s="541" t="s">
        <v>211</v>
      </c>
      <c r="S388" s="541">
        <f t="shared" si="148"/>
        <v>0</v>
      </c>
      <c r="T388" s="541" t="str">
        <f>A!R185</f>
        <v>x3</v>
      </c>
      <c r="U388" s="541" t="str">
        <f>A!S185</f>
        <v/>
      </c>
      <c r="V388" s="541">
        <f>A!T185</f>
        <v>0.125</v>
      </c>
      <c r="W388" s="541">
        <f t="shared" si="149"/>
        <v>0</v>
      </c>
      <c r="X388" s="541"/>
    </row>
    <row r="389" spans="1:24" ht="12" hidden="1" customHeight="1" x14ac:dyDescent="0.25">
      <c r="A389" s="121" t="str">
        <f>IF(S389=0,"",COUNTIF(A$23:A388,"&gt;0")+1)</f>
        <v/>
      </c>
      <c r="B389" s="344"/>
      <c r="C389" s="76" t="str">
        <f t="shared" si="147"/>
        <v>x3</v>
      </c>
      <c r="D389" s="98" t="str">
        <f>A!C186</f>
        <v>Iris laevigata blue</v>
      </c>
      <c r="E389" s="109"/>
      <c r="F389" s="109"/>
      <c r="G389" s="99" t="str">
        <f>A!N186</f>
        <v>Japanese water iris</v>
      </c>
      <c r="H389" s="89" t="str">
        <f>A!Q186</f>
        <v>offering arching sword-like foliage and blue flowers</v>
      </c>
      <c r="I389" s="69">
        <f>A!M186</f>
        <v>1</v>
      </c>
      <c r="J389" s="202">
        <f>A!P186</f>
        <v>0</v>
      </c>
      <c r="K389" s="83">
        <f>IF(A!G186="y",1,0)</f>
        <v>0</v>
      </c>
      <c r="L389" s="83">
        <f>IF(A!H186="y",1,0)</f>
        <v>0</v>
      </c>
      <c r="M389" s="84" t="str">
        <f>IF(A!F186="y","NEW","")</f>
        <v/>
      </c>
      <c r="N389" s="85">
        <f>A!I186</f>
        <v>0</v>
      </c>
      <c r="O389" s="290" t="str">
        <f>A!O186</f>
        <v>1,2</v>
      </c>
      <c r="P389" s="541" t="str">
        <f>A!K186</f>
        <v>L</v>
      </c>
      <c r="Q389" s="541">
        <f>A!E186</f>
        <v>0</v>
      </c>
      <c r="R389" s="541" t="s">
        <v>211</v>
      </c>
      <c r="S389" s="541">
        <f t="shared" si="148"/>
        <v>0</v>
      </c>
      <c r="T389" s="541" t="str">
        <f>A!R186</f>
        <v>x3</v>
      </c>
      <c r="U389" s="541">
        <f>A!S186</f>
        <v>65</v>
      </c>
      <c r="V389" s="541">
        <f>A!T186</f>
        <v>0.125</v>
      </c>
      <c r="W389" s="541">
        <f t="shared" si="149"/>
        <v>0</v>
      </c>
      <c r="X389" s="541"/>
    </row>
    <row r="390" spans="1:24" ht="12" customHeight="1" x14ac:dyDescent="0.25">
      <c r="A390" s="121" t="str">
        <f>IF(S390=0,"",COUNTIF(A$23:A389,"&gt;0")+1)</f>
        <v/>
      </c>
      <c r="B390" s="344"/>
      <c r="C390" s="76" t="str">
        <f t="shared" si="147"/>
        <v>x3</v>
      </c>
      <c r="D390" s="98" t="str">
        <f>A!C187</f>
        <v>Iris laevigata 'Snowdrift'</v>
      </c>
      <c r="E390" s="109"/>
      <c r="F390" s="109"/>
      <c r="G390" s="99" t="str">
        <f>A!N187</f>
        <v>Japanese water iris</v>
      </c>
      <c r="H390" s="89" t="str">
        <f>A!Q187</f>
        <v>white blooms with lilac markings, stunning</v>
      </c>
      <c r="I390" s="69">
        <f>A!M187</f>
        <v>1</v>
      </c>
      <c r="J390" s="202">
        <f>A!P187</f>
        <v>0</v>
      </c>
      <c r="K390" s="83">
        <f>IF(A!G187="y",1,0)</f>
        <v>1</v>
      </c>
      <c r="L390" s="83">
        <f>IF(A!H187="y",1,0)</f>
        <v>0</v>
      </c>
      <c r="M390" s="84" t="str">
        <f>IF(A!F187="y","NEW","")</f>
        <v/>
      </c>
      <c r="N390" s="85">
        <f>A!I187</f>
        <v>0</v>
      </c>
      <c r="O390" s="290" t="str">
        <f>A!O187</f>
        <v>1,2</v>
      </c>
      <c r="P390" s="541" t="str">
        <f>A!K187</f>
        <v>L</v>
      </c>
      <c r="Q390" s="541" t="str">
        <f>A!E187</f>
        <v>y</v>
      </c>
      <c r="R390" s="541" t="s">
        <v>211</v>
      </c>
      <c r="S390" s="541">
        <f t="shared" ref="S390:S426" si="158">B390</f>
        <v>0</v>
      </c>
      <c r="T390" s="541" t="str">
        <f>A!R187</f>
        <v>x3</v>
      </c>
      <c r="U390" s="541">
        <f>A!S187</f>
        <v>65</v>
      </c>
      <c r="V390" s="541">
        <f>A!T187</f>
        <v>0.125</v>
      </c>
      <c r="W390" s="541">
        <f t="shared" si="149"/>
        <v>0</v>
      </c>
      <c r="X390" s="541"/>
    </row>
    <row r="391" spans="1:24" ht="11.25" customHeight="1" x14ac:dyDescent="0.25">
      <c r="A391" s="121" t="str">
        <f>IF(S391=0,"",COUNTIF(A$23:A390,"&gt;0")+1)</f>
        <v/>
      </c>
      <c r="B391" s="344"/>
      <c r="C391" s="76" t="str">
        <f t="shared" si="147"/>
        <v>x3</v>
      </c>
      <c r="D391" s="98" t="str">
        <f>A!C188</f>
        <v>Iris louisiana 'Black Gamecock'</v>
      </c>
      <c r="E391" s="109"/>
      <c r="F391" s="109"/>
      <c r="G391" s="99" t="str">
        <f>A!N188</f>
        <v>louisiana water iris</v>
      </c>
      <c r="H391" s="89" t="str">
        <f>A!Q188</f>
        <v>striking dark-purple velvety flowers</v>
      </c>
      <c r="I391" s="69">
        <f>A!M188</f>
        <v>1</v>
      </c>
      <c r="J391" s="202">
        <f>A!P188</f>
        <v>0</v>
      </c>
      <c r="K391" s="83">
        <f>IF(A!G188="y",1,0)</f>
        <v>1</v>
      </c>
      <c r="L391" s="83">
        <f>IF(A!H188="y",1,0)</f>
        <v>0</v>
      </c>
      <c r="M391" s="84" t="str">
        <f>IF(A!F188="y","NEW","")</f>
        <v/>
      </c>
      <c r="N391" s="85">
        <f>A!I188</f>
        <v>0</v>
      </c>
      <c r="O391" s="290" t="str">
        <f>A!O188</f>
        <v>1,2</v>
      </c>
      <c r="P391" s="541" t="str">
        <f>A!K188</f>
        <v>L</v>
      </c>
      <c r="Q391" s="541" t="str">
        <f>A!E188</f>
        <v>y</v>
      </c>
      <c r="R391" s="541" t="s">
        <v>211</v>
      </c>
      <c r="S391" s="541">
        <f t="shared" si="158"/>
        <v>0</v>
      </c>
      <c r="T391" s="541" t="str">
        <f>A!R188</f>
        <v>x3</v>
      </c>
      <c r="U391" s="541">
        <f>A!S188</f>
        <v>65</v>
      </c>
      <c r="V391" s="541">
        <f>A!T188</f>
        <v>0.125</v>
      </c>
      <c r="W391" s="541">
        <f t="shared" si="149"/>
        <v>0</v>
      </c>
      <c r="X391" s="541"/>
    </row>
    <row r="392" spans="1:24" ht="12" hidden="1" customHeight="1" x14ac:dyDescent="0.25">
      <c r="A392" s="121" t="str">
        <f>IF(S392=0,"",COUNTIF(A$23:A391,"&gt;0")+1)</f>
        <v/>
      </c>
      <c r="B392" s="344"/>
      <c r="C392" s="76" t="str">
        <f t="shared" si="147"/>
        <v>x3</v>
      </c>
      <c r="D392" s="98" t="str">
        <f>A!C189</f>
        <v>Iris louisiana blue</v>
      </c>
      <c r="E392" s="109"/>
      <c r="F392" s="109"/>
      <c r="G392" s="99" t="str">
        <f>A!N189</f>
        <v>louisiana water iris</v>
      </c>
      <c r="H392" s="89" t="str">
        <f>A!Q189</f>
        <v>native of southeastern united states</v>
      </c>
      <c r="I392" s="69">
        <f>A!M189</f>
        <v>1</v>
      </c>
      <c r="J392" s="202">
        <f>A!P189</f>
        <v>0</v>
      </c>
      <c r="K392" s="83">
        <f>IF(A!G189="y",1,0)</f>
        <v>0</v>
      </c>
      <c r="L392" s="83">
        <f>IF(A!H189="y",1,0)</f>
        <v>0</v>
      </c>
      <c r="M392" s="84" t="str">
        <f>IF(A!F189="y","NEW","")</f>
        <v/>
      </c>
      <c r="N392" s="85">
        <f>A!I189</f>
        <v>0</v>
      </c>
      <c r="O392" s="290" t="str">
        <f>A!O189</f>
        <v>1,2</v>
      </c>
      <c r="P392" s="541">
        <f>A!K189</f>
        <v>0</v>
      </c>
      <c r="Q392" s="541">
        <f>A!E189</f>
        <v>0</v>
      </c>
      <c r="R392" s="541" t="s">
        <v>211</v>
      </c>
      <c r="S392" s="541">
        <f t="shared" si="158"/>
        <v>0</v>
      </c>
      <c r="T392" s="541" t="str">
        <f>A!R189</f>
        <v>x3</v>
      </c>
      <c r="U392" s="541" t="str">
        <f>A!S189</f>
        <v/>
      </c>
      <c r="V392" s="541">
        <f>A!T189</f>
        <v>0.125</v>
      </c>
      <c r="W392" s="541">
        <f t="shared" si="149"/>
        <v>0</v>
      </c>
      <c r="X392" s="541"/>
    </row>
    <row r="393" spans="1:24" ht="11.25" customHeight="1" x14ac:dyDescent="0.25">
      <c r="A393" s="121" t="str">
        <f>IF(S393=0,"",COUNTIF(A$23:A392,"&gt;0")+1)</f>
        <v/>
      </c>
      <c r="B393" s="344"/>
      <c r="C393" s="76" t="str">
        <f t="shared" si="147"/>
        <v>x3</v>
      </c>
      <c r="D393" s="98" t="str">
        <f>A!C190</f>
        <v>Iris louisiana 'Arabian Bayou'</v>
      </c>
      <c r="E393" s="109"/>
      <c r="F393" s="109"/>
      <c r="G393" s="99" t="str">
        <f>A!N190</f>
        <v>louisiana water iris</v>
      </c>
      <c r="H393" s="89" t="str">
        <f>A!Q190</f>
        <v>beautiful white/yellow blooms over mid-green leaves</v>
      </c>
      <c r="I393" s="69">
        <f>A!M190</f>
        <v>1</v>
      </c>
      <c r="J393" s="202">
        <f>A!P190</f>
        <v>0</v>
      </c>
      <c r="K393" s="83">
        <f>IF(A!G190="y",1,0)</f>
        <v>1</v>
      </c>
      <c r="L393" s="83">
        <f>IF(A!H190="y",1,0)</f>
        <v>0</v>
      </c>
      <c r="M393" s="84" t="str">
        <f>IF(A!F190="y","NEW","")</f>
        <v/>
      </c>
      <c r="N393" s="85">
        <f>A!I190</f>
        <v>0</v>
      </c>
      <c r="O393" s="290" t="str">
        <f>A!O190</f>
        <v>1,2</v>
      </c>
      <c r="P393" s="541" t="str">
        <f>A!K190</f>
        <v>L</v>
      </c>
      <c r="Q393" s="541" t="str">
        <f>A!E190</f>
        <v>y</v>
      </c>
      <c r="R393" s="541" t="s">
        <v>211</v>
      </c>
      <c r="S393" s="541">
        <f t="shared" si="158"/>
        <v>0</v>
      </c>
      <c r="T393" s="541" t="str">
        <f>A!R190</f>
        <v>x3</v>
      </c>
      <c r="U393" s="541">
        <f>A!S190</f>
        <v>65</v>
      </c>
      <c r="V393" s="541">
        <f>A!T190</f>
        <v>0.125</v>
      </c>
      <c r="W393" s="541">
        <f t="shared" si="149"/>
        <v>0</v>
      </c>
      <c r="X393" s="541"/>
    </row>
    <row r="394" spans="1:24" ht="12" customHeight="1" x14ac:dyDescent="0.25">
      <c r="A394" s="121" t="str">
        <f>IF(S394=0,"",COUNTIF(A$23:A393,"&gt;0")+1)</f>
        <v/>
      </c>
      <c r="B394" s="344"/>
      <c r="C394" s="76" t="str">
        <f t="shared" si="147"/>
        <v>x3</v>
      </c>
      <c r="D394" s="98" t="str">
        <f>A!C191</f>
        <v>Iris louisiana Mixed</v>
      </c>
      <c r="E394" s="109"/>
      <c r="F394" s="109"/>
      <c r="G394" s="99" t="str">
        <f>A!N191</f>
        <v>red &amp; yellow louisiana water iris</v>
      </c>
      <c r="H394" s="89" t="str">
        <f>A!Q191</f>
        <v>best selection of these wonderful irises</v>
      </c>
      <c r="I394" s="69">
        <f>A!M191</f>
        <v>1</v>
      </c>
      <c r="J394" s="202">
        <f>A!P191</f>
        <v>0</v>
      </c>
      <c r="K394" s="83">
        <f>IF(A!G191="y",1,0)</f>
        <v>1</v>
      </c>
      <c r="L394" s="83">
        <f>IF(A!H191="y",1,0)</f>
        <v>0</v>
      </c>
      <c r="M394" s="84" t="str">
        <f>IF(A!F191="y","NEW","")</f>
        <v/>
      </c>
      <c r="N394" s="85">
        <f>A!I191</f>
        <v>0</v>
      </c>
      <c r="O394" s="290" t="str">
        <f>A!O191</f>
        <v>1,2</v>
      </c>
      <c r="P394" s="541">
        <f>A!K191</f>
        <v>0</v>
      </c>
      <c r="Q394" s="541" t="str">
        <f>A!E191</f>
        <v>y</v>
      </c>
      <c r="R394" s="541" t="s">
        <v>211</v>
      </c>
      <c r="S394" s="541">
        <f t="shared" si="158"/>
        <v>0</v>
      </c>
      <c r="T394" s="541" t="str">
        <f>A!R191</f>
        <v>x3</v>
      </c>
      <c r="U394" s="541" t="str">
        <f>A!S191</f>
        <v/>
      </c>
      <c r="V394" s="541">
        <f>A!T191</f>
        <v>0.125</v>
      </c>
      <c r="W394" s="541">
        <f t="shared" si="149"/>
        <v>0</v>
      </c>
      <c r="X394" s="541"/>
    </row>
    <row r="395" spans="1:24" ht="11.25" customHeight="1" x14ac:dyDescent="0.25">
      <c r="A395" s="121" t="str">
        <f>IF(S395=0,"",COUNTIF(A$23:A394,"&gt;0")+1)</f>
        <v/>
      </c>
      <c r="B395" s="344"/>
      <c r="C395" s="76" t="str">
        <f t="shared" si="147"/>
        <v>x3</v>
      </c>
      <c r="D395" s="98" t="str">
        <f>A!C192</f>
        <v>Iris louisiana pagaletta</v>
      </c>
      <c r="E395" s="109"/>
      <c r="F395" s="109"/>
      <c r="G395" s="99" t="str">
        <f>A!N192</f>
        <v>louisiana water iris</v>
      </c>
      <c r="H395" s="89" t="str">
        <f>A!Q192</f>
        <v>offering purple blooms over evergreen foliage</v>
      </c>
      <c r="I395" s="69">
        <f>A!M192</f>
        <v>1</v>
      </c>
      <c r="J395" s="202">
        <f>A!P192</f>
        <v>0</v>
      </c>
      <c r="K395" s="83">
        <f>IF(A!G192="y",1,0)</f>
        <v>1</v>
      </c>
      <c r="L395" s="83">
        <f>IF(A!H192="y",1,0)</f>
        <v>0</v>
      </c>
      <c r="M395" s="84" t="str">
        <f>IF(A!F192="y","NEW","")</f>
        <v/>
      </c>
      <c r="N395" s="85">
        <f>A!I192</f>
        <v>0</v>
      </c>
      <c r="O395" s="290" t="str">
        <f>A!O192</f>
        <v>1,2</v>
      </c>
      <c r="P395" s="541" t="str">
        <f>A!K192</f>
        <v>L</v>
      </c>
      <c r="Q395" s="541" t="str">
        <f>A!E192</f>
        <v>y</v>
      </c>
      <c r="R395" s="541" t="s">
        <v>211</v>
      </c>
      <c r="S395" s="541">
        <f t="shared" si="158"/>
        <v>0</v>
      </c>
      <c r="T395" s="541" t="str">
        <f>A!R192</f>
        <v>x3</v>
      </c>
      <c r="U395" s="541">
        <f>A!S192</f>
        <v>65</v>
      </c>
      <c r="V395" s="541">
        <f>A!T192</f>
        <v>0.125</v>
      </c>
      <c r="W395" s="541">
        <f t="shared" si="149"/>
        <v>0</v>
      </c>
      <c r="X395" s="541"/>
    </row>
    <row r="396" spans="1:24" ht="12" hidden="1" customHeight="1" x14ac:dyDescent="0.25">
      <c r="A396" s="121" t="str">
        <f>IF(S396=0,"",COUNTIF(A$23:A395,"&gt;0")+1)</f>
        <v/>
      </c>
      <c r="B396" s="344"/>
      <c r="C396" s="76" t="str">
        <f t="shared" si="147"/>
        <v>x3</v>
      </c>
      <c r="D396" s="98" t="str">
        <f>A!C193</f>
        <v>Iris louisiana yellow</v>
      </c>
      <c r="E396" s="109"/>
      <c r="F396" s="109"/>
      <c r="G396" s="99" t="str">
        <f>A!N193</f>
        <v>louisiana iris</v>
      </c>
      <c r="H396" s="89" t="str">
        <f>A!Q193</f>
        <v>yellow flowers over green foliage, north american native</v>
      </c>
      <c r="I396" s="69">
        <f>A!M193</f>
        <v>1</v>
      </c>
      <c r="J396" s="202">
        <f>A!P193</f>
        <v>0</v>
      </c>
      <c r="K396" s="83">
        <f>IF(A!G193="y",1,0)</f>
        <v>0</v>
      </c>
      <c r="L396" s="83">
        <f>IF(A!H193="y",1,0)</f>
        <v>0</v>
      </c>
      <c r="M396" s="84" t="str">
        <f>IF(A!F193="y","NEW","")</f>
        <v/>
      </c>
      <c r="N396" s="85">
        <f>A!I193</f>
        <v>0</v>
      </c>
      <c r="O396" s="290" t="str">
        <f>A!O193</f>
        <v>1,2</v>
      </c>
      <c r="P396" s="541">
        <f>A!K193</f>
        <v>0</v>
      </c>
      <c r="Q396" s="541">
        <f>A!E193</f>
        <v>0</v>
      </c>
      <c r="R396" s="541" t="s">
        <v>211</v>
      </c>
      <c r="S396" s="541">
        <f t="shared" si="158"/>
        <v>0</v>
      </c>
      <c r="T396" s="541" t="str">
        <f>A!R193</f>
        <v>x3</v>
      </c>
      <c r="U396" s="541" t="str">
        <f>A!S193</f>
        <v/>
      </c>
      <c r="V396" s="541">
        <f>A!T193</f>
        <v>0.125</v>
      </c>
      <c r="W396" s="541">
        <f t="shared" si="149"/>
        <v>0</v>
      </c>
      <c r="X396" s="541"/>
    </row>
    <row r="397" spans="1:24" ht="11.25" customHeight="1" x14ac:dyDescent="0.25">
      <c r="A397" s="121" t="str">
        <f>IF(S397=0,"",COUNTIF(A$23:A396,"&gt;0")+1)</f>
        <v/>
      </c>
      <c r="B397" s="344"/>
      <c r="C397" s="76" t="str">
        <f t="shared" si="147"/>
        <v>x3</v>
      </c>
      <c r="D397" s="98" t="str">
        <f>A!C194</f>
        <v>Iris pseudacorus</v>
      </c>
      <c r="E397" s="109"/>
      <c r="F397" s="109"/>
      <c r="G397" s="99" t="str">
        <f>A!N194</f>
        <v>yellow iris</v>
      </c>
      <c r="H397" s="89" t="str">
        <f>A!Q194</f>
        <v>the only native aquatic iris, hardy and tough</v>
      </c>
      <c r="I397" s="69">
        <f>A!M194</f>
        <v>1</v>
      </c>
      <c r="J397" s="202" t="str">
        <f>A!P194</f>
        <v>Yes</v>
      </c>
      <c r="K397" s="83">
        <f>IF(A!G194="y",1,0)</f>
        <v>1</v>
      </c>
      <c r="L397" s="83">
        <f>IF(A!H194="y",1,0)</f>
        <v>1</v>
      </c>
      <c r="M397" s="84" t="str">
        <f>IF(A!F194="y","NEW","")</f>
        <v/>
      </c>
      <c r="N397" s="85">
        <f>A!I194</f>
        <v>0</v>
      </c>
      <c r="O397" s="290" t="str">
        <f>A!O194</f>
        <v>2,3</v>
      </c>
      <c r="P397" s="541" t="str">
        <f>A!K194</f>
        <v>M</v>
      </c>
      <c r="Q397" s="541" t="str">
        <f>A!E194</f>
        <v>y</v>
      </c>
      <c r="R397" s="541" t="s">
        <v>211</v>
      </c>
      <c r="S397" s="541">
        <f t="shared" si="158"/>
        <v>0</v>
      </c>
      <c r="T397" s="541" t="str">
        <f>A!R194</f>
        <v>x3</v>
      </c>
      <c r="U397" s="541">
        <f>A!S194</f>
        <v>50</v>
      </c>
      <c r="V397" s="541">
        <f>A!T194</f>
        <v>0.125</v>
      </c>
      <c r="W397" s="541">
        <f t="shared" si="149"/>
        <v>0</v>
      </c>
      <c r="X397" s="541"/>
    </row>
    <row r="398" spans="1:24" ht="12" hidden="1" customHeight="1" x14ac:dyDescent="0.25">
      <c r="A398" s="121" t="str">
        <f>IF(S398=0,"",COUNTIF(A$23:A397,"&gt;0")+1)</f>
        <v/>
      </c>
      <c r="B398" s="344"/>
      <c r="C398" s="76" t="str">
        <f t="shared" si="147"/>
        <v>x3</v>
      </c>
      <c r="D398" s="98" t="str">
        <f>A!C195</f>
        <v>Iris pseudacorus 'Bastardii'</v>
      </c>
      <c r="E398" s="109"/>
      <c r="F398" s="109"/>
      <c r="G398" s="99" t="str">
        <f>A!N195</f>
        <v>yellow flag</v>
      </c>
      <c r="H398" s="89" t="str">
        <f>A!Q195</f>
        <v>broad sword-like foliage and creamy yellow flowers</v>
      </c>
      <c r="I398" s="69">
        <f>A!M195</f>
        <v>1</v>
      </c>
      <c r="J398" s="202">
        <f>A!P195</f>
        <v>0</v>
      </c>
      <c r="K398" s="83">
        <f>IF(A!G195="y",1,0)</f>
        <v>0</v>
      </c>
      <c r="L398" s="83">
        <f>IF(A!H195="y",1,0)</f>
        <v>0</v>
      </c>
      <c r="M398" s="84" t="str">
        <f>IF(A!F195="y","NEW","")</f>
        <v/>
      </c>
      <c r="N398" s="85">
        <f>A!I195</f>
        <v>0</v>
      </c>
      <c r="O398" s="290" t="str">
        <f>A!O195</f>
        <v>1,2</v>
      </c>
      <c r="P398" s="541">
        <f>A!K195</f>
        <v>0</v>
      </c>
      <c r="Q398" s="541">
        <f>A!E195</f>
        <v>0</v>
      </c>
      <c r="R398" s="541" t="s">
        <v>211</v>
      </c>
      <c r="S398" s="541">
        <f t="shared" si="158"/>
        <v>0</v>
      </c>
      <c r="T398" s="541" t="str">
        <f>A!R195</f>
        <v>x3</v>
      </c>
      <c r="U398" s="541" t="str">
        <f>A!S195</f>
        <v/>
      </c>
      <c r="V398" s="541">
        <f>A!T195</f>
        <v>0.125</v>
      </c>
      <c r="W398" s="541">
        <f t="shared" si="149"/>
        <v>0</v>
      </c>
      <c r="X398" s="541"/>
    </row>
    <row r="399" spans="1:24" ht="12" hidden="1" customHeight="1" x14ac:dyDescent="0.25">
      <c r="A399" s="121" t="str">
        <f>IF(S399=0,"",COUNTIF(A$23:A398,"&gt;0")+1)</f>
        <v/>
      </c>
      <c r="B399" s="344"/>
      <c r="C399" s="76" t="str">
        <f t="shared" si="147"/>
        <v>x3</v>
      </c>
      <c r="D399" s="98" t="str">
        <f>A!C196</f>
        <v>Iris pseudacorus 'Berlin Tiger'</v>
      </c>
      <c r="E399" s="109"/>
      <c r="F399" s="109"/>
      <c r="G399" s="99" t="str">
        <f>A!N196</f>
        <v>flag</v>
      </c>
      <c r="H399" s="89" t="str">
        <f>A!Q196</f>
        <v>striking pale yellow flowers with veined brown markings</v>
      </c>
      <c r="I399" s="69">
        <f>A!M196</f>
        <v>1</v>
      </c>
      <c r="J399" s="202">
        <f>A!P196</f>
        <v>0</v>
      </c>
      <c r="K399" s="83">
        <f>IF(A!G196="y",1,0)</f>
        <v>0</v>
      </c>
      <c r="L399" s="83">
        <f>IF(A!H196="y",1,0)</f>
        <v>0</v>
      </c>
      <c r="M399" s="84" t="str">
        <f>IF(A!F196="y","NEW","")</f>
        <v/>
      </c>
      <c r="N399" s="85">
        <f>A!I196</f>
        <v>0</v>
      </c>
      <c r="O399" s="290" t="str">
        <f>A!O196</f>
        <v>1,2</v>
      </c>
      <c r="P399" s="541">
        <f>A!K196</f>
        <v>0</v>
      </c>
      <c r="Q399" s="541">
        <f>A!E196</f>
        <v>0</v>
      </c>
      <c r="R399" s="541" t="s">
        <v>211</v>
      </c>
      <c r="S399" s="541">
        <f t="shared" si="158"/>
        <v>0</v>
      </c>
      <c r="T399" s="541" t="str">
        <f>A!R196</f>
        <v>x3</v>
      </c>
      <c r="U399" s="541" t="str">
        <f>A!S196</f>
        <v/>
      </c>
      <c r="V399" s="541">
        <f>A!T196</f>
        <v>0.125</v>
      </c>
      <c r="W399" s="541">
        <f t="shared" si="149"/>
        <v>0</v>
      </c>
      <c r="X399" s="541"/>
    </row>
    <row r="400" spans="1:24" ht="12" hidden="1" customHeight="1" x14ac:dyDescent="0.25">
      <c r="A400" s="121" t="str">
        <f>IF(S400=0,"",COUNTIF(A$23:A399,"&gt;0")+1)</f>
        <v/>
      </c>
      <c r="B400" s="344"/>
      <c r="C400" s="76" t="str">
        <f t="shared" si="147"/>
        <v>x3</v>
      </c>
      <c r="D400" s="98" t="str">
        <f>A!C197</f>
        <v>Iris pseudacorus 'Crème de la Crème'</v>
      </c>
      <c r="E400" s="109"/>
      <c r="F400" s="109"/>
      <c r="G400" s="99" t="str">
        <f>A!N197</f>
        <v>white flag</v>
      </c>
      <c r="H400" s="89" t="str">
        <f>A!Q197</f>
        <v>a beautiful variety of the yellow flag, creamy white flowers</v>
      </c>
      <c r="I400" s="69">
        <f>A!M197</f>
        <v>1</v>
      </c>
      <c r="J400" s="202">
        <f>A!P197</f>
        <v>0</v>
      </c>
      <c r="K400" s="83">
        <f>IF(A!G197="y",1,0)</f>
        <v>0</v>
      </c>
      <c r="L400" s="83">
        <f>IF(A!H197="y",1,0)</f>
        <v>0</v>
      </c>
      <c r="M400" s="84" t="str">
        <f>IF(A!F197="y","NEW","")</f>
        <v/>
      </c>
      <c r="N400" s="85">
        <f>A!I197</f>
        <v>0</v>
      </c>
      <c r="O400" s="290" t="str">
        <f>A!O197</f>
        <v>1,2</v>
      </c>
      <c r="P400" s="541">
        <f>A!K197</f>
        <v>0</v>
      </c>
      <c r="Q400" s="541">
        <f>A!E197</f>
        <v>0</v>
      </c>
      <c r="R400" s="541" t="s">
        <v>211</v>
      </c>
      <c r="S400" s="541">
        <f t="shared" si="158"/>
        <v>0</v>
      </c>
      <c r="T400" s="541" t="str">
        <f>A!R197</f>
        <v>x3</v>
      </c>
      <c r="U400" s="541" t="str">
        <f>A!S197</f>
        <v/>
      </c>
      <c r="V400" s="541">
        <f>A!T197</f>
        <v>0.125</v>
      </c>
      <c r="W400" s="541">
        <f t="shared" si="149"/>
        <v>0</v>
      </c>
      <c r="X400" s="541"/>
    </row>
    <row r="401" spans="1:24" ht="11.25" customHeight="1" x14ac:dyDescent="0.25">
      <c r="A401" s="121" t="str">
        <f>IF(S401=0,"",COUNTIF(A$23:A400,"&gt;0")+1)</f>
        <v/>
      </c>
      <c r="B401" s="344"/>
      <c r="C401" s="76" t="str">
        <f t="shared" si="147"/>
        <v>x3</v>
      </c>
      <c r="D401" s="98" t="str">
        <f>A!C198</f>
        <v>Iris pseudacorus 'Variegatus'</v>
      </c>
      <c r="E401" s="109"/>
      <c r="F401" s="109"/>
      <c r="G401" s="99" t="str">
        <f>A!N198</f>
        <v>variegated flag</v>
      </c>
      <c r="H401" s="89" t="str">
        <f>A!Q198</f>
        <v>attractive yellow  and green variegated foliage</v>
      </c>
      <c r="I401" s="69">
        <f>A!M198</f>
        <v>1</v>
      </c>
      <c r="J401" s="202">
        <f>A!P198</f>
        <v>0</v>
      </c>
      <c r="K401" s="83">
        <f>IF(A!G198="y",1,0)</f>
        <v>1</v>
      </c>
      <c r="L401" s="83">
        <f>IF(A!H198="y",1,0)</f>
        <v>1</v>
      </c>
      <c r="M401" s="84" t="str">
        <f>IF(A!F198="y","NEW","")</f>
        <v/>
      </c>
      <c r="N401" s="85">
        <f>A!I198</f>
        <v>0</v>
      </c>
      <c r="O401" s="290" t="str">
        <f>A!O198</f>
        <v>2,3</v>
      </c>
      <c r="P401" s="541" t="str">
        <f>A!K198</f>
        <v>M</v>
      </c>
      <c r="Q401" s="541" t="str">
        <f>A!E198</f>
        <v>y</v>
      </c>
      <c r="R401" s="541" t="s">
        <v>211</v>
      </c>
      <c r="S401" s="541">
        <f t="shared" si="158"/>
        <v>0</v>
      </c>
      <c r="T401" s="541" t="str">
        <f>A!R198</f>
        <v>x3</v>
      </c>
      <c r="U401" s="541">
        <f>A!S198</f>
        <v>50</v>
      </c>
      <c r="V401" s="541">
        <f>A!T198</f>
        <v>0.125</v>
      </c>
      <c r="W401" s="541">
        <f t="shared" si="149"/>
        <v>0</v>
      </c>
      <c r="X401" s="541"/>
    </row>
    <row r="402" spans="1:24" ht="11.25" customHeight="1" x14ac:dyDescent="0.25">
      <c r="A402" s="121" t="str">
        <f>IF(S402=0,"",COUNTIF(A$23:A401,"&gt;0")+1)</f>
        <v/>
      </c>
      <c r="B402" s="344"/>
      <c r="C402" s="76" t="str">
        <f t="shared" si="147"/>
        <v>x3</v>
      </c>
      <c r="D402" s="98" t="str">
        <f>A!C199</f>
        <v>Iris 'Rose Queen'</v>
      </c>
      <c r="E402" s="109"/>
      <c r="F402" s="109"/>
      <c r="G402" s="99" t="str">
        <f>A!N199</f>
        <v>japanese water iris</v>
      </c>
      <c r="H402" s="89" t="str">
        <f>A!Q199</f>
        <v>gorgeous rose-pink flowers with darker veining</v>
      </c>
      <c r="I402" s="69">
        <f>A!M199</f>
        <v>1</v>
      </c>
      <c r="J402" s="202">
        <f>A!P199</f>
        <v>0</v>
      </c>
      <c r="K402" s="83">
        <f>IF(A!G199="y",1,0)</f>
        <v>1</v>
      </c>
      <c r="L402" s="83">
        <f>IF(A!H199="y",1,0)</f>
        <v>0</v>
      </c>
      <c r="M402" s="84" t="str">
        <f>IF(A!F199="y","NEW","")</f>
        <v/>
      </c>
      <c r="N402" s="85">
        <f>A!I199</f>
        <v>0</v>
      </c>
      <c r="O402" s="290" t="str">
        <f>A!O199</f>
        <v>1,2</v>
      </c>
      <c r="P402" s="541" t="str">
        <f>A!K199</f>
        <v>L</v>
      </c>
      <c r="Q402" s="541" t="str">
        <f>A!E199</f>
        <v>y</v>
      </c>
      <c r="R402" s="541" t="s">
        <v>211</v>
      </c>
      <c r="S402" s="541">
        <f t="shared" si="158"/>
        <v>0</v>
      </c>
      <c r="T402" s="541" t="str">
        <f>A!R199</f>
        <v>x3</v>
      </c>
      <c r="U402" s="541">
        <f>A!S199</f>
        <v>65</v>
      </c>
      <c r="V402" s="541">
        <f>A!T199</f>
        <v>0.125</v>
      </c>
      <c r="W402" s="541">
        <f t="shared" si="149"/>
        <v>0</v>
      </c>
      <c r="X402" s="541"/>
    </row>
    <row r="403" spans="1:24" ht="12" hidden="1" customHeight="1" x14ac:dyDescent="0.25">
      <c r="A403" s="121" t="str">
        <f>IF(S403=0,"",COUNTIF(A$23:A402,"&gt;0")+1)</f>
        <v/>
      </c>
      <c r="B403" s="344"/>
      <c r="C403" s="76" t="str">
        <f t="shared" si="147"/>
        <v>x3</v>
      </c>
      <c r="D403" s="98" t="str">
        <f>A!C200</f>
        <v>Iris vericolor 'Dark Aura'</v>
      </c>
      <c r="E403" s="109"/>
      <c r="F403" s="109"/>
      <c r="G403" s="99" t="str">
        <f>A!N200</f>
        <v>american water iris</v>
      </c>
      <c r="H403" s="89" t="str">
        <f>A!Q200</f>
        <v>slender green foliage, tinged red in the spring</v>
      </c>
      <c r="I403" s="69">
        <f>A!M200</f>
        <v>1</v>
      </c>
      <c r="J403" s="202">
        <f>A!P200</f>
        <v>0</v>
      </c>
      <c r="K403" s="83">
        <f>IF(A!G200="y",1,0)</f>
        <v>0</v>
      </c>
      <c r="L403" s="83">
        <f>IF(A!H200="y",1,0)</f>
        <v>0</v>
      </c>
      <c r="M403" s="84" t="str">
        <f>IF(A!F200="y","NEW","")</f>
        <v/>
      </c>
      <c r="N403" s="85">
        <f>A!I200</f>
        <v>0</v>
      </c>
      <c r="O403" s="290" t="str">
        <f>A!O200</f>
        <v>1,2</v>
      </c>
      <c r="P403" s="541">
        <f>A!K200</f>
        <v>0</v>
      </c>
      <c r="Q403" s="541">
        <f>A!E200</f>
        <v>0</v>
      </c>
      <c r="R403" s="541" t="s">
        <v>211</v>
      </c>
      <c r="S403" s="541">
        <f t="shared" si="158"/>
        <v>0</v>
      </c>
      <c r="T403" s="541" t="str">
        <f>A!R200</f>
        <v>x3</v>
      </c>
      <c r="U403" s="541" t="str">
        <f>A!S200</f>
        <v/>
      </c>
      <c r="V403" s="541">
        <f>A!T200</f>
        <v>0.125</v>
      </c>
      <c r="W403" s="541">
        <f t="shared" si="149"/>
        <v>0</v>
      </c>
      <c r="X403" s="541"/>
    </row>
    <row r="404" spans="1:24" ht="12" customHeight="1" x14ac:dyDescent="0.25">
      <c r="A404" s="121" t="str">
        <f>IF(S404=0,"",COUNTIF(A$23:A403,"&gt;0")+1)</f>
        <v/>
      </c>
      <c r="B404" s="344"/>
      <c r="C404" s="76" t="str">
        <f t="shared" si="147"/>
        <v>x3</v>
      </c>
      <c r="D404" s="98" t="str">
        <f>A!C201</f>
        <v>Iris versicolor</v>
      </c>
      <c r="E404" s="109"/>
      <c r="F404" s="109"/>
      <c r="G404" s="99" t="str">
        <f>A!N201</f>
        <v>american water iris</v>
      </c>
      <c r="H404" s="89" t="str">
        <f>A!Q201</f>
        <v>wonderful blue flowers over sword-like foliage</v>
      </c>
      <c r="I404" s="69">
        <f>A!M201</f>
        <v>1</v>
      </c>
      <c r="J404" s="202">
        <f>A!P201</f>
        <v>0</v>
      </c>
      <c r="K404" s="83">
        <f>IF(A!G201="y",1,0)</f>
        <v>1</v>
      </c>
      <c r="L404" s="83">
        <f>IF(A!H201="y",1,0)</f>
        <v>1</v>
      </c>
      <c r="M404" s="84" t="str">
        <f>IF(A!F201="y","NEW","")</f>
        <v/>
      </c>
      <c r="N404" s="85">
        <f>A!I201</f>
        <v>0</v>
      </c>
      <c r="O404" s="290">
        <f>A!O201</f>
        <v>2</v>
      </c>
      <c r="P404" s="541" t="str">
        <f>A!K201</f>
        <v>L</v>
      </c>
      <c r="Q404" s="541" t="str">
        <f>A!E201</f>
        <v>y</v>
      </c>
      <c r="R404" s="541" t="s">
        <v>211</v>
      </c>
      <c r="S404" s="541">
        <f t="shared" si="158"/>
        <v>0</v>
      </c>
      <c r="T404" s="541" t="str">
        <f>A!R201</f>
        <v>x3</v>
      </c>
      <c r="U404" s="541">
        <f>A!S201</f>
        <v>65</v>
      </c>
      <c r="V404" s="541">
        <f>A!T201</f>
        <v>0.125</v>
      </c>
      <c r="W404" s="541">
        <f t="shared" si="149"/>
        <v>0</v>
      </c>
      <c r="X404" s="541"/>
    </row>
    <row r="405" spans="1:24" ht="12" hidden="1" customHeight="1" x14ac:dyDescent="0.25">
      <c r="A405" s="121" t="str">
        <f>IF(S405=0,"",COUNTIF(A$23:A404,"&gt;0")+1)</f>
        <v/>
      </c>
      <c r="B405" s="344"/>
      <c r="C405" s="76" t="str">
        <f t="shared" si="147"/>
        <v>x3</v>
      </c>
      <c r="D405" s="98" t="str">
        <f>A!C202</f>
        <v>Iris Versicolor Gerald Derby</v>
      </c>
      <c r="E405" s="109"/>
      <c r="F405" s="109"/>
      <c r="G405" s="99" t="str">
        <f>A!N202</f>
        <v>american water iris</v>
      </c>
      <c r="H405" s="89" t="str">
        <f>A!Q202</f>
        <v>arching sword-like leaves, lovely claret flowers</v>
      </c>
      <c r="I405" s="69">
        <f>A!M202</f>
        <v>1</v>
      </c>
      <c r="J405" s="202">
        <f>A!P202</f>
        <v>0</v>
      </c>
      <c r="K405" s="83">
        <f>IF(A!G202="y",1,0)</f>
        <v>0</v>
      </c>
      <c r="L405" s="83">
        <f>IF(A!H202="y",1,0)</f>
        <v>0</v>
      </c>
      <c r="M405" s="84" t="str">
        <f>IF(A!F202="y","NEW","")</f>
        <v/>
      </c>
      <c r="N405" s="85">
        <f>A!I202</f>
        <v>0</v>
      </c>
      <c r="O405" s="290">
        <f>A!O202</f>
        <v>2</v>
      </c>
      <c r="P405" s="541">
        <f>A!K202</f>
        <v>0</v>
      </c>
      <c r="Q405" s="541">
        <f>A!E202</f>
        <v>0</v>
      </c>
      <c r="R405" s="541" t="s">
        <v>211</v>
      </c>
      <c r="S405" s="541">
        <f t="shared" si="158"/>
        <v>0</v>
      </c>
      <c r="T405" s="541" t="str">
        <f>A!R202</f>
        <v>x3</v>
      </c>
      <c r="U405" s="541" t="str">
        <f>A!S202</f>
        <v/>
      </c>
      <c r="V405" s="541">
        <f>A!T202</f>
        <v>0.125</v>
      </c>
      <c r="W405" s="541">
        <f t="shared" si="149"/>
        <v>0</v>
      </c>
      <c r="X405" s="541"/>
    </row>
    <row r="406" spans="1:24" ht="12" hidden="1" customHeight="1" x14ac:dyDescent="0.25">
      <c r="A406" s="121" t="str">
        <f>IF(S406=0,"",COUNTIF(A$23:A405,"&gt;0")+1)</f>
        <v/>
      </c>
      <c r="B406" s="344"/>
      <c r="C406" s="76" t="str">
        <f t="shared" si="147"/>
        <v>x3</v>
      </c>
      <c r="D406" s="98" t="str">
        <f>A!C203</f>
        <v>Iris versicolor 'Kermisina'</v>
      </c>
      <c r="E406" s="109"/>
      <c r="F406" s="109"/>
      <c r="G406" s="99" t="str">
        <f>A!N203</f>
        <v>american water iris</v>
      </c>
      <c r="H406" s="89" t="str">
        <f>A!Q203</f>
        <v>beautiful claret flowers over green strap-like foliage</v>
      </c>
      <c r="I406" s="69">
        <f>A!M203</f>
        <v>1</v>
      </c>
      <c r="J406" s="202">
        <f>A!P203</f>
        <v>0</v>
      </c>
      <c r="K406" s="83">
        <f>IF(A!G203="y",1,0)</f>
        <v>0</v>
      </c>
      <c r="L406" s="83">
        <f>IF(A!H203="y",1,0)</f>
        <v>0</v>
      </c>
      <c r="M406" s="84" t="str">
        <f>IF(A!F203="y","NEW","")</f>
        <v/>
      </c>
      <c r="N406" s="85">
        <f>A!I203</f>
        <v>0</v>
      </c>
      <c r="O406" s="290">
        <f>A!O203</f>
        <v>2</v>
      </c>
      <c r="P406" s="541">
        <f>A!K203</f>
        <v>0</v>
      </c>
      <c r="Q406" s="541">
        <f>A!E203</f>
        <v>0</v>
      </c>
      <c r="R406" s="541" t="s">
        <v>211</v>
      </c>
      <c r="S406" s="541">
        <f t="shared" si="158"/>
        <v>0</v>
      </c>
      <c r="T406" s="541" t="str">
        <f>A!R203</f>
        <v>x3</v>
      </c>
      <c r="U406" s="541" t="str">
        <f>A!S203</f>
        <v/>
      </c>
      <c r="V406" s="541">
        <f>A!T203</f>
        <v>0.125</v>
      </c>
      <c r="W406" s="541">
        <f t="shared" si="149"/>
        <v>0</v>
      </c>
      <c r="X406" s="541"/>
    </row>
    <row r="407" spans="1:24" ht="12" hidden="1" customHeight="1" x14ac:dyDescent="0.25">
      <c r="A407" s="121" t="str">
        <f>IF(S407=0,"",COUNTIF(A$23:A406,"&gt;0")+1)</f>
        <v/>
      </c>
      <c r="B407" s="344"/>
      <c r="C407" s="76" t="str">
        <f t="shared" si="147"/>
        <v>x3</v>
      </c>
      <c r="D407" s="98" t="str">
        <f>A!C204</f>
        <v>Iris versicolor 'Pacifica'</v>
      </c>
      <c r="E407" s="109"/>
      <c r="F407" s="109"/>
      <c r="G407" s="99" t="str">
        <f>A!N204</f>
        <v>american water iris</v>
      </c>
      <c r="H407" s="89" t="str">
        <f>A!Q204</f>
        <v>deep purple flowers with yellow streaks</v>
      </c>
      <c r="I407" s="69">
        <f>A!M204</f>
        <v>1</v>
      </c>
      <c r="J407" s="202">
        <f>A!P204</f>
        <v>0</v>
      </c>
      <c r="K407" s="83">
        <f>IF(A!G204="y",1,0)</f>
        <v>0</v>
      </c>
      <c r="L407" s="83">
        <f>IF(A!H204="y",1,0)</f>
        <v>0</v>
      </c>
      <c r="M407" s="84" t="str">
        <f>IF(A!F204="y","NEW","")</f>
        <v/>
      </c>
      <c r="N407" s="85">
        <f>A!I204</f>
        <v>0</v>
      </c>
      <c r="O407" s="290">
        <f>A!O204</f>
        <v>2</v>
      </c>
      <c r="P407" s="541">
        <f>A!K204</f>
        <v>0</v>
      </c>
      <c r="Q407" s="541">
        <f>A!E204</f>
        <v>0</v>
      </c>
      <c r="R407" s="541" t="s">
        <v>211</v>
      </c>
      <c r="S407" s="541">
        <f t="shared" si="158"/>
        <v>0</v>
      </c>
      <c r="T407" s="541" t="str">
        <f>A!R204</f>
        <v>x3</v>
      </c>
      <c r="U407" s="541" t="str">
        <f>A!S204</f>
        <v/>
      </c>
      <c r="V407" s="541">
        <f>A!T204</f>
        <v>0.125</v>
      </c>
      <c r="W407" s="541">
        <f t="shared" si="149"/>
        <v>0</v>
      </c>
      <c r="X407" s="541"/>
    </row>
    <row r="408" spans="1:24" ht="11.25" customHeight="1" x14ac:dyDescent="0.25">
      <c r="A408" s="121" t="str">
        <f>IF(S408=0,"",COUNTIF(A$23:A407,"&gt;0")+1)</f>
        <v/>
      </c>
      <c r="B408" s="344"/>
      <c r="C408" s="76" t="str">
        <f t="shared" ref="C408" si="159">T408</f>
        <v>x3</v>
      </c>
      <c r="D408" s="98" t="str">
        <f>A!C205</f>
        <v>Juncus effusus</v>
      </c>
      <c r="E408" s="109"/>
      <c r="F408" s="109"/>
      <c r="G408" s="99" t="str">
        <f>A!N205</f>
        <v>soft rush</v>
      </c>
      <c r="H408" s="89" t="str">
        <f>A!Q205</f>
        <v xml:space="preserve">erect, dark green stems with brown seed heads </v>
      </c>
      <c r="I408" s="69">
        <f>A!M205</f>
        <v>2</v>
      </c>
      <c r="J408" s="202" t="str">
        <f>A!P205</f>
        <v>Yes</v>
      </c>
      <c r="K408" s="83">
        <f>IF(A!G205="y",1,0)</f>
        <v>1</v>
      </c>
      <c r="L408" s="83">
        <f>IF(A!H205="y",1,0)</f>
        <v>1</v>
      </c>
      <c r="M408" s="84" t="str">
        <f>IF(A!F205="y","NEW","")</f>
        <v/>
      </c>
      <c r="N408" s="85">
        <f>A!I205</f>
        <v>0</v>
      </c>
      <c r="O408" s="290" t="str">
        <f>A!O205</f>
        <v>1,2</v>
      </c>
      <c r="P408" s="541" t="str">
        <f>A!K205</f>
        <v>M</v>
      </c>
      <c r="Q408" s="541" t="str">
        <f>A!E205</f>
        <v>y</v>
      </c>
      <c r="R408" s="541" t="s">
        <v>211</v>
      </c>
      <c r="S408" s="541">
        <f t="shared" ref="S408" si="160">B408</f>
        <v>0</v>
      </c>
      <c r="T408" s="541" t="str">
        <f>A!R205</f>
        <v>x3</v>
      </c>
      <c r="U408" s="541">
        <f>A!S205</f>
        <v>50</v>
      </c>
      <c r="V408" s="541">
        <f>A!T205</f>
        <v>0.125</v>
      </c>
      <c r="W408" s="541">
        <f t="shared" ref="W408" si="161">V408*B408</f>
        <v>0</v>
      </c>
      <c r="X408" s="541"/>
    </row>
    <row r="409" spans="1:24" ht="12" hidden="1" customHeight="1" x14ac:dyDescent="0.25">
      <c r="A409" s="121" t="str">
        <f>IF(S409=0,"",COUNTIF(A$23:A408,"&gt;0")+1)</f>
        <v/>
      </c>
      <c r="B409" s="344"/>
      <c r="C409" s="76" t="str">
        <f t="shared" si="147"/>
        <v>x3</v>
      </c>
      <c r="D409" s="98" t="str">
        <f>A!C206</f>
        <v>Juncus effusus 'Spiralis'</v>
      </c>
      <c r="E409" s="109"/>
      <c r="F409" s="109"/>
      <c r="G409" s="99" t="str">
        <f>A!N206</f>
        <v>corkscrew rush</v>
      </c>
      <c r="H409" s="89" t="str">
        <f>A!Q206</f>
        <v>unusual corkscrew like foliage, evergreen</v>
      </c>
      <c r="I409" s="69">
        <f>A!M206</f>
        <v>2</v>
      </c>
      <c r="J409" s="202">
        <f>A!P206</f>
        <v>0</v>
      </c>
      <c r="K409" s="83">
        <f>IF(A!G206="y",1,0)</f>
        <v>0</v>
      </c>
      <c r="L409" s="83">
        <f>IF(A!H206="y",1,0)</f>
        <v>0</v>
      </c>
      <c r="M409" s="84" t="str">
        <f>IF(A!F206="y","NEW","")</f>
        <v/>
      </c>
      <c r="N409" s="85">
        <f>A!I206</f>
        <v>0</v>
      </c>
      <c r="O409" s="290" t="str">
        <f>A!O206</f>
        <v>1,2</v>
      </c>
      <c r="P409" s="541">
        <f>A!K206</f>
        <v>0</v>
      </c>
      <c r="Q409" s="541">
        <f>A!E206</f>
        <v>0</v>
      </c>
      <c r="R409" s="541" t="s">
        <v>211</v>
      </c>
      <c r="S409" s="541">
        <f t="shared" si="158"/>
        <v>0</v>
      </c>
      <c r="T409" s="541" t="str">
        <f>A!R206</f>
        <v>x3</v>
      </c>
      <c r="U409" s="541" t="str">
        <f>A!S206</f>
        <v/>
      </c>
      <c r="V409" s="541">
        <f>A!T206</f>
        <v>0.125</v>
      </c>
      <c r="W409" s="541">
        <f t="shared" si="149"/>
        <v>0</v>
      </c>
      <c r="X409" s="541"/>
    </row>
    <row r="410" spans="1:24" ht="12" hidden="1" customHeight="1" x14ac:dyDescent="0.25">
      <c r="A410" s="121" t="str">
        <f>IF(S410=0,"",COUNTIF(A$23:A409,"&gt;0")+1)</f>
        <v/>
      </c>
      <c r="B410" s="344"/>
      <c r="C410" s="76" t="str">
        <f t="shared" si="147"/>
        <v>x3</v>
      </c>
      <c r="D410" s="98" t="str">
        <f>A!C207</f>
        <v>Juncus Inflexus</v>
      </c>
      <c r="E410" s="109"/>
      <c r="F410" s="109"/>
      <c r="G410" s="99" t="str">
        <f>A!N207</f>
        <v>hard rush</v>
      </c>
      <c r="H410" s="89" t="str">
        <f>A!Q207</f>
        <v>glaucous blue, needle like foliage, to 50cm</v>
      </c>
      <c r="I410" s="69">
        <f>A!M207</f>
        <v>3</v>
      </c>
      <c r="J410" s="202" t="str">
        <f>A!P207</f>
        <v>Yes</v>
      </c>
      <c r="K410" s="83">
        <f>IF(A!G207="y",1,0)</f>
        <v>0</v>
      </c>
      <c r="L410" s="83">
        <f>IF(A!H207="y",1,0)</f>
        <v>0</v>
      </c>
      <c r="M410" s="84" t="str">
        <f>IF(A!F207="y","NEW","")</f>
        <v/>
      </c>
      <c r="N410" s="85">
        <f>A!I207</f>
        <v>0</v>
      </c>
      <c r="O410" s="290" t="str">
        <f>A!O207</f>
        <v>1,2</v>
      </c>
      <c r="P410" s="541">
        <f>A!K207</f>
        <v>0</v>
      </c>
      <c r="Q410" s="541">
        <f>A!E207</f>
        <v>0</v>
      </c>
      <c r="R410" s="541" t="s">
        <v>211</v>
      </c>
      <c r="S410" s="541">
        <f t="shared" si="158"/>
        <v>0</v>
      </c>
      <c r="T410" s="541" t="str">
        <f>A!R207</f>
        <v>x3</v>
      </c>
      <c r="U410" s="541" t="str">
        <f>A!S207</f>
        <v/>
      </c>
      <c r="V410" s="541">
        <f>A!T207</f>
        <v>0.125</v>
      </c>
      <c r="W410" s="541">
        <f t="shared" si="149"/>
        <v>0</v>
      </c>
      <c r="X410" s="541"/>
    </row>
    <row r="411" spans="1:24" ht="11.25" customHeight="1" x14ac:dyDescent="0.25">
      <c r="A411" s="121" t="str">
        <f>IF(S411=0,"",COUNTIF(A$23:A410,"&gt;0")+1)</f>
        <v/>
      </c>
      <c r="B411" s="344"/>
      <c r="C411" s="76" t="str">
        <f t="shared" si="147"/>
        <v>x3</v>
      </c>
      <c r="D411" s="98" t="str">
        <f>A!C208</f>
        <v>Lobelia Queen Victoria</v>
      </c>
      <c r="E411" s="109"/>
      <c r="F411" s="109"/>
      <c r="G411" s="99" t="str">
        <f>A!N208</f>
        <v>red cardinal</v>
      </c>
      <c r="H411" s="89" t="str">
        <f>A!Q208</f>
        <v>scarlet red flowers over stunning crimson foliage</v>
      </c>
      <c r="I411" s="69">
        <f>A!M208</f>
        <v>1</v>
      </c>
      <c r="J411" s="202">
        <f>A!P208</f>
        <v>0</v>
      </c>
      <c r="K411" s="83">
        <f>IF(A!G208="y",1,0)</f>
        <v>1</v>
      </c>
      <c r="L411" s="83">
        <f>IF(A!H208="y",1,0)</f>
        <v>1</v>
      </c>
      <c r="M411" s="84" t="str">
        <f>IF(A!F208="y","NEW","")</f>
        <v/>
      </c>
      <c r="N411" s="85">
        <f>A!I208</f>
        <v>0</v>
      </c>
      <c r="O411" s="290" t="str">
        <f>A!O208</f>
        <v>1,2</v>
      </c>
      <c r="P411" s="541" t="str">
        <f>A!K208</f>
        <v>M</v>
      </c>
      <c r="Q411" s="541" t="str">
        <f>A!E208</f>
        <v>Y</v>
      </c>
      <c r="R411" s="541" t="s">
        <v>211</v>
      </c>
      <c r="S411" s="541">
        <f t="shared" si="158"/>
        <v>0</v>
      </c>
      <c r="T411" s="541" t="str">
        <f>A!R208</f>
        <v>x3</v>
      </c>
      <c r="U411" s="541">
        <f>A!S208</f>
        <v>50</v>
      </c>
      <c r="V411" s="541">
        <f>A!T208</f>
        <v>0.125</v>
      </c>
      <c r="W411" s="541">
        <f t="shared" si="149"/>
        <v>0</v>
      </c>
      <c r="X411" s="541"/>
    </row>
    <row r="412" spans="1:24" ht="11.25" hidden="1" customHeight="1" x14ac:dyDescent="0.25">
      <c r="A412" s="121" t="str">
        <f>IF(S412=0,"",COUNTIF(A$23:A411,"&gt;0")+1)</f>
        <v/>
      </c>
      <c r="B412" s="344"/>
      <c r="C412" s="76" t="str">
        <f t="shared" ref="C412" si="162">T412</f>
        <v>x3</v>
      </c>
      <c r="D412" s="98" t="str">
        <f>A!C209</f>
        <v>Lobelia speciosa deep rose</v>
      </c>
      <c r="E412" s="109"/>
      <c r="F412" s="109"/>
      <c r="G412" s="99" t="str">
        <f>A!N209</f>
        <v>cardinal</v>
      </c>
      <c r="H412" s="89" t="str">
        <f>A!Q209</f>
        <v>contrasting deep rose flower spikes over green foliage</v>
      </c>
      <c r="I412" s="69">
        <f>A!M209</f>
        <v>1</v>
      </c>
      <c r="J412" s="202">
        <f>A!P209</f>
        <v>0</v>
      </c>
      <c r="K412" s="83">
        <f>IF(A!G209="y",1,0)</f>
        <v>0</v>
      </c>
      <c r="L412" s="83">
        <f>IF(A!H209="y",1,0)</f>
        <v>0</v>
      </c>
      <c r="M412" s="84" t="str">
        <f>IF(A!F209="y","NEW","")</f>
        <v/>
      </c>
      <c r="N412" s="85">
        <f>A!I209</f>
        <v>0</v>
      </c>
      <c r="O412" s="290" t="str">
        <f>A!O209</f>
        <v>1,2</v>
      </c>
      <c r="P412" s="541" t="str">
        <f>A!K209</f>
        <v>M</v>
      </c>
      <c r="Q412" s="541">
        <f>A!E209</f>
        <v>0</v>
      </c>
      <c r="R412" s="541" t="s">
        <v>211</v>
      </c>
      <c r="S412" s="541">
        <f t="shared" ref="S412" si="163">B412</f>
        <v>0</v>
      </c>
      <c r="T412" s="541" t="str">
        <f>A!R209</f>
        <v>x3</v>
      </c>
      <c r="U412" s="541">
        <f>A!S209</f>
        <v>50</v>
      </c>
      <c r="V412" s="541">
        <f>A!T209</f>
        <v>0.125</v>
      </c>
      <c r="W412" s="541">
        <f t="shared" ref="W412" si="164">V412*B412</f>
        <v>0</v>
      </c>
      <c r="X412" s="541"/>
    </row>
    <row r="413" spans="1:24" ht="12" hidden="1" customHeight="1" x14ac:dyDescent="0.25">
      <c r="A413" s="121" t="str">
        <f>IF(S413=0,"",COUNTIF(A$23:A412,"&gt;0")+1)</f>
        <v/>
      </c>
      <c r="B413" s="344"/>
      <c r="C413" s="76" t="str">
        <f t="shared" si="147"/>
        <v>x3</v>
      </c>
      <c r="D413" s="98" t="str">
        <f>A!C210</f>
        <v>Lobelia speciosa scarlet</v>
      </c>
      <c r="E413" s="109"/>
      <c r="F413" s="109"/>
      <c r="G413" s="99" t="str">
        <f>A!N210</f>
        <v>scarlet cardinal</v>
      </c>
      <c r="H413" s="89" t="str">
        <f>A!Q210</f>
        <v>vivid scarlet flowers over bronze leaves</v>
      </c>
      <c r="I413" s="69">
        <f>A!M210</f>
        <v>1</v>
      </c>
      <c r="J413" s="202">
        <f>A!P210</f>
        <v>0</v>
      </c>
      <c r="K413" s="83">
        <f>IF(A!G210="y",1,0)</f>
        <v>0</v>
      </c>
      <c r="L413" s="83">
        <f>IF(A!H210="y",1,0)</f>
        <v>0</v>
      </c>
      <c r="M413" s="84" t="str">
        <f>IF(A!F210="y","NEW","")</f>
        <v/>
      </c>
      <c r="N413" s="85">
        <f>A!I210</f>
        <v>0</v>
      </c>
      <c r="O413" s="290" t="str">
        <f>A!O210</f>
        <v>1,2</v>
      </c>
      <c r="P413" s="541">
        <f>A!K210</f>
        <v>0</v>
      </c>
      <c r="Q413" s="541">
        <f>A!E210</f>
        <v>0</v>
      </c>
      <c r="R413" s="541" t="s">
        <v>211</v>
      </c>
      <c r="S413" s="541">
        <f t="shared" si="158"/>
        <v>0</v>
      </c>
      <c r="T413" s="541" t="str">
        <f>A!R210</f>
        <v>x3</v>
      </c>
      <c r="U413" s="541" t="str">
        <f>A!S210</f>
        <v/>
      </c>
      <c r="V413" s="541">
        <f>A!T210</f>
        <v>0.125</v>
      </c>
      <c r="W413" s="541">
        <f t="shared" si="149"/>
        <v>0</v>
      </c>
      <c r="X413" s="541"/>
    </row>
    <row r="414" spans="1:24" ht="12" customHeight="1" x14ac:dyDescent="0.25">
      <c r="A414" s="121" t="str">
        <f>IF(S414=0,"",COUNTIF(A$23:A413,"&gt;0")+1)</f>
        <v/>
      </c>
      <c r="B414" s="351"/>
      <c r="C414" s="76" t="str">
        <f t="shared" si="147"/>
        <v>x3</v>
      </c>
      <c r="D414" s="98" t="str">
        <f>A!C211</f>
        <v>Lobelia syphilitica</v>
      </c>
      <c r="E414" s="78"/>
      <c r="F414" s="78"/>
      <c r="G414" s="99" t="str">
        <f>A!N211</f>
        <v>blue cardinal</v>
      </c>
      <c r="H414" s="89" t="str">
        <f>A!Q211</f>
        <v>spikes of brilliant true blue flowers</v>
      </c>
      <c r="I414" s="69">
        <f>A!M211</f>
        <v>1</v>
      </c>
      <c r="J414" s="202">
        <f>A!P211</f>
        <v>0</v>
      </c>
      <c r="K414" s="83">
        <f>IF(A!G211="y",1,0)</f>
        <v>1</v>
      </c>
      <c r="L414" s="83">
        <f>IF(A!H211="y",1,0)</f>
        <v>0</v>
      </c>
      <c r="M414" s="84" t="str">
        <f>IF(A!F211="y","NEW","")</f>
        <v/>
      </c>
      <c r="N414" s="85">
        <f>A!I211</f>
        <v>0</v>
      </c>
      <c r="O414" s="290" t="str">
        <f>A!O211</f>
        <v>1,2</v>
      </c>
      <c r="P414" s="541" t="str">
        <f>A!K211</f>
        <v>L</v>
      </c>
      <c r="Q414" s="541" t="str">
        <f>A!E211</f>
        <v>y</v>
      </c>
      <c r="R414" s="541" t="s">
        <v>211</v>
      </c>
      <c r="S414" s="541">
        <f t="shared" si="158"/>
        <v>0</v>
      </c>
      <c r="T414" s="541" t="str">
        <f>A!R211</f>
        <v>x3</v>
      </c>
      <c r="U414" s="541">
        <f>A!S211</f>
        <v>65</v>
      </c>
      <c r="V414" s="541">
        <f>A!T211</f>
        <v>0.125</v>
      </c>
      <c r="W414" s="541">
        <f t="shared" si="149"/>
        <v>0</v>
      </c>
      <c r="X414" s="541"/>
    </row>
    <row r="415" spans="1:24" ht="12" hidden="1" customHeight="1" x14ac:dyDescent="0.25">
      <c r="A415" s="121" t="str">
        <f>IF(S415=0,"",COUNTIF(A$23:A414,"&gt;0")+1)</f>
        <v/>
      </c>
      <c r="B415" s="347"/>
      <c r="C415" s="128" t="str">
        <f t="shared" ref="C415" si="165">T415</f>
        <v>x3</v>
      </c>
      <c r="D415" s="119" t="str">
        <f>A!C212</f>
        <v>Lobelia syphilitica 'Alba'</v>
      </c>
      <c r="E415" s="514"/>
      <c r="F415" s="514"/>
      <c r="G415" s="197" t="str">
        <f>A!N212</f>
        <v>white cardinal</v>
      </c>
      <c r="H415" s="129" t="str">
        <f>A!Q212</f>
        <v>pure white flowers over green foliage</v>
      </c>
      <c r="I415" s="130">
        <f>A!M212</f>
        <v>1</v>
      </c>
      <c r="J415" s="203">
        <f>A!P212</f>
        <v>0</v>
      </c>
      <c r="K415" s="131">
        <f>IF(A!G212="y",1,0)</f>
        <v>0</v>
      </c>
      <c r="L415" s="131">
        <f>IF(A!H212="y",1,0)</f>
        <v>0</v>
      </c>
      <c r="M415" s="132" t="str">
        <f>IF(A!F212="y","NEW","")</f>
        <v/>
      </c>
      <c r="N415" s="133">
        <f>A!I212</f>
        <v>0</v>
      </c>
      <c r="O415" s="307" t="str">
        <f>A!O212</f>
        <v>1,2</v>
      </c>
      <c r="P415" s="541" t="str">
        <f>A!K212</f>
        <v>L</v>
      </c>
      <c r="Q415" s="541">
        <f>A!E212</f>
        <v>0</v>
      </c>
      <c r="R415" s="541" t="s">
        <v>211</v>
      </c>
      <c r="S415" s="541">
        <f t="shared" ref="S415" si="166">B415</f>
        <v>0</v>
      </c>
      <c r="T415" s="541" t="str">
        <f>A!R212</f>
        <v>x3</v>
      </c>
      <c r="U415" s="541">
        <f>A!S212</f>
        <v>65</v>
      </c>
      <c r="V415" s="541">
        <f>A!T212</f>
        <v>0.125</v>
      </c>
      <c r="W415" s="541">
        <f t="shared" si="149"/>
        <v>0</v>
      </c>
      <c r="X415" s="541"/>
    </row>
    <row r="416" spans="1:24" ht="11.25" hidden="1" customHeight="1" x14ac:dyDescent="0.25">
      <c r="A416" s="121" t="str">
        <f>IF(S416=0,"",COUNTIF(A$23:A415,"&gt;0")+1)</f>
        <v/>
      </c>
      <c r="B416" s="344"/>
      <c r="C416" s="76" t="str">
        <f t="shared" ref="C416" si="167">T416</f>
        <v>x3</v>
      </c>
      <c r="D416" s="98" t="str">
        <f>A!C213</f>
        <v>Lobelia vedrariensis</v>
      </c>
      <c r="E416" s="109"/>
      <c r="F416" s="109"/>
      <c r="G416" s="99" t="str">
        <f>A!N213</f>
        <v>purple cardinal</v>
      </c>
      <c r="H416" s="89" t="str">
        <f>A!Q213</f>
        <v>offering long spires of royal purple flowers</v>
      </c>
      <c r="I416" s="69">
        <f>A!M213</f>
        <v>2</v>
      </c>
      <c r="J416" s="202">
        <f>A!P213</f>
        <v>0</v>
      </c>
      <c r="K416" s="83">
        <f>IF(A!G213="y",1,0)</f>
        <v>0</v>
      </c>
      <c r="L416" s="83">
        <f>IF(A!H213="y",1,0)</f>
        <v>0</v>
      </c>
      <c r="M416" s="84" t="str">
        <f>IF(A!F213="y","NEW","")</f>
        <v/>
      </c>
      <c r="N416" s="85">
        <f>A!I213</f>
        <v>0</v>
      </c>
      <c r="O416" s="290" t="str">
        <f>A!O213</f>
        <v>1,2</v>
      </c>
      <c r="P416" s="541" t="str">
        <f>A!K213</f>
        <v>M</v>
      </c>
      <c r="Q416" s="541">
        <f>A!E213</f>
        <v>0</v>
      </c>
      <c r="R416" s="541" t="s">
        <v>211</v>
      </c>
      <c r="S416" s="541">
        <f t="shared" ref="S416" si="168">B416</f>
        <v>0</v>
      </c>
      <c r="T416" s="541" t="str">
        <f>A!R213</f>
        <v>x3</v>
      </c>
      <c r="U416" s="541">
        <f>A!S213</f>
        <v>50</v>
      </c>
      <c r="V416" s="541">
        <f>A!T213</f>
        <v>0.125</v>
      </c>
      <c r="W416" s="541">
        <f t="shared" si="149"/>
        <v>0</v>
      </c>
      <c r="X416" s="541"/>
    </row>
    <row r="417" spans="1:24" ht="12" hidden="1" customHeight="1" x14ac:dyDescent="0.25">
      <c r="A417" s="121" t="str">
        <f>IF(S417=0,"",COUNTIF(A$23:A416,"&gt;0")+1)</f>
        <v/>
      </c>
      <c r="B417" s="344"/>
      <c r="C417" s="76" t="str">
        <f t="shared" si="147"/>
        <v>x3</v>
      </c>
      <c r="D417" s="98" t="str">
        <f>A!C214</f>
        <v>Lychnis flos cuculi</v>
      </c>
      <c r="E417" s="109"/>
      <c r="F417" s="109"/>
      <c r="G417" s="99" t="str">
        <f>A!N214</f>
        <v>ragged robin</v>
      </c>
      <c r="H417" s="89" t="str">
        <f>A!Q214</f>
        <v>star-shaped deep rose-pink flowers</v>
      </c>
      <c r="I417" s="69">
        <f>A!M214</f>
        <v>3</v>
      </c>
      <c r="J417" s="202">
        <f>A!P214</f>
        <v>0</v>
      </c>
      <c r="K417" s="83">
        <f>IF(A!G214="y",1,0)</f>
        <v>0</v>
      </c>
      <c r="L417" s="83">
        <f>IF(A!H214="y",1,0)</f>
        <v>0</v>
      </c>
      <c r="M417" s="84" t="str">
        <f>IF(A!F214="y","NEW","")</f>
        <v/>
      </c>
      <c r="N417" s="85">
        <f>A!I214</f>
        <v>0</v>
      </c>
      <c r="O417" s="290">
        <f>A!O214</f>
        <v>1</v>
      </c>
      <c r="P417" s="541">
        <f>A!K214</f>
        <v>0</v>
      </c>
      <c r="Q417" s="541">
        <f>A!E214</f>
        <v>0</v>
      </c>
      <c r="R417" s="541" t="s">
        <v>211</v>
      </c>
      <c r="S417" s="541">
        <f t="shared" ref="S417" si="169">B417</f>
        <v>0</v>
      </c>
      <c r="T417" s="541" t="str">
        <f>A!R214</f>
        <v>x3</v>
      </c>
      <c r="U417" s="541" t="str">
        <f>A!S214</f>
        <v/>
      </c>
      <c r="V417" s="541">
        <f>A!T214</f>
        <v>0.125</v>
      </c>
      <c r="W417" s="541">
        <f t="shared" si="149"/>
        <v>0</v>
      </c>
      <c r="X417" s="541"/>
    </row>
    <row r="418" spans="1:24" ht="12" hidden="1" customHeight="1" x14ac:dyDescent="0.25">
      <c r="A418" s="121" t="str">
        <f>IF(S418=0,"",COUNTIF(A$23:A417,"&gt;0")+1)</f>
        <v/>
      </c>
      <c r="B418" s="344"/>
      <c r="C418" s="76" t="str">
        <f t="shared" si="147"/>
        <v>x3</v>
      </c>
      <c r="D418" s="98" t="str">
        <f>A!C215</f>
        <v>Lysichiton camtschatcensis</v>
      </c>
      <c r="E418" s="109"/>
      <c r="F418" s="109"/>
      <c r="G418" s="99" t="str">
        <f>A!N215</f>
        <v>white skunk cabbage</v>
      </c>
      <c r="H418" s="89" t="str">
        <f>A!Q215</f>
        <v>large white spathe over fragrant green foliage</v>
      </c>
      <c r="I418" s="69">
        <f>A!M215</f>
        <v>3</v>
      </c>
      <c r="J418" s="202">
        <f>A!P215</f>
        <v>0</v>
      </c>
      <c r="K418" s="83">
        <f>IF(A!G215="y",1,0)</f>
        <v>0</v>
      </c>
      <c r="L418" s="83">
        <f>IF(A!H215="y",1,0)</f>
        <v>0</v>
      </c>
      <c r="M418" s="84" t="str">
        <f>IF(A!F215="y","NEW","")</f>
        <v/>
      </c>
      <c r="N418" s="85">
        <f>A!I215</f>
        <v>0</v>
      </c>
      <c r="O418" s="290" t="str">
        <f>A!O215</f>
        <v>1,2</v>
      </c>
      <c r="P418" s="541">
        <f>A!K215</f>
        <v>0</v>
      </c>
      <c r="Q418" s="541">
        <f>A!E215</f>
        <v>0</v>
      </c>
      <c r="R418" s="541" t="s">
        <v>211</v>
      </c>
      <c r="S418" s="541">
        <f t="shared" si="158"/>
        <v>0</v>
      </c>
      <c r="T418" s="541" t="str">
        <f>A!R215</f>
        <v>x3</v>
      </c>
      <c r="U418" s="541" t="str">
        <f>A!S215</f>
        <v/>
      </c>
      <c r="V418" s="541">
        <f>A!T215</f>
        <v>0.125</v>
      </c>
      <c r="W418" s="541">
        <f t="shared" si="149"/>
        <v>0</v>
      </c>
      <c r="X418" s="541"/>
    </row>
    <row r="419" spans="1:24" ht="12" hidden="1" customHeight="1" x14ac:dyDescent="0.25">
      <c r="A419" s="121" t="str">
        <f>IF(S419=0,"",COUNTIF(A$23:A418,"&gt;0")+1)</f>
        <v/>
      </c>
      <c r="B419" s="344"/>
      <c r="C419" s="76" t="str">
        <f t="shared" si="147"/>
        <v>x3</v>
      </c>
      <c r="D419" s="98" t="str">
        <f>A!C216</f>
        <v>Lysimachia nummularia</v>
      </c>
      <c r="E419" s="109"/>
      <c r="F419" s="109"/>
      <c r="G419" s="99" t="str">
        <f>A!N216</f>
        <v>creeping jenny</v>
      </c>
      <c r="H419" s="89" t="str">
        <f>A!Q216</f>
        <v>perfect for the pondside or margin</v>
      </c>
      <c r="I419" s="69">
        <f>A!M216</f>
        <v>2</v>
      </c>
      <c r="J419" s="202" t="str">
        <f>A!P216</f>
        <v>Yes</v>
      </c>
      <c r="K419" s="83">
        <f>IF(A!G216="y",1,0)</f>
        <v>0</v>
      </c>
      <c r="L419" s="83">
        <f>IF(A!H216="y",1,0)</f>
        <v>0</v>
      </c>
      <c r="M419" s="84" t="str">
        <f>IF(A!F216="y","NEW","")</f>
        <v/>
      </c>
      <c r="N419" s="85">
        <f>A!I216</f>
        <v>0</v>
      </c>
      <c r="O419" s="290" t="str">
        <f>A!O216</f>
        <v>1,2</v>
      </c>
      <c r="P419" s="541">
        <f>A!K216</f>
        <v>0</v>
      </c>
      <c r="Q419" s="541">
        <f>A!E216</f>
        <v>0</v>
      </c>
      <c r="R419" s="541" t="s">
        <v>211</v>
      </c>
      <c r="S419" s="541">
        <f t="shared" si="158"/>
        <v>0</v>
      </c>
      <c r="T419" s="541" t="str">
        <f>A!R216</f>
        <v>x3</v>
      </c>
      <c r="U419" s="541" t="str">
        <f>A!S216</f>
        <v/>
      </c>
      <c r="V419" s="541">
        <f>A!T216</f>
        <v>0.125</v>
      </c>
      <c r="W419" s="541">
        <f t="shared" si="149"/>
        <v>0</v>
      </c>
      <c r="X419" s="541"/>
    </row>
    <row r="420" spans="1:24" ht="12" hidden="1" customHeight="1" x14ac:dyDescent="0.25">
      <c r="A420" s="121" t="str">
        <f>IF(S420=0,"",COUNTIF(A$23:A419,"&gt;0")+1)</f>
        <v/>
      </c>
      <c r="B420" s="344"/>
      <c r="C420" s="76" t="str">
        <f t="shared" si="147"/>
        <v>x3</v>
      </c>
      <c r="D420" s="98" t="str">
        <f>A!C217</f>
        <v>Lysimachia nummularia 'aurea'</v>
      </c>
      <c r="E420" s="109"/>
      <c r="F420" s="109"/>
      <c r="G420" s="99" t="str">
        <f>A!N217</f>
        <v>golden jenny</v>
      </c>
      <c r="H420" s="89" t="str">
        <f>A!Q217</f>
        <v>low rafting mat of golden foliage with yellow flowers</v>
      </c>
      <c r="I420" s="69">
        <f>A!M217</f>
        <v>1</v>
      </c>
      <c r="J420" s="202">
        <f>A!P217</f>
        <v>0</v>
      </c>
      <c r="K420" s="83">
        <f>IF(A!G217="y",1,0)</f>
        <v>0</v>
      </c>
      <c r="L420" s="83">
        <f>IF(A!H217="y",1,0)</f>
        <v>0</v>
      </c>
      <c r="M420" s="84" t="str">
        <f>IF(A!F217="y","NEW","")</f>
        <v/>
      </c>
      <c r="N420" s="85">
        <f>A!I217</f>
        <v>0</v>
      </c>
      <c r="O420" s="290" t="str">
        <f>A!O217</f>
        <v>1,2</v>
      </c>
      <c r="P420" s="541">
        <f>A!K217</f>
        <v>0</v>
      </c>
      <c r="Q420" s="541">
        <f>A!E217</f>
        <v>0</v>
      </c>
      <c r="R420" s="541" t="s">
        <v>211</v>
      </c>
      <c r="S420" s="541">
        <f t="shared" si="158"/>
        <v>0</v>
      </c>
      <c r="T420" s="541" t="str">
        <f>A!R217</f>
        <v>x3</v>
      </c>
      <c r="U420" s="541" t="str">
        <f>A!S217</f>
        <v/>
      </c>
      <c r="V420" s="541">
        <f>A!T217</f>
        <v>0.125</v>
      </c>
      <c r="W420" s="541">
        <f t="shared" si="149"/>
        <v>0</v>
      </c>
      <c r="X420" s="541"/>
    </row>
    <row r="421" spans="1:24" ht="12" hidden="1" customHeight="1" x14ac:dyDescent="0.25">
      <c r="A421" s="121" t="str">
        <f>IF(S421=0,"",COUNTIF(A$23:A420,"&gt;0")+1)</f>
        <v/>
      </c>
      <c r="B421" s="344"/>
      <c r="C421" s="76" t="str">
        <f t="shared" si="147"/>
        <v>x3</v>
      </c>
      <c r="D421" s="98" t="str">
        <f>A!C218</f>
        <v>Lythrum salicaria</v>
      </c>
      <c r="E421" s="109"/>
      <c r="F421" s="109"/>
      <c r="G421" s="99" t="str">
        <f>A!N218</f>
        <v>purple loosestrife</v>
      </c>
      <c r="H421" s="89" t="str">
        <f>A!Q218</f>
        <v>beautiful tall pink flowers throughout the season</v>
      </c>
      <c r="I421" s="69">
        <f>A!M218</f>
        <v>2</v>
      </c>
      <c r="J421" s="202" t="str">
        <f>A!P218</f>
        <v>Yes</v>
      </c>
      <c r="K421" s="83">
        <f>IF(A!G218="y",1,0)</f>
        <v>0</v>
      </c>
      <c r="L421" s="83">
        <f>IF(A!H218="y",1,0)</f>
        <v>0</v>
      </c>
      <c r="M421" s="84" t="str">
        <f>IF(A!F218="y","NEW","")</f>
        <v/>
      </c>
      <c r="N421" s="85">
        <f>A!I218</f>
        <v>0</v>
      </c>
      <c r="O421" s="290" t="str">
        <f>A!O218</f>
        <v>1,2</v>
      </c>
      <c r="P421" s="541" t="str">
        <f>A!K218</f>
        <v>M</v>
      </c>
      <c r="Q421" s="541">
        <f>A!E218</f>
        <v>0</v>
      </c>
      <c r="R421" s="541" t="s">
        <v>211</v>
      </c>
      <c r="S421" s="541">
        <f t="shared" si="158"/>
        <v>0</v>
      </c>
      <c r="T421" s="541" t="str">
        <f>A!R218</f>
        <v>x3</v>
      </c>
      <c r="U421" s="541">
        <f>A!S218</f>
        <v>50</v>
      </c>
      <c r="V421" s="541">
        <f>A!T218</f>
        <v>0.125</v>
      </c>
      <c r="W421" s="541">
        <f t="shared" si="149"/>
        <v>0</v>
      </c>
      <c r="X421" s="541"/>
    </row>
    <row r="422" spans="1:24" ht="12" hidden="1" customHeight="1" x14ac:dyDescent="0.25">
      <c r="A422" s="121" t="str">
        <f>IF(S422=0,"",COUNTIF(A$23:A421,"&gt;0")+1)</f>
        <v/>
      </c>
      <c r="B422" s="344"/>
      <c r="C422" s="76" t="str">
        <f t="shared" si="147"/>
        <v>x3</v>
      </c>
      <c r="D422" s="98" t="str">
        <f>A!C219</f>
        <v>Mentha aquatica</v>
      </c>
      <c r="E422" s="109"/>
      <c r="F422" s="109"/>
      <c r="G422" s="99" t="str">
        <f>A!N219</f>
        <v>water mint</v>
      </c>
      <c r="H422" s="89" t="str">
        <f>A!Q219</f>
        <v>a must have herb for every pondkeeper</v>
      </c>
      <c r="I422" s="69">
        <f>A!M219</f>
        <v>1</v>
      </c>
      <c r="J422" s="202" t="str">
        <f>A!P219</f>
        <v>Yes</v>
      </c>
      <c r="K422" s="83">
        <f>IF(A!G219="y",1,0)</f>
        <v>0</v>
      </c>
      <c r="L422" s="83">
        <f>IF(A!H219="y",1,0)</f>
        <v>0</v>
      </c>
      <c r="M422" s="84" t="str">
        <f>IF(A!F219="y","NEW","")</f>
        <v/>
      </c>
      <c r="N422" s="85">
        <f>A!I219</f>
        <v>0</v>
      </c>
      <c r="O422" s="290" t="str">
        <f>A!O219</f>
        <v>1,2</v>
      </c>
      <c r="P422" s="541" t="str">
        <f>A!K219</f>
        <v>M</v>
      </c>
      <c r="Q422" s="541">
        <f>A!E219</f>
        <v>0</v>
      </c>
      <c r="R422" s="541" t="s">
        <v>211</v>
      </c>
      <c r="S422" s="541">
        <f t="shared" si="158"/>
        <v>0</v>
      </c>
      <c r="T422" s="541" t="str">
        <f>A!R219</f>
        <v>x3</v>
      </c>
      <c r="U422" s="541">
        <f>A!S219</f>
        <v>50</v>
      </c>
      <c r="V422" s="541">
        <f>A!T219</f>
        <v>0.125</v>
      </c>
      <c r="W422" s="541">
        <f t="shared" si="149"/>
        <v>0</v>
      </c>
      <c r="X422" s="541"/>
    </row>
    <row r="423" spans="1:24" ht="12" hidden="1" customHeight="1" x14ac:dyDescent="0.25">
      <c r="A423" s="121" t="str">
        <f>IF(S423=0,"",COUNTIF(A$23:A422,"&gt;0")+1)</f>
        <v/>
      </c>
      <c r="B423" s="344"/>
      <c r="C423" s="76" t="str">
        <f t="shared" si="147"/>
        <v>x3</v>
      </c>
      <c r="D423" s="98" t="str">
        <f>A!C220</f>
        <v>Mentha pulegium</v>
      </c>
      <c r="E423" s="109"/>
      <c r="F423" s="109"/>
      <c r="G423" s="99" t="str">
        <f>A!N220</f>
        <v>Penny royal</v>
      </c>
      <c r="H423" s="89" t="str">
        <f>A!Q220</f>
        <v>a creeping mint, compact and aromatic</v>
      </c>
      <c r="I423" s="69">
        <f>A!M220</f>
        <v>2</v>
      </c>
      <c r="J423" s="202" t="str">
        <f>A!P220</f>
        <v>Yes</v>
      </c>
      <c r="K423" s="83">
        <f>IF(A!G220="y",1,0)</f>
        <v>0</v>
      </c>
      <c r="L423" s="83">
        <f>IF(A!H220="y",1,0)</f>
        <v>0</v>
      </c>
      <c r="M423" s="84" t="str">
        <f>IF(A!F220="y","NEW","")</f>
        <v/>
      </c>
      <c r="N423" s="85">
        <f>A!I220</f>
        <v>0</v>
      </c>
      <c r="O423" s="290" t="str">
        <f>A!O220</f>
        <v>1,2</v>
      </c>
      <c r="P423" s="541">
        <f>A!K220</f>
        <v>0</v>
      </c>
      <c r="Q423" s="541">
        <f>A!E220</f>
        <v>0</v>
      </c>
      <c r="R423" s="541" t="s">
        <v>211</v>
      </c>
      <c r="S423" s="541">
        <f t="shared" si="158"/>
        <v>0</v>
      </c>
      <c r="T423" s="541" t="str">
        <f>A!R220</f>
        <v>x3</v>
      </c>
      <c r="U423" s="541" t="str">
        <f>A!S220</f>
        <v/>
      </c>
      <c r="V423" s="541">
        <f>A!T220</f>
        <v>0.125</v>
      </c>
      <c r="W423" s="541">
        <f t="shared" si="149"/>
        <v>0</v>
      </c>
      <c r="X423" s="541"/>
    </row>
    <row r="424" spans="1:24" ht="12" customHeight="1" x14ac:dyDescent="0.25">
      <c r="A424" s="121" t="str">
        <f>IF(S424=0,"",COUNTIF(A$23:A423,"&gt;0")+1)</f>
        <v/>
      </c>
      <c r="B424" s="344"/>
      <c r="C424" s="76" t="str">
        <f t="shared" ref="C424" si="170">T424</f>
        <v>x3</v>
      </c>
      <c r="D424" s="98" t="str">
        <f>A!C221</f>
        <v>Menyanthes trifoliata</v>
      </c>
      <c r="E424" s="109"/>
      <c r="F424" s="109"/>
      <c r="G424" s="99" t="str">
        <f>A!N221</f>
        <v>bog bean</v>
      </c>
      <c r="H424" s="89" t="str">
        <f>A!Q221</f>
        <v>starry white flowers and unusual tri-lobed leaves</v>
      </c>
      <c r="I424" s="69">
        <f>A!M221</f>
        <v>2</v>
      </c>
      <c r="J424" s="202" t="str">
        <f>A!P221</f>
        <v>Yes</v>
      </c>
      <c r="K424" s="83">
        <f>IF(A!G221="y",1,0)</f>
        <v>1</v>
      </c>
      <c r="L424" s="83">
        <f>IF(A!H221="y",1,0)</f>
        <v>0</v>
      </c>
      <c r="M424" s="84" t="str">
        <f>IF(A!F221="y","NEW","")</f>
        <v/>
      </c>
      <c r="N424" s="85">
        <f>A!I221</f>
        <v>0</v>
      </c>
      <c r="O424" s="290" t="str">
        <f>A!O221</f>
        <v>2,3</v>
      </c>
      <c r="P424" s="541" t="str">
        <f>A!K221</f>
        <v>S</v>
      </c>
      <c r="Q424" s="541" t="str">
        <f>A!E221</f>
        <v>y</v>
      </c>
      <c r="R424" s="541" t="s">
        <v>211</v>
      </c>
      <c r="S424" s="541">
        <f t="shared" ref="S424" si="171">B424</f>
        <v>0</v>
      </c>
      <c r="T424" s="541" t="str">
        <f>A!R221</f>
        <v>x3</v>
      </c>
      <c r="U424" s="541">
        <f>A!S221</f>
        <v>30</v>
      </c>
      <c r="V424" s="541">
        <f>A!T221</f>
        <v>0.125</v>
      </c>
      <c r="W424" s="541">
        <f t="shared" ref="W424:W430" si="172">V424*B424</f>
        <v>0</v>
      </c>
      <c r="X424" s="541"/>
    </row>
    <row r="425" spans="1:24" ht="12" hidden="1" customHeight="1" x14ac:dyDescent="0.25">
      <c r="A425" s="121" t="str">
        <f>IF(S425=0,"",COUNTIF(A$23:A424,"&gt;0")+1)</f>
        <v/>
      </c>
      <c r="B425" s="344"/>
      <c r="C425" s="76" t="str">
        <f t="shared" si="147"/>
        <v>x3</v>
      </c>
      <c r="D425" s="98" t="str">
        <f>A!C222</f>
        <v>Mimulus luteus</v>
      </c>
      <c r="E425" s="109"/>
      <c r="F425" s="109"/>
      <c r="G425" s="99" t="str">
        <f>A!N222</f>
        <v>blotched monkey flower</v>
      </c>
      <c r="H425" s="89" t="str">
        <f>A!Q222</f>
        <v>abundance of yellow and red blotched flowers</v>
      </c>
      <c r="I425" s="69">
        <f>A!M222</f>
        <v>1</v>
      </c>
      <c r="J425" s="202">
        <f>A!P222</f>
        <v>0</v>
      </c>
      <c r="K425" s="83">
        <f>IF(A!G222="y",1,0)</f>
        <v>0</v>
      </c>
      <c r="L425" s="83">
        <f>IF(A!H222="y",1,0)</f>
        <v>0</v>
      </c>
      <c r="M425" s="84" t="str">
        <f>IF(A!F222="y","NEW","")</f>
        <v/>
      </c>
      <c r="N425" s="85">
        <f>A!I222</f>
        <v>0</v>
      </c>
      <c r="O425" s="290" t="str">
        <f>A!O222</f>
        <v>1,2</v>
      </c>
      <c r="P425" s="541">
        <f>A!K222</f>
        <v>0</v>
      </c>
      <c r="Q425" s="541">
        <f>A!E222</f>
        <v>0</v>
      </c>
      <c r="R425" s="541" t="s">
        <v>211</v>
      </c>
      <c r="S425" s="541">
        <f t="shared" si="158"/>
        <v>0</v>
      </c>
      <c r="T425" s="541" t="str">
        <f>A!R222</f>
        <v>x3</v>
      </c>
      <c r="U425" s="541" t="str">
        <f>A!S222</f>
        <v/>
      </c>
      <c r="V425" s="541">
        <f>A!T222</f>
        <v>0.125</v>
      </c>
      <c r="W425" s="541">
        <f t="shared" si="172"/>
        <v>0</v>
      </c>
      <c r="X425" s="541"/>
    </row>
    <row r="426" spans="1:24" ht="12" hidden="1" customHeight="1" x14ac:dyDescent="0.25">
      <c r="A426" s="121" t="str">
        <f>IF(S426=0,"",COUNTIF(A$23:A425,"&gt;0")+1)</f>
        <v/>
      </c>
      <c r="B426" s="344"/>
      <c r="C426" s="76" t="str">
        <f t="shared" si="147"/>
        <v>x3</v>
      </c>
      <c r="D426" s="98" t="str">
        <f>A!C223</f>
        <v>Mimulus Queen's Prize</v>
      </c>
      <c r="E426" s="109"/>
      <c r="F426" s="109"/>
      <c r="G426" s="99" t="str">
        <f>A!N223</f>
        <v>monkey flower</v>
      </c>
      <c r="H426" s="89" t="str">
        <f>A!Q223</f>
        <v>blood-red blotches on yellow petals</v>
      </c>
      <c r="I426" s="69">
        <f>A!M223</f>
        <v>2</v>
      </c>
      <c r="J426" s="202">
        <f>A!P223</f>
        <v>0</v>
      </c>
      <c r="K426" s="83">
        <f>IF(A!G223="y",1,0)</f>
        <v>0</v>
      </c>
      <c r="L426" s="83">
        <f>IF(A!H223="y",1,0)</f>
        <v>0</v>
      </c>
      <c r="M426" s="84" t="str">
        <f>IF(A!F223="y","NEW","")</f>
        <v/>
      </c>
      <c r="N426" s="85">
        <f>A!I223</f>
        <v>0</v>
      </c>
      <c r="O426" s="290" t="str">
        <f>A!O223</f>
        <v>1,2</v>
      </c>
      <c r="P426" s="541">
        <f>A!K223</f>
        <v>0</v>
      </c>
      <c r="Q426" s="541">
        <f>A!E223</f>
        <v>0</v>
      </c>
      <c r="R426" s="541" t="s">
        <v>211</v>
      </c>
      <c r="S426" s="541">
        <f t="shared" si="158"/>
        <v>0</v>
      </c>
      <c r="T426" s="541" t="str">
        <f>A!R223</f>
        <v>x3</v>
      </c>
      <c r="U426" s="541" t="str">
        <f>A!S223</f>
        <v/>
      </c>
      <c r="V426" s="541">
        <f>A!T223</f>
        <v>0.125</v>
      </c>
      <c r="W426" s="541">
        <f t="shared" si="172"/>
        <v>0</v>
      </c>
      <c r="X426" s="541"/>
    </row>
    <row r="427" spans="1:24" ht="12" hidden="1" customHeight="1" x14ac:dyDescent="0.25">
      <c r="A427" s="121" t="str">
        <f>IF(S427=0,"",COUNTIF(A$23:A426,"&gt;0")+1)</f>
        <v/>
      </c>
      <c r="B427" s="344"/>
      <c r="C427" s="76" t="str">
        <f t="shared" ref="C427:C452" si="173">T427</f>
        <v>x3</v>
      </c>
      <c r="D427" s="98" t="str">
        <f>A!C224</f>
        <v>Mimulus ringens</v>
      </c>
      <c r="E427" s="109"/>
      <c r="F427" s="109"/>
      <c r="G427" s="99" t="str">
        <f>A!N224</f>
        <v>monkey flower</v>
      </c>
      <c r="H427" s="89" t="str">
        <f>A!Q224</f>
        <v>name stems from flowers likeness to a monkey's face</v>
      </c>
      <c r="I427" s="69">
        <f>A!M224</f>
        <v>1</v>
      </c>
      <c r="J427" s="202">
        <f>A!P224</f>
        <v>0</v>
      </c>
      <c r="K427" s="83">
        <f>IF(A!G224="y",1,0)</f>
        <v>0</v>
      </c>
      <c r="L427" s="83">
        <f>IF(A!H224="y",1,0)</f>
        <v>0</v>
      </c>
      <c r="M427" s="84" t="str">
        <f>IF(A!F224="y","NEW","")</f>
        <v/>
      </c>
      <c r="N427" s="85">
        <f>A!I224</f>
        <v>0</v>
      </c>
      <c r="O427" s="290" t="str">
        <f>A!O224</f>
        <v>1,2</v>
      </c>
      <c r="P427" s="541">
        <f>A!K224</f>
        <v>0</v>
      </c>
      <c r="Q427" s="541">
        <f>A!E224</f>
        <v>0</v>
      </c>
      <c r="R427" s="541" t="s">
        <v>211</v>
      </c>
      <c r="S427" s="541">
        <f t="shared" ref="S427:S456" si="174">B427</f>
        <v>0</v>
      </c>
      <c r="T427" s="541" t="str">
        <f>A!R224</f>
        <v>x3</v>
      </c>
      <c r="U427" s="541" t="str">
        <f>A!S224</f>
        <v/>
      </c>
      <c r="V427" s="541">
        <f>A!T224</f>
        <v>0.125</v>
      </c>
      <c r="W427" s="541">
        <f t="shared" si="172"/>
        <v>0</v>
      </c>
      <c r="X427" s="541"/>
    </row>
    <row r="428" spans="1:24" ht="12" hidden="1" customHeight="1" x14ac:dyDescent="0.25">
      <c r="A428" s="121" t="str">
        <f>IF(S428=0,"",COUNTIF(A$23:A427,"&gt;0")+1)</f>
        <v/>
      </c>
      <c r="B428" s="344"/>
      <c r="C428" s="76" t="str">
        <f t="shared" si="173"/>
        <v>x3</v>
      </c>
      <c r="D428" s="98" t="str">
        <f>A!C225</f>
        <v>Myosotis palustris</v>
      </c>
      <c r="E428" s="109"/>
      <c r="F428" s="109"/>
      <c r="G428" s="99" t="str">
        <f>A!N225</f>
        <v>water forget-me-not</v>
      </c>
      <c r="H428" s="89" t="str">
        <f>A!Q225</f>
        <v>must have for every pond, small blue flowers</v>
      </c>
      <c r="I428" s="69">
        <f>A!M225</f>
        <v>1</v>
      </c>
      <c r="J428" s="202" t="str">
        <f>A!P225</f>
        <v>Yes</v>
      </c>
      <c r="K428" s="83">
        <f>IF(A!G225="y",1,0)</f>
        <v>0</v>
      </c>
      <c r="L428" s="83">
        <f>IF(A!H225="y",1,0)</f>
        <v>0</v>
      </c>
      <c r="M428" s="84" t="str">
        <f>IF(A!F225="y","NEW","")</f>
        <v/>
      </c>
      <c r="N428" s="85">
        <f>A!I225</f>
        <v>0</v>
      </c>
      <c r="O428" s="290">
        <f>A!O225</f>
        <v>2</v>
      </c>
      <c r="P428" s="541" t="str">
        <f>A!K225</f>
        <v>M</v>
      </c>
      <c r="Q428" s="541">
        <f>A!E225</f>
        <v>0</v>
      </c>
      <c r="R428" s="541" t="s">
        <v>211</v>
      </c>
      <c r="S428" s="541">
        <f t="shared" si="174"/>
        <v>0</v>
      </c>
      <c r="T428" s="541" t="str">
        <f>A!R225</f>
        <v>x3</v>
      </c>
      <c r="U428" s="541">
        <f>A!S225</f>
        <v>50</v>
      </c>
      <c r="V428" s="541">
        <f>A!T225</f>
        <v>0.125</v>
      </c>
      <c r="W428" s="541">
        <f t="shared" si="172"/>
        <v>0</v>
      </c>
      <c r="X428" s="541"/>
    </row>
    <row r="429" spans="1:24" ht="12" hidden="1" customHeight="1" x14ac:dyDescent="0.25">
      <c r="A429" s="121" t="str">
        <f>IF(S429=0,"",COUNTIF(A$23:A428,"&gt;0")+1)</f>
        <v/>
      </c>
      <c r="B429" s="344"/>
      <c r="C429" s="76" t="str">
        <f t="shared" si="173"/>
        <v>x3</v>
      </c>
      <c r="D429" s="98" t="str">
        <f>A!C226</f>
        <v>Myosotis palustris Alba</v>
      </c>
      <c r="E429" s="109"/>
      <c r="F429" s="109"/>
      <c r="G429" s="99" t="str">
        <f>A!N226</f>
        <v>white water forget-me-not</v>
      </c>
      <c r="H429" s="89" t="str">
        <f>A!Q226</f>
        <v>white flowers over green foliage</v>
      </c>
      <c r="I429" s="69">
        <f>A!M226</f>
        <v>1</v>
      </c>
      <c r="J429" s="202">
        <f>A!P226</f>
        <v>0</v>
      </c>
      <c r="K429" s="83">
        <f>IF(A!G226="y",1,0)</f>
        <v>0</v>
      </c>
      <c r="L429" s="83">
        <f>IF(A!H226="y",1,0)</f>
        <v>0</v>
      </c>
      <c r="M429" s="84" t="str">
        <f>IF(A!F226="y","NEW","")</f>
        <v/>
      </c>
      <c r="N429" s="85">
        <f>A!I226</f>
        <v>0</v>
      </c>
      <c r="O429" s="290" t="str">
        <f>A!O226</f>
        <v>1,2</v>
      </c>
      <c r="P429" s="541">
        <f>A!K226</f>
        <v>0</v>
      </c>
      <c r="Q429" s="541">
        <f>A!E226</f>
        <v>0</v>
      </c>
      <c r="R429" s="541" t="s">
        <v>211</v>
      </c>
      <c r="S429" s="541">
        <f t="shared" si="174"/>
        <v>0</v>
      </c>
      <c r="T429" s="541" t="str">
        <f>A!R226</f>
        <v>x3</v>
      </c>
      <c r="U429" s="541" t="str">
        <f>A!S226</f>
        <v/>
      </c>
      <c r="V429" s="541">
        <f>A!T226</f>
        <v>0.125</v>
      </c>
      <c r="W429" s="541">
        <f t="shared" si="172"/>
        <v>0</v>
      </c>
      <c r="X429" s="541"/>
    </row>
    <row r="430" spans="1:24" ht="12" hidden="1" customHeight="1" x14ac:dyDescent="0.25">
      <c r="A430" s="121" t="str">
        <f>IF(S430=0,"",COUNTIF(A$23:A429,"&gt;0")+1)</f>
        <v/>
      </c>
      <c r="B430" s="344"/>
      <c r="C430" s="76" t="str">
        <f t="shared" si="173"/>
        <v>x3</v>
      </c>
      <c r="D430" s="98" t="str">
        <f>A!C227</f>
        <v>Nasturtium Aquaticum</v>
      </c>
      <c r="E430" s="109"/>
      <c r="F430" s="109"/>
      <c r="G430" s="99" t="str">
        <f>A!N227</f>
        <v>watercress</v>
      </c>
      <c r="H430" s="89" t="str">
        <f>A!Q227</f>
        <v>the natural way to keep green algae at bay</v>
      </c>
      <c r="I430" s="69">
        <f>A!M227</f>
        <v>1</v>
      </c>
      <c r="J430" s="202" t="str">
        <f>A!P227</f>
        <v>Yes</v>
      </c>
      <c r="K430" s="83">
        <f>IF(A!G227="y",1,0)</f>
        <v>0</v>
      </c>
      <c r="L430" s="83">
        <f>IF(A!H227="y",1,0)</f>
        <v>0</v>
      </c>
      <c r="M430" s="84" t="str">
        <f>IF(A!F227="y","NEW","")</f>
        <v/>
      </c>
      <c r="N430" s="85">
        <f>A!I227</f>
        <v>0</v>
      </c>
      <c r="O430" s="290">
        <f>A!O227</f>
        <v>2</v>
      </c>
      <c r="P430" s="541">
        <f>A!K227</f>
        <v>0</v>
      </c>
      <c r="Q430" s="541">
        <f>A!E227</f>
        <v>0</v>
      </c>
      <c r="R430" s="541" t="s">
        <v>211</v>
      </c>
      <c r="S430" s="541">
        <f t="shared" si="174"/>
        <v>0</v>
      </c>
      <c r="T430" s="541" t="str">
        <f>A!R227</f>
        <v>x3</v>
      </c>
      <c r="U430" s="541" t="str">
        <f>A!S227</f>
        <v/>
      </c>
      <c r="V430" s="541">
        <f>A!T227</f>
        <v>0.125</v>
      </c>
      <c r="W430" s="541">
        <f t="shared" si="172"/>
        <v>0</v>
      </c>
      <c r="X430" s="541"/>
    </row>
    <row r="431" spans="1:24" ht="11.25" hidden="1" customHeight="1" x14ac:dyDescent="0.25">
      <c r="A431" s="121" t="str">
        <f>IF(S431=0,"",COUNTIF(A$23:A430,"&gt;0")+1)</f>
        <v/>
      </c>
      <c r="B431" s="344"/>
      <c r="C431" s="76" t="str">
        <f t="shared" si="173"/>
        <v>x3</v>
      </c>
      <c r="D431" s="98" t="str">
        <f>A!C228</f>
        <v>Oenanthe 'Flamingo'</v>
      </c>
      <c r="E431" s="109"/>
      <c r="F431" s="109"/>
      <c r="G431" s="99" t="str">
        <f>A!N228</f>
        <v>variegated water dropwort</v>
      </c>
      <c r="H431" s="89" t="str">
        <f>A!Q228</f>
        <v>wonderful tricolour, pink, green and white foliage</v>
      </c>
      <c r="I431" s="69">
        <f>A!M228</f>
        <v>1</v>
      </c>
      <c r="J431" s="202">
        <f>A!P228</f>
        <v>0</v>
      </c>
      <c r="K431" s="83">
        <f>IF(A!G228="y",1,0)</f>
        <v>0</v>
      </c>
      <c r="L431" s="83">
        <f>IF(A!H228="y",1,0)</f>
        <v>0</v>
      </c>
      <c r="M431" s="84" t="str">
        <f>IF(A!F228="y","NEW","")</f>
        <v/>
      </c>
      <c r="N431" s="85">
        <f>A!I228</f>
        <v>0</v>
      </c>
      <c r="O431" s="290" t="str">
        <f>A!O228</f>
        <v>1,2</v>
      </c>
      <c r="P431" s="541" t="str">
        <f>A!K228</f>
        <v>M</v>
      </c>
      <c r="Q431" s="541">
        <f>A!E228</f>
        <v>0</v>
      </c>
      <c r="R431" s="541" t="s">
        <v>211</v>
      </c>
      <c r="S431" s="541">
        <f t="shared" si="174"/>
        <v>0</v>
      </c>
      <c r="T431" s="541" t="str">
        <f>A!R228</f>
        <v>x3</v>
      </c>
      <c r="U431" s="541">
        <f>A!S228</f>
        <v>50</v>
      </c>
      <c r="V431" s="541">
        <f>A!T228</f>
        <v>0.125</v>
      </c>
      <c r="W431" s="541">
        <f t="shared" ref="W431:W454" si="175">V431*B431</f>
        <v>0</v>
      </c>
      <c r="X431" s="541"/>
    </row>
    <row r="432" spans="1:24" ht="11.25" customHeight="1" x14ac:dyDescent="0.25">
      <c r="A432" s="121" t="str">
        <f>IF(S432=0,"",COUNTIF(A$23:A431,"&gt;0")+1)</f>
        <v/>
      </c>
      <c r="B432" s="344"/>
      <c r="C432" s="165" t="str">
        <f t="shared" si="173"/>
        <v>x3</v>
      </c>
      <c r="D432" s="108" t="str">
        <f>A!C229</f>
        <v xml:space="preserve">Phalaris arundinacea 'Picta'   </v>
      </c>
      <c r="E432" s="109"/>
      <c r="F432" s="109"/>
      <c r="G432" s="166" t="str">
        <f>A!N229</f>
        <v>gardener's garters</v>
      </c>
      <c r="H432" s="167" t="str">
        <f>A!Q229</f>
        <v>offering bold stripes of white, pale and dark green</v>
      </c>
      <c r="I432" s="111">
        <f>A!M229</f>
        <v>2</v>
      </c>
      <c r="J432" s="242">
        <f>A!P229</f>
        <v>0</v>
      </c>
      <c r="K432" s="243">
        <f>IF(A!G229="y",1,0)</f>
        <v>1</v>
      </c>
      <c r="L432" s="243">
        <f>IF(A!H229="y",1,0)</f>
        <v>1</v>
      </c>
      <c r="M432" s="244" t="str">
        <f>IF(A!F229="y","NEW","")</f>
        <v/>
      </c>
      <c r="N432" s="245">
        <f>A!I229</f>
        <v>0</v>
      </c>
      <c r="O432" s="346" t="str">
        <f>A!O229</f>
        <v>1,2</v>
      </c>
      <c r="P432" s="541" t="str">
        <f>A!K229</f>
        <v>L</v>
      </c>
      <c r="Q432" s="541" t="str">
        <f>A!E229</f>
        <v>y</v>
      </c>
      <c r="R432" s="541" t="s">
        <v>211</v>
      </c>
      <c r="S432" s="541">
        <f t="shared" si="174"/>
        <v>0</v>
      </c>
      <c r="T432" s="541" t="str">
        <f>A!R229</f>
        <v>x3</v>
      </c>
      <c r="U432" s="541">
        <f>A!S229</f>
        <v>65</v>
      </c>
      <c r="V432" s="541">
        <f>A!T229</f>
        <v>0.125</v>
      </c>
      <c r="W432" s="541">
        <f t="shared" si="175"/>
        <v>0</v>
      </c>
      <c r="X432" s="541"/>
    </row>
    <row r="433" spans="1:24" ht="11.25" customHeight="1" x14ac:dyDescent="0.25">
      <c r="A433" s="121" t="str">
        <f>IF(S433=0,"",COUNTIF(A$23:A432,"&gt;0")+1)</f>
        <v/>
      </c>
      <c r="B433" s="351"/>
      <c r="C433" s="76" t="str">
        <f t="shared" si="173"/>
        <v>x3</v>
      </c>
      <c r="D433" s="98" t="str">
        <f>A!C230</f>
        <v>Phragmites variegata</v>
      </c>
      <c r="E433" s="682"/>
      <c r="F433" s="730" t="s">
        <v>1380</v>
      </c>
      <c r="G433" s="99" t="str">
        <f>A!N230</f>
        <v>variegated reed</v>
      </c>
      <c r="H433" s="89" t="str">
        <f>A!Q230</f>
        <v>golden yellow and green foliage, excellent filter feeder</v>
      </c>
      <c r="I433" s="69">
        <f>A!M230</f>
        <v>2</v>
      </c>
      <c r="J433" s="202">
        <f>A!P230</f>
        <v>0</v>
      </c>
      <c r="K433" s="83">
        <f>IF(A!G230="y",1,0)</f>
        <v>1</v>
      </c>
      <c r="L433" s="83">
        <f>IF(A!H230="y",1,0)</f>
        <v>0</v>
      </c>
      <c r="M433" s="84" t="str">
        <f>IF(A!F230="y","NEW","")</f>
        <v/>
      </c>
      <c r="N433" s="85">
        <f>A!I230</f>
        <v>0</v>
      </c>
      <c r="O433" s="290" t="str">
        <f>A!O230</f>
        <v>1,2,3</v>
      </c>
      <c r="P433" s="541" t="str">
        <f>A!K230</f>
        <v>L</v>
      </c>
      <c r="Q433" s="541" t="str">
        <f>A!E230</f>
        <v>y</v>
      </c>
      <c r="R433" s="541" t="s">
        <v>211</v>
      </c>
      <c r="S433" s="541">
        <f t="shared" si="174"/>
        <v>0</v>
      </c>
      <c r="T433" s="541" t="str">
        <f>A!R230</f>
        <v>x3</v>
      </c>
      <c r="U433" s="541">
        <f>A!S230</f>
        <v>65</v>
      </c>
      <c r="V433" s="541">
        <f>A!T230</f>
        <v>0.125</v>
      </c>
      <c r="W433" s="541">
        <f t="shared" si="175"/>
        <v>0</v>
      </c>
      <c r="X433" s="541"/>
    </row>
    <row r="434" spans="1:24" ht="11.25" customHeight="1" x14ac:dyDescent="0.25">
      <c r="A434" s="121" t="str">
        <f>IF(S434=0,"",COUNTIF(A$23:A433,"&gt;0")+1)</f>
        <v/>
      </c>
      <c r="B434" s="344"/>
      <c r="C434" s="76" t="str">
        <f t="shared" si="173"/>
        <v>x3</v>
      </c>
      <c r="D434" s="98" t="str">
        <f>A!C231</f>
        <v>Pontederia cordata</v>
      </c>
      <c r="E434" s="109"/>
      <c r="F434" s="109"/>
      <c r="G434" s="99" t="str">
        <f>A!N231</f>
        <v>pickeral weed</v>
      </c>
      <c r="H434" s="89" t="str">
        <f>A!Q231</f>
        <v>american native with handsome blue flowers</v>
      </c>
      <c r="I434" s="69">
        <f>A!M231</f>
        <v>1</v>
      </c>
      <c r="J434" s="202">
        <f>A!P231</f>
        <v>0</v>
      </c>
      <c r="K434" s="83">
        <f>IF(A!G231="y",1,0)</f>
        <v>1</v>
      </c>
      <c r="L434" s="83">
        <f>IF(A!H231="y",1,0)</f>
        <v>1</v>
      </c>
      <c r="M434" s="84" t="str">
        <f>IF(A!F231="y","NEW","")</f>
        <v/>
      </c>
      <c r="N434" s="85" t="str">
        <f>A!I231</f>
        <v>y</v>
      </c>
      <c r="O434" s="290" t="str">
        <f>A!O231</f>
        <v>2,3</v>
      </c>
      <c r="P434" s="541" t="str">
        <f>A!K231</f>
        <v>M</v>
      </c>
      <c r="Q434" s="541" t="str">
        <f>A!E231</f>
        <v>y</v>
      </c>
      <c r="R434" s="541" t="s">
        <v>211</v>
      </c>
      <c r="S434" s="541">
        <f t="shared" si="174"/>
        <v>0</v>
      </c>
      <c r="T434" s="541" t="str">
        <f>A!R231</f>
        <v>x3</v>
      </c>
      <c r="U434" s="541">
        <f>A!S231</f>
        <v>50</v>
      </c>
      <c r="V434" s="541">
        <f>A!T231</f>
        <v>0.125</v>
      </c>
      <c r="W434" s="541">
        <f t="shared" si="175"/>
        <v>0</v>
      </c>
      <c r="X434" s="541"/>
    </row>
    <row r="435" spans="1:24" ht="11.25" hidden="1" customHeight="1" x14ac:dyDescent="0.25">
      <c r="A435" s="121" t="str">
        <f>IF(S435=0,"",COUNTIF(A$23:A434,"&gt;0")+1)</f>
        <v/>
      </c>
      <c r="B435" s="344"/>
      <c r="C435" s="76" t="str">
        <f t="shared" si="173"/>
        <v>x3</v>
      </c>
      <c r="D435" s="98" t="str">
        <f>A!C232</f>
        <v>Pontederia cordata 'Alba'</v>
      </c>
      <c r="E435" s="109"/>
      <c r="F435" s="109"/>
      <c r="G435" s="99" t="str">
        <f>A!N232</f>
        <v>pickeral weed</v>
      </c>
      <c r="H435" s="89" t="str">
        <f>A!Q232</f>
        <v>handsome white flowering form of pickeral weed</v>
      </c>
      <c r="I435" s="69">
        <f>A!M232</f>
        <v>1</v>
      </c>
      <c r="J435" s="202">
        <f>A!P232</f>
        <v>0</v>
      </c>
      <c r="K435" s="83">
        <f>IF(A!G232="y",1,0)</f>
        <v>0</v>
      </c>
      <c r="L435" s="83">
        <f>IF(A!H232="y",1,0)</f>
        <v>0</v>
      </c>
      <c r="M435" s="84" t="str">
        <f>IF(A!F232="y","NEW","")</f>
        <v/>
      </c>
      <c r="N435" s="85">
        <f>A!I232</f>
        <v>0</v>
      </c>
      <c r="O435" s="290" t="str">
        <f>A!O232</f>
        <v>2,3</v>
      </c>
      <c r="P435" s="541" t="str">
        <f>A!K232</f>
        <v>L</v>
      </c>
      <c r="Q435" s="541">
        <f>A!E232</f>
        <v>0</v>
      </c>
      <c r="R435" s="541" t="s">
        <v>211</v>
      </c>
      <c r="S435" s="541">
        <f t="shared" si="174"/>
        <v>0</v>
      </c>
      <c r="T435" s="541" t="str">
        <f>A!R232</f>
        <v>x3</v>
      </c>
      <c r="U435" s="541">
        <f>A!S232</f>
        <v>65</v>
      </c>
      <c r="V435" s="541">
        <f>A!T232</f>
        <v>0.125</v>
      </c>
      <c r="W435" s="541">
        <f t="shared" si="175"/>
        <v>0</v>
      </c>
      <c r="X435" s="541"/>
    </row>
    <row r="436" spans="1:24" ht="11.25" customHeight="1" x14ac:dyDescent="0.25">
      <c r="A436" s="121" t="str">
        <f>IF(S436=0,"",COUNTIF(A$23:A435,"&gt;0")+1)</f>
        <v/>
      </c>
      <c r="B436" s="344"/>
      <c r="C436" s="76" t="str">
        <f t="shared" si="173"/>
        <v>x3</v>
      </c>
      <c r="D436" s="98" t="str">
        <f>A!C233</f>
        <v>Pontederia lanceolata</v>
      </c>
      <c r="E436" s="682"/>
      <c r="F436" s="760" t="s">
        <v>1435</v>
      </c>
      <c r="G436" s="99" t="str">
        <f>A!N233</f>
        <v>pickeral weed</v>
      </c>
      <c r="H436" s="89" t="str">
        <f>A!Q233</f>
        <v>blue  poker-like flowers overlance shaped leaves</v>
      </c>
      <c r="I436" s="69">
        <f>A!M233</f>
        <v>1</v>
      </c>
      <c r="J436" s="202">
        <f>A!P233</f>
        <v>0</v>
      </c>
      <c r="K436" s="83">
        <f>IF(A!G233="y",1,0)</f>
        <v>1</v>
      </c>
      <c r="L436" s="83">
        <f>IF(A!H233="y",1,0)</f>
        <v>1</v>
      </c>
      <c r="M436" s="84" t="str">
        <f>IF(A!F233="y","NEW","")</f>
        <v/>
      </c>
      <c r="N436" s="85" t="str">
        <f>A!I233</f>
        <v>y</v>
      </c>
      <c r="O436" s="290" t="str">
        <f>A!O233</f>
        <v>2,3</v>
      </c>
      <c r="P436" s="541" t="str">
        <f>A!K233</f>
        <v>L</v>
      </c>
      <c r="Q436" s="541" t="str">
        <f>A!E233</f>
        <v>y</v>
      </c>
      <c r="R436" s="541" t="s">
        <v>211</v>
      </c>
      <c r="S436" s="541">
        <f t="shared" si="174"/>
        <v>0</v>
      </c>
      <c r="T436" s="541" t="str">
        <f>A!R233</f>
        <v>x3</v>
      </c>
      <c r="U436" s="541">
        <f>A!S233</f>
        <v>65</v>
      </c>
      <c r="V436" s="541">
        <f>A!T233</f>
        <v>0.125</v>
      </c>
      <c r="W436" s="541">
        <f t="shared" si="175"/>
        <v>0</v>
      </c>
      <c r="X436" s="541"/>
    </row>
    <row r="437" spans="1:24" ht="12" customHeight="1" x14ac:dyDescent="0.25">
      <c r="A437" s="121" t="str">
        <f>IF(S437=0,"",COUNTIF(A$23:A436,"&gt;0")+1)</f>
        <v/>
      </c>
      <c r="B437" s="344"/>
      <c r="C437" s="76" t="str">
        <f t="shared" si="173"/>
        <v>x3</v>
      </c>
      <c r="D437" s="98" t="str">
        <f>A!C234</f>
        <v>Ranunculus flammula</v>
      </c>
      <c r="E437" s="109"/>
      <c r="F437" s="109"/>
      <c r="G437" s="99" t="str">
        <f>A!N234</f>
        <v>lesser spearwort</v>
      </c>
      <c r="H437" s="89" t="str">
        <f>A!Q234</f>
        <v>wonderful little yellow buttercup flowers</v>
      </c>
      <c r="I437" s="69">
        <f>A!M234</f>
        <v>1</v>
      </c>
      <c r="J437" s="202" t="str">
        <f>A!P234</f>
        <v>Yes</v>
      </c>
      <c r="K437" s="83">
        <f>IF(A!G234="y",1,0)</f>
        <v>1</v>
      </c>
      <c r="L437" s="83">
        <f>IF(A!H234="y",1,0)</f>
        <v>0</v>
      </c>
      <c r="M437" s="84" t="str">
        <f>IF(A!F234="y","NEW","")</f>
        <v/>
      </c>
      <c r="N437" s="85" t="str">
        <f>A!I234</f>
        <v>y</v>
      </c>
      <c r="O437" s="290">
        <f>A!O234</f>
        <v>2</v>
      </c>
      <c r="P437" s="541">
        <f>A!K234</f>
        <v>0</v>
      </c>
      <c r="Q437" s="541" t="str">
        <f>A!E234</f>
        <v>y</v>
      </c>
      <c r="R437" s="541" t="s">
        <v>211</v>
      </c>
      <c r="S437" s="541">
        <f t="shared" si="174"/>
        <v>0</v>
      </c>
      <c r="T437" s="541" t="str">
        <f>A!R234</f>
        <v>x3</v>
      </c>
      <c r="U437" s="541" t="str">
        <f>A!S234</f>
        <v/>
      </c>
      <c r="V437" s="541">
        <f>A!T234</f>
        <v>0.125</v>
      </c>
      <c r="W437" s="541">
        <f t="shared" si="175"/>
        <v>0</v>
      </c>
      <c r="X437" s="541"/>
    </row>
    <row r="438" spans="1:24" ht="12" customHeight="1" x14ac:dyDescent="0.25">
      <c r="A438" s="121" t="str">
        <f>IF(S438=0,"",COUNTIF(A$23:A437,"&gt;0")+1)</f>
        <v/>
      </c>
      <c r="B438" s="344"/>
      <c r="C438" s="76" t="str">
        <f t="shared" ref="C438" si="176">T438</f>
        <v>x3</v>
      </c>
      <c r="D438" s="98" t="str">
        <f>A!C235</f>
        <v>Ranunculus lingua grandiflora</v>
      </c>
      <c r="E438" s="109"/>
      <c r="F438" s="109"/>
      <c r="G438" s="99" t="str">
        <f>A!N235</f>
        <v>great spearwort</v>
      </c>
      <c r="H438" s="89" t="str">
        <f>A!Q235</f>
        <v>buttercup yellow flowers over ovate green foliage</v>
      </c>
      <c r="I438" s="69">
        <f>A!M235</f>
        <v>2</v>
      </c>
      <c r="J438" s="202" t="str">
        <f>A!P235</f>
        <v>Yes</v>
      </c>
      <c r="K438" s="83">
        <f>IF(A!G235="y",1,0)</f>
        <v>0</v>
      </c>
      <c r="L438" s="83">
        <f>IF(A!H235="y",1,0)</f>
        <v>0</v>
      </c>
      <c r="M438" s="84" t="str">
        <f>IF(A!F235="y","NEW","")</f>
        <v/>
      </c>
      <c r="N438" s="85">
        <f>A!I235</f>
        <v>0</v>
      </c>
      <c r="O438" s="290">
        <f>A!O235</f>
        <v>2</v>
      </c>
      <c r="P438" s="541" t="str">
        <f>A!K235</f>
        <v>M</v>
      </c>
      <c r="Q438" s="541" t="str">
        <f>A!E235</f>
        <v>y</v>
      </c>
      <c r="R438" s="541" t="s">
        <v>211</v>
      </c>
      <c r="S438" s="541">
        <f t="shared" ref="S438" si="177">B438</f>
        <v>0</v>
      </c>
      <c r="T438" s="541" t="str">
        <f>A!R235</f>
        <v>x3</v>
      </c>
      <c r="U438" s="541">
        <f>A!S235</f>
        <v>50</v>
      </c>
      <c r="V438" s="541">
        <f>A!T235</f>
        <v>0.125</v>
      </c>
      <c r="W438" s="541">
        <f t="shared" si="175"/>
        <v>0</v>
      </c>
      <c r="X438" s="541"/>
    </row>
    <row r="439" spans="1:24" ht="12" customHeight="1" x14ac:dyDescent="0.25">
      <c r="A439" s="121" t="str">
        <f>IF(S439=0,"",COUNTIF(A$23:A438,"&gt;0")+1)</f>
        <v/>
      </c>
      <c r="B439" s="344"/>
      <c r="C439" s="76" t="str">
        <f t="shared" si="173"/>
        <v>x3</v>
      </c>
      <c r="D439" s="98" t="str">
        <f>A!C236</f>
        <v>Sagittaria latifolia</v>
      </c>
      <c r="E439" s="109"/>
      <c r="F439" s="109"/>
      <c r="G439" s="99" t="str">
        <f>A!N236</f>
        <v>arrowhead</v>
      </c>
      <c r="H439" s="89" t="str">
        <f>A!Q236</f>
        <v>emergant plant with broadleaf arrowhead leaves</v>
      </c>
      <c r="I439" s="69">
        <f>A!M236</f>
        <v>1</v>
      </c>
      <c r="J439" s="202">
        <f>A!P236</f>
        <v>0</v>
      </c>
      <c r="K439" s="83">
        <f>IF(A!G236="y",1,0)</f>
        <v>1</v>
      </c>
      <c r="L439" s="83">
        <f>IF(A!H236="y",1,0)</f>
        <v>0</v>
      </c>
      <c r="M439" s="84" t="str">
        <f>IF(A!F236="y","NEW","")</f>
        <v/>
      </c>
      <c r="N439" s="85">
        <f>A!I236</f>
        <v>0</v>
      </c>
      <c r="O439" s="290">
        <f>A!O236</f>
        <v>2</v>
      </c>
      <c r="P439" s="541" t="str">
        <f>A!K236</f>
        <v>M</v>
      </c>
      <c r="Q439" s="541" t="str">
        <f>A!E236</f>
        <v>y</v>
      </c>
      <c r="R439" s="541" t="s">
        <v>211</v>
      </c>
      <c r="S439" s="541">
        <f t="shared" si="174"/>
        <v>0</v>
      </c>
      <c r="T439" s="541" t="str">
        <f>A!R236</f>
        <v>x3</v>
      </c>
      <c r="U439" s="541">
        <f>A!S236</f>
        <v>50</v>
      </c>
      <c r="V439" s="541">
        <f>A!T236</f>
        <v>0.125</v>
      </c>
      <c r="W439" s="541">
        <f t="shared" si="175"/>
        <v>0</v>
      </c>
      <c r="X439" s="541"/>
    </row>
    <row r="440" spans="1:24" ht="12" customHeight="1" x14ac:dyDescent="0.25">
      <c r="A440" s="121" t="str">
        <f>IF(S440=0,"",COUNTIF(A$23:A439,"&gt;0")+1)</f>
        <v/>
      </c>
      <c r="B440" s="344"/>
      <c r="C440" s="76" t="str">
        <f t="shared" si="173"/>
        <v>x3</v>
      </c>
      <c r="D440" s="98" t="str">
        <f>A!C237</f>
        <v>Sagittaria sagittifolia</v>
      </c>
      <c r="E440" s="109"/>
      <c r="F440" s="109"/>
      <c r="G440" s="99" t="str">
        <f>A!N237</f>
        <v>arrowhead</v>
      </c>
      <c r="H440" s="89" t="str">
        <f>A!Q237</f>
        <v>white flowers contrasting with green arrowhead foliage</v>
      </c>
      <c r="I440" s="69">
        <f>A!M237</f>
        <v>1</v>
      </c>
      <c r="J440" s="202" t="str">
        <f>A!P237</f>
        <v>Yes</v>
      </c>
      <c r="K440" s="83">
        <f>IF(A!G237="y",1,0)</f>
        <v>1</v>
      </c>
      <c r="L440" s="83">
        <f>IF(A!H237="y",1,0)</f>
        <v>0</v>
      </c>
      <c r="M440" s="84" t="str">
        <f>IF(A!F237="y","NEW","")</f>
        <v/>
      </c>
      <c r="N440" s="85">
        <f>A!I237</f>
        <v>0</v>
      </c>
      <c r="O440" s="290">
        <f>A!O237</f>
        <v>2</v>
      </c>
      <c r="P440" s="541" t="str">
        <f>A!K237</f>
        <v>M</v>
      </c>
      <c r="Q440" s="541" t="str">
        <f>A!E237</f>
        <v>y</v>
      </c>
      <c r="R440" s="541" t="s">
        <v>211</v>
      </c>
      <c r="S440" s="541">
        <f t="shared" si="174"/>
        <v>0</v>
      </c>
      <c r="T440" s="541" t="str">
        <f>A!R237</f>
        <v>x3</v>
      </c>
      <c r="U440" s="541">
        <f>A!S237</f>
        <v>50</v>
      </c>
      <c r="V440" s="541">
        <f>A!T237</f>
        <v>0.125</v>
      </c>
      <c r="W440" s="541">
        <f t="shared" si="175"/>
        <v>0</v>
      </c>
      <c r="X440" s="541"/>
    </row>
    <row r="441" spans="1:24" ht="11.25" hidden="1" customHeight="1" x14ac:dyDescent="0.25">
      <c r="A441" s="121" t="str">
        <f>IF(S441=0,"",COUNTIF(A$23:A440,"&gt;0")+1)</f>
        <v/>
      </c>
      <c r="B441" s="344"/>
      <c r="C441" s="76" t="str">
        <f t="shared" ref="C441" si="178">T441</f>
        <v>x3</v>
      </c>
      <c r="D441" s="98" t="str">
        <f>A!C238</f>
        <v>Saururus cernuus</v>
      </c>
      <c r="E441" s="109"/>
      <c r="F441" s="109"/>
      <c r="G441" s="99" t="str">
        <f>A!N238</f>
        <v>lizard's tail</v>
      </c>
      <c r="H441" s="89" t="str">
        <f>A!Q238</f>
        <v>unusual flower resembling a lizard's tail</v>
      </c>
      <c r="I441" s="69">
        <f>A!M238</f>
        <v>2</v>
      </c>
      <c r="J441" s="202">
        <f>A!P238</f>
        <v>0</v>
      </c>
      <c r="K441" s="83">
        <f>IF(A!G238="y",1,0)</f>
        <v>0</v>
      </c>
      <c r="L441" s="83">
        <f>IF(A!H238="y",1,0)</f>
        <v>0</v>
      </c>
      <c r="M441" s="84" t="str">
        <f>IF(A!F238="y","NEW","")</f>
        <v/>
      </c>
      <c r="N441" s="85">
        <f>A!I238</f>
        <v>0</v>
      </c>
      <c r="O441" s="290" t="str">
        <f>A!O238</f>
        <v>1,2</v>
      </c>
      <c r="P441" s="541" t="str">
        <f>A!K238</f>
        <v>M</v>
      </c>
      <c r="Q441" s="541">
        <f>A!E238</f>
        <v>0</v>
      </c>
      <c r="R441" s="541" t="s">
        <v>211</v>
      </c>
      <c r="S441" s="541">
        <f t="shared" ref="S441" si="179">B441</f>
        <v>0</v>
      </c>
      <c r="T441" s="541" t="str">
        <f>A!R238</f>
        <v>x3</v>
      </c>
      <c r="U441" s="541">
        <f>A!S238</f>
        <v>50</v>
      </c>
      <c r="V441" s="541">
        <f>A!T238</f>
        <v>0.125</v>
      </c>
      <c r="W441" s="541">
        <f t="shared" si="175"/>
        <v>0</v>
      </c>
      <c r="X441" s="541"/>
    </row>
    <row r="442" spans="1:24" ht="12" hidden="1" customHeight="1" x14ac:dyDescent="0.25">
      <c r="A442" s="121" t="str">
        <f>IF(S442=0,"",COUNTIF(A$23:A441,"&gt;0")+1)</f>
        <v/>
      </c>
      <c r="B442" s="344"/>
      <c r="C442" s="76" t="str">
        <f t="shared" si="173"/>
        <v>x3</v>
      </c>
      <c r="D442" s="98" t="str">
        <f>A!C239</f>
        <v>Scirpus albascens</v>
      </c>
      <c r="E442" s="109"/>
      <c r="F442" s="109"/>
      <c r="G442" s="99" t="str">
        <f>A!N239</f>
        <v>striped rush</v>
      </c>
      <c r="H442" s="89" t="str">
        <f>A!Q239</f>
        <v>contrasting longitudinal stripes of green and cream</v>
      </c>
      <c r="I442" s="69">
        <f>A!M239</f>
        <v>2</v>
      </c>
      <c r="J442" s="202">
        <f>A!P239</f>
        <v>0</v>
      </c>
      <c r="K442" s="83">
        <f>IF(A!G239="y",1,0)</f>
        <v>0</v>
      </c>
      <c r="L442" s="83">
        <f>IF(A!H239="y",1,0)</f>
        <v>0</v>
      </c>
      <c r="M442" s="84" t="str">
        <f>IF(A!F239="y","NEW","")</f>
        <v/>
      </c>
      <c r="N442" s="85">
        <f>A!I239</f>
        <v>0</v>
      </c>
      <c r="O442" s="290" t="str">
        <f>A!O239</f>
        <v>2,3</v>
      </c>
      <c r="P442" s="541">
        <f>A!K239</f>
        <v>0</v>
      </c>
      <c r="Q442" s="541">
        <f>A!E239</f>
        <v>0</v>
      </c>
      <c r="R442" s="541" t="s">
        <v>211</v>
      </c>
      <c r="S442" s="541">
        <f t="shared" si="174"/>
        <v>0</v>
      </c>
      <c r="T442" s="541" t="str">
        <f>A!R239</f>
        <v>x3</v>
      </c>
      <c r="U442" s="541" t="str">
        <f>A!S239</f>
        <v/>
      </c>
      <c r="V442" s="541">
        <f>A!T239</f>
        <v>0.125</v>
      </c>
      <c r="W442" s="541">
        <f t="shared" si="175"/>
        <v>0</v>
      </c>
      <c r="X442" s="541"/>
    </row>
    <row r="443" spans="1:24" ht="11.25" customHeight="1" x14ac:dyDescent="0.25">
      <c r="A443" s="121" t="str">
        <f>IF(S443=0,"",COUNTIF(A$23:A442,"&gt;0")+1)</f>
        <v/>
      </c>
      <c r="B443" s="344"/>
      <c r="C443" s="76" t="str">
        <f t="shared" si="173"/>
        <v>x3</v>
      </c>
      <c r="D443" s="98" t="str">
        <f>A!C240</f>
        <v>Scirpus lacustris</v>
      </c>
      <c r="E443" s="682" t="s">
        <v>1381</v>
      </c>
      <c r="F443" s="109"/>
      <c r="G443" s="99" t="str">
        <f>A!N240</f>
        <v>bulrush</v>
      </c>
      <c r="H443" s="89" t="str">
        <f>A!Q240</f>
        <v>a great native, suitable for larger ponds</v>
      </c>
      <c r="I443" s="69">
        <f>A!M240</f>
        <v>2</v>
      </c>
      <c r="J443" s="202" t="str">
        <f>A!P240</f>
        <v>Yes</v>
      </c>
      <c r="K443" s="83">
        <f>IF(A!G240="y",1,0)</f>
        <v>1</v>
      </c>
      <c r="L443" s="83">
        <f>IF(A!H240="y",1,0)</f>
        <v>0</v>
      </c>
      <c r="M443" s="84" t="str">
        <f>IF(A!F240="y","NEW","")</f>
        <v/>
      </c>
      <c r="N443" s="85">
        <f>A!I240</f>
        <v>0</v>
      </c>
      <c r="O443" s="290" t="str">
        <f>A!O240</f>
        <v>2,3</v>
      </c>
      <c r="P443" s="541" t="str">
        <f>A!K240</f>
        <v>L</v>
      </c>
      <c r="Q443" s="541" t="str">
        <f>A!E240</f>
        <v>y</v>
      </c>
      <c r="R443" s="541" t="s">
        <v>211</v>
      </c>
      <c r="S443" s="541">
        <f t="shared" si="174"/>
        <v>0</v>
      </c>
      <c r="T443" s="541" t="str">
        <f>A!R240</f>
        <v>x3</v>
      </c>
      <c r="U443" s="541">
        <f>A!S240</f>
        <v>65</v>
      </c>
      <c r="V443" s="541">
        <f>A!T240</f>
        <v>0.125</v>
      </c>
      <c r="W443" s="541">
        <f t="shared" si="175"/>
        <v>0</v>
      </c>
      <c r="X443" s="541"/>
    </row>
    <row r="444" spans="1:24" ht="12" customHeight="1" x14ac:dyDescent="0.25">
      <c r="A444" s="121" t="str">
        <f>IF(S444=0,"",COUNTIF(A$23:A443,"&gt;0")+1)</f>
        <v/>
      </c>
      <c r="B444" s="344"/>
      <c r="C444" s="76" t="str">
        <f t="shared" si="173"/>
        <v>x3</v>
      </c>
      <c r="D444" s="98" t="str">
        <f>A!C241</f>
        <v>Scirpus Zebrinus</v>
      </c>
      <c r="E444" s="109"/>
      <c r="F444" s="109"/>
      <c r="G444" s="99" t="str">
        <f>A!N241</f>
        <v>zebra rush</v>
      </c>
      <c r="H444" s="89" t="str">
        <f>A!Q241</f>
        <v>striking green and creamy-white horizontally banded stems</v>
      </c>
      <c r="I444" s="69">
        <f>A!M241</f>
        <v>1</v>
      </c>
      <c r="J444" s="202">
        <f>A!P241</f>
        <v>0</v>
      </c>
      <c r="K444" s="83">
        <f>IF(A!G241="y",1,0)</f>
        <v>1</v>
      </c>
      <c r="L444" s="83">
        <f>IF(A!H241="y",1,0)</f>
        <v>1</v>
      </c>
      <c r="M444" s="84" t="str">
        <f>IF(A!F241="y","NEW","")</f>
        <v/>
      </c>
      <c r="N444" s="85">
        <f>A!I241</f>
        <v>0</v>
      </c>
      <c r="O444" s="290" t="str">
        <f>A!O241</f>
        <v>2,3</v>
      </c>
      <c r="P444" s="541" t="str">
        <f>A!K241</f>
        <v>L</v>
      </c>
      <c r="Q444" s="541" t="str">
        <f>A!E241</f>
        <v>y</v>
      </c>
      <c r="R444" s="541" t="s">
        <v>211</v>
      </c>
      <c r="S444" s="541">
        <f t="shared" si="174"/>
        <v>0</v>
      </c>
      <c r="T444" s="541" t="str">
        <f>A!R241</f>
        <v>x3</v>
      </c>
      <c r="U444" s="541">
        <f>A!S241</f>
        <v>65</v>
      </c>
      <c r="V444" s="541">
        <f>A!T241</f>
        <v>0.125</v>
      </c>
      <c r="W444" s="541">
        <f t="shared" si="175"/>
        <v>0</v>
      </c>
      <c r="X444" s="541"/>
    </row>
    <row r="445" spans="1:24" ht="12" hidden="1" customHeight="1" x14ac:dyDescent="0.25">
      <c r="A445" s="121" t="str">
        <f>IF(S445=0,"",COUNTIF(A$23:A444,"&gt;0")+1)</f>
        <v/>
      </c>
      <c r="B445" s="344"/>
      <c r="C445" s="76" t="str">
        <f t="shared" ref="C445" si="180">T445</f>
        <v>x3</v>
      </c>
      <c r="D445" s="98" t="str">
        <f>A!C242</f>
        <v>Sisyrinchium californicum</v>
      </c>
      <c r="E445" s="109"/>
      <c r="F445" s="109"/>
      <c r="G445" s="99" t="str">
        <f>A!N242</f>
        <v>satin flower</v>
      </c>
      <c r="H445" s="89" t="str">
        <f>A!Q242</f>
        <v>yellow flowers, top of miniature Iris-type leaves</v>
      </c>
      <c r="I445" s="69">
        <f>A!M242</f>
        <v>2</v>
      </c>
      <c r="J445" s="202">
        <f>A!P242</f>
        <v>0</v>
      </c>
      <c r="K445" s="83">
        <f>IF(A!G242="y",1,0)</f>
        <v>0</v>
      </c>
      <c r="L445" s="83">
        <f>IF(A!H242="y",1,0)</f>
        <v>0</v>
      </c>
      <c r="M445" s="84" t="str">
        <f>IF(A!F242="y","NEW","")</f>
        <v/>
      </c>
      <c r="N445" s="85">
        <f>A!I242</f>
        <v>0</v>
      </c>
      <c r="O445" s="290">
        <f>A!O242</f>
        <v>1</v>
      </c>
      <c r="P445" s="541">
        <f>A!K242</f>
        <v>0</v>
      </c>
      <c r="Q445" s="541">
        <f>A!E242</f>
        <v>0</v>
      </c>
      <c r="R445" s="541" t="s">
        <v>211</v>
      </c>
      <c r="S445" s="541">
        <f t="shared" ref="S445" si="181">B445</f>
        <v>0</v>
      </c>
      <c r="T445" s="541" t="str">
        <f>A!R242</f>
        <v>x3</v>
      </c>
      <c r="U445" s="541" t="str">
        <f>A!S242</f>
        <v/>
      </c>
      <c r="V445" s="541">
        <f>A!T242</f>
        <v>0.125</v>
      </c>
      <c r="W445" s="541">
        <f t="shared" si="175"/>
        <v>0</v>
      </c>
      <c r="X445" s="541"/>
    </row>
    <row r="446" spans="1:24" ht="12" hidden="1" customHeight="1" x14ac:dyDescent="0.25">
      <c r="A446" s="121" t="str">
        <f>IF(S446=0,"",COUNTIF(A$23:A445,"&gt;0")+1)</f>
        <v/>
      </c>
      <c r="B446" s="344"/>
      <c r="C446" s="76" t="str">
        <f t="shared" si="173"/>
        <v>x3</v>
      </c>
      <c r="D446" s="98" t="str">
        <f>A!C243</f>
        <v xml:space="preserve">Thalia dealbata </v>
      </c>
      <c r="E446" s="109"/>
      <c r="F446" s="109"/>
      <c r="G446" s="99" t="str">
        <f>A!N243</f>
        <v>alligator flag</v>
      </c>
      <c r="H446" s="89" t="str">
        <f>A!Q243</f>
        <v xml:space="preserve">native to swamps and ponds in southern USA </v>
      </c>
      <c r="I446" s="69">
        <f>A!M243</f>
        <v>1</v>
      </c>
      <c r="J446" s="202">
        <f>A!P243</f>
        <v>0</v>
      </c>
      <c r="K446" s="83">
        <f>IF(A!G243="y",1,0)</f>
        <v>0</v>
      </c>
      <c r="L446" s="83">
        <f>IF(A!H243="y",1,0)</f>
        <v>0</v>
      </c>
      <c r="M446" s="84" t="str">
        <f>IF(A!F243="y","NEW","")</f>
        <v/>
      </c>
      <c r="N446" s="85">
        <f>A!I243</f>
        <v>0</v>
      </c>
      <c r="O446" s="290" t="str">
        <f>A!O243</f>
        <v>2,3</v>
      </c>
      <c r="P446" s="541" t="str">
        <f>A!K243</f>
        <v>L</v>
      </c>
      <c r="Q446" s="541">
        <f>A!E243</f>
        <v>0</v>
      </c>
      <c r="R446" s="541" t="s">
        <v>211</v>
      </c>
      <c r="S446" s="541">
        <f t="shared" si="174"/>
        <v>0</v>
      </c>
      <c r="T446" s="541" t="str">
        <f>A!R243</f>
        <v>x3</v>
      </c>
      <c r="U446" s="541">
        <f>A!S243</f>
        <v>65</v>
      </c>
      <c r="V446" s="541">
        <f>A!T243</f>
        <v>0.125</v>
      </c>
      <c r="W446" s="541">
        <f t="shared" si="175"/>
        <v>0</v>
      </c>
      <c r="X446" s="541"/>
    </row>
    <row r="447" spans="1:24" ht="12" customHeight="1" x14ac:dyDescent="0.25">
      <c r="A447" s="121" t="str">
        <f>IF(S447=0,"",COUNTIF(A$23:A446,"&gt;0")+1)</f>
        <v/>
      </c>
      <c r="B447" s="344"/>
      <c r="C447" s="76" t="str">
        <f t="shared" si="173"/>
        <v>x3</v>
      </c>
      <c r="D447" s="98" t="str">
        <f>A!C244</f>
        <v>Typha Gracilis</v>
      </c>
      <c r="E447" s="109"/>
      <c r="F447" s="109"/>
      <c r="G447" s="99" t="str">
        <f>A!N244</f>
        <v>reedmace</v>
      </c>
      <c r="H447" s="89" t="str">
        <f>A!Q244</f>
        <v>compact and less invaisive than other reedmace</v>
      </c>
      <c r="I447" s="69">
        <f>A!M244</f>
        <v>2</v>
      </c>
      <c r="J447" s="202">
        <f>A!P244</f>
        <v>0</v>
      </c>
      <c r="K447" s="83">
        <f>IF(A!G244="y",1,0)</f>
        <v>1</v>
      </c>
      <c r="L447" s="83">
        <f>IF(A!H244="y",1,0)</f>
        <v>1</v>
      </c>
      <c r="M447" s="84" t="str">
        <f>IF(A!F244="y","NEW","")</f>
        <v/>
      </c>
      <c r="N447" s="85">
        <f>A!I244</f>
        <v>0</v>
      </c>
      <c r="O447" s="290" t="str">
        <f>A!O244</f>
        <v>2,3</v>
      </c>
      <c r="P447" s="541" t="str">
        <f>A!K244</f>
        <v>M</v>
      </c>
      <c r="Q447" s="541" t="str">
        <f>A!E244</f>
        <v>y</v>
      </c>
      <c r="R447" s="541" t="s">
        <v>211</v>
      </c>
      <c r="S447" s="541">
        <f t="shared" si="174"/>
        <v>0</v>
      </c>
      <c r="T447" s="541" t="str">
        <f>A!R244</f>
        <v>x3</v>
      </c>
      <c r="U447" s="541">
        <f>A!S244</f>
        <v>50</v>
      </c>
      <c r="V447" s="541">
        <f>A!T244</f>
        <v>0.125</v>
      </c>
      <c r="W447" s="541">
        <f t="shared" si="175"/>
        <v>0</v>
      </c>
      <c r="X447" s="541"/>
    </row>
    <row r="448" spans="1:24" ht="11.25" hidden="1" customHeight="1" x14ac:dyDescent="0.25">
      <c r="A448" s="121" t="str">
        <f>IF(S448=0,"",COUNTIF(A$23:A447,"&gt;0")+1)</f>
        <v/>
      </c>
      <c r="B448" s="344"/>
      <c r="C448" s="76" t="str">
        <f t="shared" si="173"/>
        <v>x3</v>
      </c>
      <c r="D448" s="98" t="str">
        <f>A!C245</f>
        <v>Typha latifolia</v>
      </c>
      <c r="E448" s="682" t="s">
        <v>1380</v>
      </c>
      <c r="F448" s="109"/>
      <c r="G448" s="99" t="str">
        <f>A!N245</f>
        <v>reedmace</v>
      </c>
      <c r="H448" s="89" t="str">
        <f>A!Q245</f>
        <v>incorrectly named bullrush, large specimen</v>
      </c>
      <c r="I448" s="69">
        <f>A!M245</f>
        <v>2</v>
      </c>
      <c r="J448" s="202" t="str">
        <f>A!P245</f>
        <v>Yes</v>
      </c>
      <c r="K448" s="83">
        <f>IF(A!G245="y",1,0)</f>
        <v>0</v>
      </c>
      <c r="L448" s="83">
        <f>IF(A!H245="y",1,0)</f>
        <v>0</v>
      </c>
      <c r="M448" s="84" t="str">
        <f>IF(A!F245="y","NEW","")</f>
        <v/>
      </c>
      <c r="N448" s="85">
        <f>A!I245</f>
        <v>0</v>
      </c>
      <c r="O448" s="290" t="str">
        <f>A!O245</f>
        <v>2,3</v>
      </c>
      <c r="P448" s="541" t="str">
        <f>A!K245</f>
        <v>L</v>
      </c>
      <c r="Q448" s="541">
        <f>A!E245</f>
        <v>0</v>
      </c>
      <c r="R448" s="541" t="s">
        <v>211</v>
      </c>
      <c r="S448" s="541">
        <f t="shared" si="174"/>
        <v>0</v>
      </c>
      <c r="T448" s="541" t="str">
        <f>A!R245</f>
        <v>x3</v>
      </c>
      <c r="U448" s="541">
        <f>A!S245</f>
        <v>65</v>
      </c>
      <c r="V448" s="541">
        <f>A!T245</f>
        <v>0.125</v>
      </c>
      <c r="W448" s="541">
        <f t="shared" si="175"/>
        <v>0</v>
      </c>
      <c r="X448" s="541"/>
    </row>
    <row r="449" spans="1:24" ht="12" hidden="1" customHeight="1" x14ac:dyDescent="0.25">
      <c r="A449" s="121" t="str">
        <f>IF(S449=0,"",COUNTIF(A$23:A448,"&gt;0")+1)</f>
        <v/>
      </c>
      <c r="B449" s="344"/>
      <c r="C449" s="76" t="str">
        <f t="shared" si="173"/>
        <v>x3</v>
      </c>
      <c r="D449" s="98" t="str">
        <f>A!C246</f>
        <v>Typha laxmanii</v>
      </c>
      <c r="E449" s="109"/>
      <c r="F449" s="109"/>
      <c r="G449" s="99" t="str">
        <f>A!N246</f>
        <v>slender reedmace</v>
      </c>
      <c r="H449" s="89" t="str">
        <f>A!Q246</f>
        <v>probably the most elegant of the reedmace family</v>
      </c>
      <c r="I449" s="69">
        <f>A!M246</f>
        <v>2</v>
      </c>
      <c r="J449" s="202">
        <f>A!P246</f>
        <v>0</v>
      </c>
      <c r="K449" s="83">
        <f>IF(A!G246="y",1,0)</f>
        <v>0</v>
      </c>
      <c r="L449" s="83">
        <f>IF(A!H246="y",1,0)</f>
        <v>0</v>
      </c>
      <c r="M449" s="84" t="str">
        <f>IF(A!F246="y","NEW","")</f>
        <v/>
      </c>
      <c r="N449" s="85">
        <f>A!I246</f>
        <v>0</v>
      </c>
      <c r="O449" s="290" t="str">
        <f>A!O246</f>
        <v>2,3</v>
      </c>
      <c r="P449" s="541">
        <f>A!K246</f>
        <v>0</v>
      </c>
      <c r="Q449" s="541">
        <f>A!E246</f>
        <v>0</v>
      </c>
      <c r="R449" s="541" t="s">
        <v>211</v>
      </c>
      <c r="S449" s="541">
        <f t="shared" si="174"/>
        <v>0</v>
      </c>
      <c r="T449" s="541" t="str">
        <f>A!R246</f>
        <v>x3</v>
      </c>
      <c r="U449" s="541" t="str">
        <f>A!S246</f>
        <v/>
      </c>
      <c r="V449" s="541">
        <f>A!T246</f>
        <v>0.125</v>
      </c>
      <c r="W449" s="541">
        <f t="shared" si="175"/>
        <v>0</v>
      </c>
      <c r="X449" s="541"/>
    </row>
    <row r="450" spans="1:24" ht="11.25" customHeight="1" x14ac:dyDescent="0.25">
      <c r="A450" s="121" t="str">
        <f>IF(S450=0,"",COUNTIF(A$23:A449,"&gt;0")+1)</f>
        <v/>
      </c>
      <c r="B450" s="351"/>
      <c r="C450" s="76" t="str">
        <f t="shared" si="173"/>
        <v>x3</v>
      </c>
      <c r="D450" s="98" t="str">
        <f>A!C247</f>
        <v>Typha minima</v>
      </c>
      <c r="E450" s="78"/>
      <c r="F450" s="78"/>
      <c r="G450" s="99" t="str">
        <f>A!N247</f>
        <v>dwarf reedmace</v>
      </c>
      <c r="H450" s="89" t="str">
        <f>A!Q247</f>
        <v>the most delicate of the reedmace, ideal for features</v>
      </c>
      <c r="I450" s="69">
        <f>A!M247</f>
        <v>1</v>
      </c>
      <c r="J450" s="202">
        <f>A!P247</f>
        <v>0</v>
      </c>
      <c r="K450" s="83">
        <f>IF(A!G247="y",1,0)</f>
        <v>1</v>
      </c>
      <c r="L450" s="83">
        <f>IF(A!H247="y",1,0)</f>
        <v>1</v>
      </c>
      <c r="M450" s="84" t="str">
        <f>IF(A!F247="y","NEW","")</f>
        <v/>
      </c>
      <c r="N450" s="85">
        <f>A!I247</f>
        <v>0</v>
      </c>
      <c r="O450" s="290">
        <f>A!O247</f>
        <v>2</v>
      </c>
      <c r="P450" s="541" t="str">
        <f>A!K247</f>
        <v>M</v>
      </c>
      <c r="Q450" s="541" t="str">
        <f>A!E247</f>
        <v>y</v>
      </c>
      <c r="R450" s="541" t="s">
        <v>211</v>
      </c>
      <c r="S450" s="541">
        <f t="shared" si="174"/>
        <v>0</v>
      </c>
      <c r="T450" s="541" t="str">
        <f>A!R247</f>
        <v>x3</v>
      </c>
      <c r="U450" s="541">
        <f>A!S247</f>
        <v>50</v>
      </c>
      <c r="V450" s="541">
        <f>A!T247</f>
        <v>0.125</v>
      </c>
      <c r="W450" s="541">
        <f t="shared" si="175"/>
        <v>0</v>
      </c>
      <c r="X450" s="541"/>
    </row>
    <row r="451" spans="1:24" ht="12" hidden="1" customHeight="1" x14ac:dyDescent="0.25">
      <c r="A451" s="121" t="str">
        <f>IF(S451=0,"",COUNTIF(A$23:A450,"&gt;0")+1)</f>
        <v/>
      </c>
      <c r="B451" s="351"/>
      <c r="C451" s="76" t="str">
        <f t="shared" si="173"/>
        <v>x3</v>
      </c>
      <c r="D451" s="98" t="str">
        <f>A!C248</f>
        <v>Veronica beccabunga</v>
      </c>
      <c r="E451" s="78"/>
      <c r="F451" s="78"/>
      <c r="G451" s="99" t="str">
        <f>A!N248</f>
        <v>brooklime</v>
      </c>
      <c r="H451" s="89" t="str">
        <f>A!Q248</f>
        <v>a real functional native, great for all ponds</v>
      </c>
      <c r="I451" s="69">
        <f>A!M248</f>
        <v>1</v>
      </c>
      <c r="J451" s="202" t="str">
        <f>A!P248</f>
        <v>Yes</v>
      </c>
      <c r="K451" s="83">
        <f>IF(A!G248="y",1,0)</f>
        <v>0</v>
      </c>
      <c r="L451" s="83">
        <f>IF(A!H248="y",1,0)</f>
        <v>0</v>
      </c>
      <c r="M451" s="84" t="str">
        <f>IF(A!F248="y","NEW","")</f>
        <v/>
      </c>
      <c r="N451" s="85">
        <f>A!I248</f>
        <v>0</v>
      </c>
      <c r="O451" s="290" t="str">
        <f>A!O248</f>
        <v>1,2</v>
      </c>
      <c r="P451" s="541">
        <f>A!K248</f>
        <v>0</v>
      </c>
      <c r="Q451" s="541">
        <f>A!E248</f>
        <v>0</v>
      </c>
      <c r="R451" s="541" t="s">
        <v>211</v>
      </c>
      <c r="S451" s="541">
        <f t="shared" si="174"/>
        <v>0</v>
      </c>
      <c r="T451" s="541" t="str">
        <f>A!R248</f>
        <v>x3</v>
      </c>
      <c r="U451" s="541" t="str">
        <f>A!S248</f>
        <v/>
      </c>
      <c r="V451" s="541">
        <f>A!T248</f>
        <v>0.125</v>
      </c>
      <c r="W451" s="541">
        <f t="shared" si="175"/>
        <v>0</v>
      </c>
      <c r="X451" s="541"/>
    </row>
    <row r="452" spans="1:24" ht="12" hidden="1" customHeight="1" x14ac:dyDescent="0.25">
      <c r="A452" s="121" t="str">
        <f>IF(S452=0,"",COUNTIF(A$23:A451,"&gt;0")+1)</f>
        <v/>
      </c>
      <c r="B452" s="347"/>
      <c r="C452" s="128" t="str">
        <f t="shared" si="173"/>
        <v>x3</v>
      </c>
      <c r="D452" s="119" t="str">
        <f>A!C249</f>
        <v>Zantedeschia aethiopica</v>
      </c>
      <c r="E452" s="113"/>
      <c r="F452" s="113"/>
      <c r="G452" s="197" t="str">
        <f>A!N249</f>
        <v>arum lily</v>
      </c>
      <c r="H452" s="129" t="str">
        <f>A!Q249</f>
        <v>wonderull funnel-shaped white spathe-like flowers</v>
      </c>
      <c r="I452" s="130">
        <f>A!M249</f>
        <v>1</v>
      </c>
      <c r="J452" s="203">
        <f>A!P249</f>
        <v>0</v>
      </c>
      <c r="K452" s="131">
        <f>IF(A!G249="y",1,0)</f>
        <v>0</v>
      </c>
      <c r="L452" s="131">
        <f>IF(A!H249="y",1,0)</f>
        <v>0</v>
      </c>
      <c r="M452" s="132" t="str">
        <f>IF(A!F249="y","NEW","")</f>
        <v/>
      </c>
      <c r="N452" s="133">
        <f>A!I249</f>
        <v>0</v>
      </c>
      <c r="O452" s="307" t="str">
        <f>A!O249</f>
        <v>1,2</v>
      </c>
      <c r="P452" s="541">
        <f>A!K249</f>
        <v>0</v>
      </c>
      <c r="Q452" s="541">
        <f>A!E249</f>
        <v>0</v>
      </c>
      <c r="R452" s="541" t="s">
        <v>211</v>
      </c>
      <c r="S452" s="541">
        <f t="shared" si="174"/>
        <v>0</v>
      </c>
      <c r="T452" s="541" t="str">
        <f>A!R249</f>
        <v>x3</v>
      </c>
      <c r="U452" s="541" t="str">
        <f>A!S249</f>
        <v/>
      </c>
      <c r="V452" s="541">
        <f>A!T249</f>
        <v>0.125</v>
      </c>
      <c r="W452" s="541">
        <f t="shared" si="175"/>
        <v>0</v>
      </c>
      <c r="X452" s="541"/>
    </row>
    <row r="453" spans="1:24" ht="11.25" customHeight="1" thickBot="1" x14ac:dyDescent="0.3">
      <c r="A453" s="121" t="str">
        <f>IF(S453=0,"",COUNTIF(A$23:A452,"&gt;0")+1)</f>
        <v/>
      </c>
      <c r="B453" s="568"/>
      <c r="C453" s="569" t="str">
        <f t="shared" ref="C453" si="182">T453</f>
        <v>x3</v>
      </c>
      <c r="D453" s="570" t="str">
        <f>A!C250</f>
        <v>Zantedeschia alpina-NEW</v>
      </c>
      <c r="E453" s="571"/>
      <c r="F453" s="571"/>
      <c r="G453" s="572" t="str">
        <f>A!N250</f>
        <v>hardy arum lily</v>
      </c>
      <c r="H453" s="573" t="str">
        <f>A!Q250</f>
        <v>wonderful compact variety with cream speckled foliage</v>
      </c>
      <c r="I453" s="574">
        <f>A!M250</f>
        <v>1</v>
      </c>
      <c r="J453" s="575">
        <f>A!P250</f>
        <v>0</v>
      </c>
      <c r="K453" s="576">
        <f>IF(A!G250="y",1,0)</f>
        <v>1</v>
      </c>
      <c r="L453" s="576">
        <f>IF(A!H250="y",1,0)</f>
        <v>1</v>
      </c>
      <c r="M453" s="577" t="str">
        <f>IF(A!F250="y","NEW","")</f>
        <v/>
      </c>
      <c r="N453" s="578">
        <f>A!I250</f>
        <v>0</v>
      </c>
      <c r="O453" s="302" t="str">
        <f>A!O250</f>
        <v>1,2</v>
      </c>
      <c r="P453" s="541" t="str">
        <f>A!K250</f>
        <v>L</v>
      </c>
      <c r="Q453" s="541" t="str">
        <f>A!E250</f>
        <v>y</v>
      </c>
      <c r="R453" s="541" t="s">
        <v>211</v>
      </c>
      <c r="S453" s="541">
        <f t="shared" ref="S453" si="183">B453</f>
        <v>0</v>
      </c>
      <c r="T453" s="541" t="str">
        <f>A!R250</f>
        <v>x3</v>
      </c>
      <c r="U453" s="541">
        <f>A!S250</f>
        <v>65</v>
      </c>
      <c r="V453" s="541">
        <f>A!T250</f>
        <v>0.125</v>
      </c>
      <c r="W453" s="541">
        <f t="shared" ref="W453" si="184">V453*B453</f>
        <v>0</v>
      </c>
      <c r="X453" s="541"/>
    </row>
    <row r="454" spans="1:24" ht="11.25" hidden="1" customHeight="1" thickBot="1" x14ac:dyDescent="0.3">
      <c r="A454" s="121" t="str">
        <f>IF(S454=0,"",COUNTIF(A$23:A453,"&gt;0")+1)</f>
        <v/>
      </c>
      <c r="B454" s="568"/>
      <c r="C454" s="569" t="str">
        <f t="shared" ref="C454" si="185">T454</f>
        <v>x3</v>
      </c>
      <c r="D454" s="570" t="str">
        <f>A!C251</f>
        <v>Zantedeschia himalaya-NEW</v>
      </c>
      <c r="E454" s="571"/>
      <c r="F454" s="571"/>
      <c r="G454" s="572" t="str">
        <f>A!N251</f>
        <v>hardy arum lily</v>
      </c>
      <c r="H454" s="573" t="str">
        <f>A!Q251</f>
        <v>Pure white blooms, Extremely high flower count</v>
      </c>
      <c r="I454" s="574">
        <f>A!M251</f>
        <v>1</v>
      </c>
      <c r="J454" s="575">
        <f>A!P251</f>
        <v>0</v>
      </c>
      <c r="K454" s="576">
        <f>IF(A!G251="y",1,0)</f>
        <v>0</v>
      </c>
      <c r="L454" s="576">
        <f>IF(A!H251="y",1,0)</f>
        <v>0</v>
      </c>
      <c r="M454" s="577" t="str">
        <f>IF(A!F251="y","NEW","")</f>
        <v/>
      </c>
      <c r="N454" s="578">
        <f>A!I251</f>
        <v>0</v>
      </c>
      <c r="O454" s="579" t="str">
        <f>A!O251</f>
        <v>1,2</v>
      </c>
      <c r="P454" s="541" t="str">
        <f>A!K251</f>
        <v>L</v>
      </c>
      <c r="Q454" s="541">
        <f>A!E251</f>
        <v>0</v>
      </c>
      <c r="R454" s="541" t="s">
        <v>211</v>
      </c>
      <c r="S454" s="541">
        <f t="shared" ref="S454" si="186">B454</f>
        <v>0</v>
      </c>
      <c r="T454" s="541" t="str">
        <f>A!R251</f>
        <v>x3</v>
      </c>
      <c r="U454" s="541">
        <f>A!S251</f>
        <v>65</v>
      </c>
      <c r="V454" s="541">
        <f>A!T251</f>
        <v>0.125</v>
      </c>
      <c r="W454" s="541">
        <f t="shared" si="175"/>
        <v>0</v>
      </c>
      <c r="X454" s="541"/>
    </row>
    <row r="455" spans="1:24" ht="12" hidden="1" customHeight="1" thickBot="1" x14ac:dyDescent="0.3">
      <c r="A455" s="121" t="str">
        <f>IF(S455=0,"",COUNTIF(A$23:A454,"&gt;0")+1)</f>
        <v/>
      </c>
      <c r="B455" s="568"/>
      <c r="C455" s="569">
        <f>T459</f>
        <v>0</v>
      </c>
      <c r="D455" s="570" t="str">
        <f>A!C252</f>
        <v>Acorus calamus 'Variegatus'</v>
      </c>
      <c r="E455" s="571"/>
      <c r="F455" s="571"/>
      <c r="G455" s="572" t="str">
        <f>A!N252</f>
        <v>variegated sweet rush</v>
      </c>
      <c r="H455" s="573" t="str">
        <f>A!Q252</f>
        <v>fragrant, creamy-white variegated foliage</v>
      </c>
      <c r="I455" s="574">
        <f>A!M252</f>
        <v>1</v>
      </c>
      <c r="J455" s="575">
        <f>A!P252</f>
        <v>0</v>
      </c>
      <c r="K455" s="576">
        <f>IF(A!G252="y",1,0)</f>
        <v>0</v>
      </c>
      <c r="L455" s="576">
        <f>IF(A!H252="y",1,0)</f>
        <v>0</v>
      </c>
      <c r="M455" s="577" t="str">
        <f>IF(A!F252="y","NEW","")</f>
        <v/>
      </c>
      <c r="N455" s="578">
        <f>A!I252</f>
        <v>0</v>
      </c>
      <c r="O455" s="579" t="str">
        <f>A!O252</f>
        <v>2,3</v>
      </c>
      <c r="P455" s="541">
        <f>A!K252</f>
        <v>0</v>
      </c>
      <c r="Q455" s="541">
        <f>A!E252</f>
        <v>0</v>
      </c>
      <c r="R455" s="541" t="s">
        <v>211</v>
      </c>
      <c r="S455" s="541">
        <f t="shared" si="174"/>
        <v>0</v>
      </c>
      <c r="T455" s="541" t="str">
        <f>A!R252</f>
        <v>x3</v>
      </c>
      <c r="U455" s="541" t="str">
        <f>A!S252</f>
        <v/>
      </c>
      <c r="V455" s="541">
        <f>A!T252</f>
        <v>0.125</v>
      </c>
      <c r="W455" s="541"/>
      <c r="X455" s="541"/>
    </row>
    <row r="456" spans="1:24" ht="12" customHeight="1" x14ac:dyDescent="0.25">
      <c r="A456" s="121" t="str">
        <f>IF(S456=0,"",COUNTIF(A$23:A455,"&gt;0")+1)</f>
        <v/>
      </c>
      <c r="B456" s="490">
        <f>SUM(B355:B455)</f>
        <v>0</v>
      </c>
      <c r="C456" s="490"/>
      <c r="D456" s="491" t="s">
        <v>1354</v>
      </c>
      <c r="E456" s="492"/>
      <c r="F456" s="492"/>
      <c r="G456" s="492"/>
      <c r="H456" s="492"/>
      <c r="I456" s="492"/>
      <c r="J456" s="493"/>
      <c r="K456" s="492"/>
      <c r="L456" s="492"/>
      <c r="M456" s="494"/>
      <c r="N456" s="492"/>
      <c r="O456" s="495"/>
      <c r="P456" s="748"/>
      <c r="Q456" s="748"/>
      <c r="R456" s="541" t="s">
        <v>211</v>
      </c>
      <c r="S456" s="541">
        <f t="shared" si="174"/>
        <v>0</v>
      </c>
      <c r="T456" s="541" t="s">
        <v>599</v>
      </c>
      <c r="U456" s="541"/>
      <c r="V456" s="541"/>
      <c r="W456" s="541"/>
      <c r="X456" s="541"/>
    </row>
    <row r="457" spans="1:24" ht="9" hidden="1" customHeight="1" x14ac:dyDescent="0.25">
      <c r="A457" s="121" t="str">
        <f>IF(S457=0,"",COUNTIF(A$23:A456,"&gt;0")+1)</f>
        <v/>
      </c>
      <c r="P457" s="541"/>
      <c r="Q457" s="541"/>
      <c r="R457" s="541"/>
      <c r="S457" s="541"/>
      <c r="T457" s="541"/>
      <c r="U457" s="541"/>
      <c r="V457" s="541"/>
      <c r="W457" s="541"/>
      <c r="X457" s="541"/>
    </row>
    <row r="458" spans="1:24" ht="9.75" hidden="1" customHeight="1" x14ac:dyDescent="0.25">
      <c r="A458" s="121" t="str">
        <f>IF(S458=0,"",COUNTIF(A$23:A457,"&gt;0")+1)</f>
        <v/>
      </c>
      <c r="B458" s="953" t="s">
        <v>115</v>
      </c>
      <c r="C458" s="954"/>
      <c r="D458" s="977" t="s">
        <v>928</v>
      </c>
      <c r="E458" s="978"/>
      <c r="F458" s="978"/>
      <c r="G458" s="978"/>
      <c r="H458" s="978"/>
      <c r="I458" s="56"/>
      <c r="J458" s="200"/>
      <c r="K458" s="56"/>
      <c r="L458" s="56"/>
      <c r="M458" s="58"/>
      <c r="N458" s="56"/>
      <c r="O458" s="59"/>
      <c r="P458" s="748"/>
      <c r="Q458" s="748"/>
      <c r="R458" s="541"/>
      <c r="S458" s="541"/>
      <c r="T458" s="541"/>
      <c r="U458" s="541"/>
      <c r="V458" s="541"/>
      <c r="W458" s="541"/>
      <c r="X458" s="541"/>
    </row>
    <row r="459" spans="1:24" ht="11.25" hidden="1" customHeight="1" x14ac:dyDescent="0.25">
      <c r="A459" s="121" t="str">
        <f>IF(S459=0,"",COUNTIF(A$23:A458,"&gt;0")+1)</f>
        <v/>
      </c>
      <c r="B459" s="1013" t="s">
        <v>210</v>
      </c>
      <c r="C459" s="1014"/>
      <c r="D459" s="979"/>
      <c r="E459" s="980"/>
      <c r="F459" s="980"/>
      <c r="G459" s="980"/>
      <c r="H459" s="980"/>
      <c r="I459" s="62"/>
      <c r="J459" s="201"/>
      <c r="K459" s="63"/>
      <c r="L459" s="63"/>
      <c r="M459" s="62"/>
      <c r="N459" s="63"/>
      <c r="O459" s="64" t="s">
        <v>41</v>
      </c>
      <c r="P459" s="748"/>
      <c r="Q459" s="748"/>
      <c r="R459" s="541"/>
      <c r="S459" s="541"/>
      <c r="T459" s="541"/>
      <c r="U459" s="541"/>
      <c r="V459" s="541"/>
      <c r="W459" s="541"/>
      <c r="X459" s="541"/>
    </row>
    <row r="460" spans="1:24" ht="12" hidden="1" customHeight="1" x14ac:dyDescent="0.25">
      <c r="A460" s="121" t="str">
        <f>IF(S460=0,"",COUNTIF(A$23:A459,"&gt;0")+1)</f>
        <v/>
      </c>
      <c r="B460" s="120"/>
      <c r="C460" s="122" t="str">
        <f t="shared" ref="C460" si="187">T460</f>
        <v>x1</v>
      </c>
      <c r="D460" s="98" t="str">
        <f>A!C349</f>
        <v>3L Marginal with 3 plants</v>
      </c>
      <c r="E460" s="109"/>
      <c r="F460" s="109"/>
      <c r="G460" s="123"/>
      <c r="H460" s="89" t="str">
        <f>A!Q349</f>
        <v>offering a finished product complete with 3 marginals</v>
      </c>
      <c r="I460" s="69"/>
      <c r="J460" s="202">
        <f>A!P349</f>
        <v>0</v>
      </c>
      <c r="K460" s="83">
        <f>IF(A!G349="y",1,0)</f>
        <v>0</v>
      </c>
      <c r="L460" s="83">
        <f>IF(A!H349="y",1,0)</f>
        <v>0</v>
      </c>
      <c r="M460" s="84" t="str">
        <f>IF(A!F349="y","NEW","")</f>
        <v/>
      </c>
      <c r="N460" s="85">
        <f>A!I349</f>
        <v>0</v>
      </c>
      <c r="O460" s="82">
        <f>A!O349</f>
        <v>2</v>
      </c>
      <c r="P460" s="748"/>
      <c r="Q460" s="541">
        <f>A!E349</f>
        <v>0</v>
      </c>
      <c r="R460" s="541" t="s">
        <v>814</v>
      </c>
      <c r="S460" s="541">
        <f>B460</f>
        <v>0</v>
      </c>
      <c r="T460" s="541" t="s">
        <v>548</v>
      </c>
      <c r="U460" s="541"/>
      <c r="V460" s="541"/>
      <c r="W460" s="541"/>
      <c r="X460" s="541"/>
    </row>
    <row r="461" spans="1:24" ht="12" hidden="1" customHeight="1" x14ac:dyDescent="0.25">
      <c r="A461" s="121" t="str">
        <f>IF(S461=0,"",COUNTIF(A$23:A460,"&gt;0")+1)</f>
        <v/>
      </c>
      <c r="B461" s="92">
        <f>B460</f>
        <v>0</v>
      </c>
      <c r="C461" s="92"/>
      <c r="D461" s="93" t="s">
        <v>815</v>
      </c>
      <c r="E461" s="56"/>
      <c r="F461" s="56"/>
      <c r="G461" s="56"/>
      <c r="H461" s="56"/>
      <c r="I461" s="56"/>
      <c r="J461" s="200"/>
      <c r="K461" s="56"/>
      <c r="L461" s="56"/>
      <c r="M461" s="58"/>
      <c r="N461" s="56"/>
      <c r="O461" s="96"/>
      <c r="P461" s="748"/>
      <c r="Q461" s="748"/>
      <c r="R461" s="541" t="s">
        <v>814</v>
      </c>
      <c r="S461" s="541">
        <f>B461</f>
        <v>0</v>
      </c>
      <c r="T461" s="541" t="s">
        <v>548</v>
      </c>
      <c r="U461" s="541"/>
      <c r="V461" s="541"/>
      <c r="W461" s="541"/>
      <c r="X461" s="541"/>
    </row>
    <row r="462" spans="1:24" ht="6.75" customHeight="1" thickBot="1" x14ac:dyDescent="0.3">
      <c r="A462" s="121" t="str">
        <f>IF(S462=0,"",COUNTIF(A$23:A461,"&gt;0")+1)</f>
        <v/>
      </c>
      <c r="P462" s="541"/>
      <c r="Q462" s="541"/>
      <c r="R462" s="541"/>
      <c r="S462" s="541"/>
      <c r="T462" s="541"/>
      <c r="U462" s="541"/>
      <c r="V462" s="541"/>
      <c r="W462" s="541"/>
      <c r="X462" s="541"/>
    </row>
    <row r="463" spans="1:24" ht="9" customHeight="1" x14ac:dyDescent="0.25">
      <c r="A463" s="121" t="str">
        <f>IF(S463=0,"",COUNTIF(A$23:A462,"&gt;0")+1)</f>
        <v/>
      </c>
      <c r="B463" s="955" t="s">
        <v>115</v>
      </c>
      <c r="C463" s="956"/>
      <c r="D463" s="910" t="s">
        <v>1071</v>
      </c>
      <c r="E463" s="911"/>
      <c r="F463" s="911"/>
      <c r="G463" s="911"/>
      <c r="H463" s="911"/>
      <c r="I463" s="932" t="s">
        <v>1253</v>
      </c>
      <c r="J463" s="932"/>
      <c r="K463" s="932"/>
      <c r="L463" s="932"/>
      <c r="M463" s="932"/>
      <c r="N463" s="932"/>
      <c r="O463" s="933"/>
      <c r="P463" s="541"/>
      <c r="Q463" s="541"/>
      <c r="R463" s="541"/>
      <c r="S463" s="541"/>
      <c r="T463" s="541"/>
      <c r="U463" s="541"/>
      <c r="V463" s="541"/>
      <c r="W463" s="541"/>
      <c r="X463" s="541"/>
    </row>
    <row r="464" spans="1:24" ht="9" customHeight="1" thickBot="1" x14ac:dyDescent="0.3">
      <c r="A464" s="121" t="str">
        <f>IF(S464=0,"",COUNTIF(A$23:A463,"&gt;0")+1)</f>
        <v/>
      </c>
      <c r="B464" s="957" t="s">
        <v>210</v>
      </c>
      <c r="C464" s="958"/>
      <c r="D464" s="926"/>
      <c r="E464" s="927"/>
      <c r="F464" s="927"/>
      <c r="G464" s="927"/>
      <c r="H464" s="927"/>
      <c r="I464" s="311" t="s">
        <v>114</v>
      </c>
      <c r="J464" s="309"/>
      <c r="K464" s="310"/>
      <c r="L464" s="310"/>
      <c r="M464" s="311"/>
      <c r="N464" s="310"/>
      <c r="O464" s="312" t="s">
        <v>41</v>
      </c>
      <c r="P464" s="541"/>
      <c r="Q464" s="540" t="s">
        <v>113</v>
      </c>
      <c r="R464" s="541"/>
      <c r="S464" s="541"/>
      <c r="T464" s="541"/>
      <c r="U464" s="541"/>
      <c r="V464" s="541"/>
      <c r="W464" s="541"/>
      <c r="X464" s="541"/>
    </row>
    <row r="465" spans="1:24" ht="11.25" customHeight="1" x14ac:dyDescent="0.25">
      <c r="A465" s="121" t="str">
        <f>IF(S465=0,"",COUNTIF(A$23:A464,"&gt;0")+1)</f>
        <v/>
      </c>
      <c r="B465" s="556"/>
      <c r="C465" s="557" t="str">
        <f t="shared" ref="C465:C466" si="188">T465</f>
        <v>x1</v>
      </c>
      <c r="D465" s="558" t="str">
        <f>A!C350</f>
        <v>Assorted</v>
      </c>
      <c r="E465" s="559"/>
      <c r="F465" s="559"/>
      <c r="G465" s="560" t="str">
        <f>A!N350</f>
        <v>our selection</v>
      </c>
      <c r="H465" s="561" t="str">
        <f>A!Q350</f>
        <v>take the worry out of ordering, best plants available</v>
      </c>
      <c r="I465" s="749"/>
      <c r="J465" s="563">
        <f>A!P350</f>
        <v>0</v>
      </c>
      <c r="K465" s="564">
        <f>IF(A!G350="y",1,0)</f>
        <v>1</v>
      </c>
      <c r="L465" s="564">
        <f>IF(A!H350="y",1,0)</f>
        <v>1</v>
      </c>
      <c r="M465" s="565" t="str">
        <f>IF(A!F350="y","NEW","")</f>
        <v/>
      </c>
      <c r="N465" s="600">
        <f>A!I350</f>
        <v>0</v>
      </c>
      <c r="O465" s="567" t="str">
        <f>A!O350</f>
        <v>1,2</v>
      </c>
      <c r="P465" s="541" t="str">
        <f>A!K350</f>
        <v>M</v>
      </c>
      <c r="Q465" s="541" t="str">
        <f>A!E350</f>
        <v>y</v>
      </c>
      <c r="R465" s="541" t="s">
        <v>111</v>
      </c>
      <c r="S465" s="541">
        <f t="shared" ref="S465:S528" si="189">B465</f>
        <v>0</v>
      </c>
      <c r="T465" s="541" t="str">
        <f>A!R350</f>
        <v>x1</v>
      </c>
      <c r="U465" s="541">
        <f>A!S350</f>
        <v>45</v>
      </c>
      <c r="V465" s="541">
        <f>A!T350</f>
        <v>8.3333333333333329E-2</v>
      </c>
      <c r="W465" s="541">
        <f t="shared" ref="W465:W527" si="190">V465*B465</f>
        <v>0</v>
      </c>
      <c r="X465" s="541"/>
    </row>
    <row r="466" spans="1:24" ht="11.25" hidden="1" customHeight="1" x14ac:dyDescent="0.25">
      <c r="A466" s="121" t="str">
        <f>IF(S466=0,"",COUNTIF(A$23:A465,"&gt;0")+1)</f>
        <v/>
      </c>
      <c r="B466" s="351"/>
      <c r="C466" s="76" t="str">
        <f t="shared" si="188"/>
        <v>x1</v>
      </c>
      <c r="D466" s="98" t="str">
        <f>A!C351</f>
        <v>Acorus 'Golden Delight'</v>
      </c>
      <c r="E466" s="78"/>
      <c r="F466" s="78"/>
      <c r="G466" s="99" t="str">
        <f>A!N351</f>
        <v>Golden delight</v>
      </c>
      <c r="H466" s="89" t="str">
        <f>A!Q351</f>
        <v>evergreen leaves grow into attractive fans.</v>
      </c>
      <c r="I466" s="69">
        <f>A!M351</f>
        <v>1</v>
      </c>
      <c r="J466" s="202">
        <f>A!P351</f>
        <v>0</v>
      </c>
      <c r="K466" s="83">
        <f>IF(A!G351="y",1,0)</f>
        <v>0</v>
      </c>
      <c r="L466" s="83">
        <f>IF(A!H351="y",1,0)</f>
        <v>0</v>
      </c>
      <c r="M466" s="84" t="str">
        <f>IF(A!F351="y","NEW","")</f>
        <v/>
      </c>
      <c r="N466" s="85">
        <f>A!I351</f>
        <v>0</v>
      </c>
      <c r="O466" s="290" t="str">
        <f>A!O351</f>
        <v>1,2</v>
      </c>
      <c r="P466" s="541">
        <f>A!K351</f>
        <v>0</v>
      </c>
      <c r="Q466" s="541">
        <f>A!E351</f>
        <v>0</v>
      </c>
      <c r="R466" s="541" t="s">
        <v>111</v>
      </c>
      <c r="S466" s="541">
        <f t="shared" si="189"/>
        <v>0</v>
      </c>
      <c r="T466" s="541" t="str">
        <f>A!R351</f>
        <v>x1</v>
      </c>
      <c r="U466" s="541" t="str">
        <f>A!S351</f>
        <v/>
      </c>
      <c r="V466" s="541">
        <f>A!T351</f>
        <v>8.3333333333333329E-2</v>
      </c>
      <c r="W466" s="541">
        <f t="shared" si="190"/>
        <v>0</v>
      </c>
      <c r="X466" s="541"/>
    </row>
    <row r="467" spans="1:24" ht="11.25" hidden="1" customHeight="1" x14ac:dyDescent="0.25">
      <c r="A467" s="121" t="str">
        <f>IF(S467=0,"",COUNTIF(A$23:A466,"&gt;0")+1)</f>
        <v/>
      </c>
      <c r="B467" s="351"/>
      <c r="C467" s="76" t="str">
        <f t="shared" ref="C467:C488" si="191">T467</f>
        <v>x1</v>
      </c>
      <c r="D467" s="98" t="str">
        <f>A!C352</f>
        <v>Acorus gramineus 'ogon'</v>
      </c>
      <c r="E467" s="78"/>
      <c r="F467" s="78"/>
      <c r="G467" s="99" t="str">
        <f>A!N352</f>
        <v>golden gramineus</v>
      </c>
      <c r="H467" s="89" t="str">
        <f>A!Q352</f>
        <v>wonderful golden/green variegated foliage</v>
      </c>
      <c r="I467" s="69">
        <f>A!M352</f>
        <v>1</v>
      </c>
      <c r="J467" s="202">
        <f>A!P352</f>
        <v>0</v>
      </c>
      <c r="K467" s="83">
        <f>IF(A!G352="y",1,0)</f>
        <v>0</v>
      </c>
      <c r="L467" s="83">
        <f>IF(A!H352="y",1,0)</f>
        <v>0</v>
      </c>
      <c r="M467" s="84" t="str">
        <f>IF(A!F352="y","NEW","")</f>
        <v/>
      </c>
      <c r="N467" s="85">
        <f>A!I352</f>
        <v>0</v>
      </c>
      <c r="O467" s="290" t="str">
        <f>A!O352</f>
        <v>1,2</v>
      </c>
      <c r="P467" s="541">
        <f>A!K352</f>
        <v>0</v>
      </c>
      <c r="Q467" s="541">
        <f>A!E352</f>
        <v>0</v>
      </c>
      <c r="R467" s="541" t="s">
        <v>111</v>
      </c>
      <c r="S467" s="541">
        <f t="shared" ref="S467:S488" si="192">B467</f>
        <v>0</v>
      </c>
      <c r="T467" s="541" t="str">
        <f>A!R352</f>
        <v>x1</v>
      </c>
      <c r="U467" s="541" t="str">
        <f>A!S352</f>
        <v/>
      </c>
      <c r="V467" s="541">
        <f>A!T352</f>
        <v>8.3333333333333329E-2</v>
      </c>
      <c r="W467" s="541">
        <f t="shared" si="190"/>
        <v>0</v>
      </c>
      <c r="X467" s="541"/>
    </row>
    <row r="468" spans="1:24" ht="11.25" hidden="1" customHeight="1" x14ac:dyDescent="0.25">
      <c r="A468" s="121" t="str">
        <f>IF(S468=0,"",COUNTIF(A$23:A467,"&gt;0")+1)</f>
        <v/>
      </c>
      <c r="B468" s="351"/>
      <c r="C468" s="76" t="str">
        <f t="shared" si="191"/>
        <v>x1</v>
      </c>
      <c r="D468" s="98" t="str">
        <f>A!C353</f>
        <v>Acorus gramineus 'Variegatus'</v>
      </c>
      <c r="E468" s="78"/>
      <c r="F468" s="78"/>
      <c r="G468" s="99" t="str">
        <f>A!N353</f>
        <v>dwarf rush</v>
      </c>
      <c r="H468" s="89" t="str">
        <f>A!Q353</f>
        <v>evergreen green/cream variegated foliage</v>
      </c>
      <c r="I468" s="69">
        <f>A!M353</f>
        <v>2</v>
      </c>
      <c r="J468" s="202">
        <f>A!P353</f>
        <v>0</v>
      </c>
      <c r="K468" s="83">
        <f>IF(A!G353="y",1,0)</f>
        <v>0</v>
      </c>
      <c r="L468" s="83">
        <f>IF(A!H353="y",1,0)</f>
        <v>0</v>
      </c>
      <c r="M468" s="84" t="str">
        <f>IF(A!F353="y","NEW","")</f>
        <v/>
      </c>
      <c r="N468" s="85">
        <f>A!I353</f>
        <v>0</v>
      </c>
      <c r="O468" s="290" t="str">
        <f>A!O353</f>
        <v>1,2</v>
      </c>
      <c r="P468" s="541">
        <f>A!K353</f>
        <v>0</v>
      </c>
      <c r="Q468" s="541">
        <f>A!E353</f>
        <v>0</v>
      </c>
      <c r="R468" s="541" t="s">
        <v>111</v>
      </c>
      <c r="S468" s="541">
        <f t="shared" si="192"/>
        <v>0</v>
      </c>
      <c r="T468" s="541" t="str">
        <f>A!R353</f>
        <v>x1</v>
      </c>
      <c r="U468" s="541" t="str">
        <f>A!S353</f>
        <v/>
      </c>
      <c r="V468" s="541">
        <f>A!T353</f>
        <v>8.3333333333333329E-2</v>
      </c>
      <c r="W468" s="541">
        <f t="shared" si="190"/>
        <v>0</v>
      </c>
      <c r="X468" s="541"/>
    </row>
    <row r="469" spans="1:24" ht="11.25" customHeight="1" x14ac:dyDescent="0.25">
      <c r="A469" s="121" t="str">
        <f>IF(S469=0,"",COUNTIF(A$23:A468,"&gt;0")+1)</f>
        <v/>
      </c>
      <c r="B469" s="351"/>
      <c r="C469" s="76" t="str">
        <f t="shared" si="191"/>
        <v>x1</v>
      </c>
      <c r="D469" s="98" t="str">
        <f>A!C354</f>
        <v>Butomus umbellatus</v>
      </c>
      <c r="E469" s="78"/>
      <c r="F469" s="78"/>
      <c r="G469" s="99" t="str">
        <f>A!N354</f>
        <v>flowering rush</v>
      </c>
      <c r="H469" s="89" t="str">
        <f>A!Q354</f>
        <v>dainty pink flowers over rush-like foliage</v>
      </c>
      <c r="I469" s="69">
        <f>A!M354</f>
        <v>1</v>
      </c>
      <c r="J469" s="202" t="str">
        <f>A!P354</f>
        <v>Yes</v>
      </c>
      <c r="K469" s="83">
        <f>IF(A!G354="y",1,0)</f>
        <v>1</v>
      </c>
      <c r="L469" s="83">
        <f>IF(A!H354="y",1,0)</f>
        <v>1</v>
      </c>
      <c r="M469" s="84" t="str">
        <f>IF(A!F354="y","NEW","")</f>
        <v/>
      </c>
      <c r="N469" s="85">
        <f>A!I354</f>
        <v>0</v>
      </c>
      <c r="O469" s="290" t="str">
        <f>A!O354</f>
        <v>2,3</v>
      </c>
      <c r="P469" s="541" t="str">
        <f>A!K354</f>
        <v>L</v>
      </c>
      <c r="Q469" s="541" t="str">
        <f>A!E354</f>
        <v>y</v>
      </c>
      <c r="R469" s="541" t="s">
        <v>111</v>
      </c>
      <c r="S469" s="541">
        <f t="shared" si="192"/>
        <v>0</v>
      </c>
      <c r="T469" s="541" t="str">
        <f>A!R354</f>
        <v>x1</v>
      </c>
      <c r="U469" s="541">
        <f>A!S354</f>
        <v>60</v>
      </c>
      <c r="V469" s="541">
        <f>A!T354</f>
        <v>8.3333333333333329E-2</v>
      </c>
      <c r="W469" s="541">
        <f t="shared" si="190"/>
        <v>0</v>
      </c>
      <c r="X469" s="541"/>
    </row>
    <row r="470" spans="1:24" ht="11.25" hidden="1" customHeight="1" x14ac:dyDescent="0.25">
      <c r="A470" s="121" t="str">
        <f>IF(S470=0,"",COUNTIF(A$23:A469,"&gt;0")+1)</f>
        <v/>
      </c>
      <c r="B470" s="351"/>
      <c r="C470" s="76" t="str">
        <f t="shared" si="191"/>
        <v>x1</v>
      </c>
      <c r="D470" s="98" t="str">
        <f>A!C355</f>
        <v>Caltha palustris</v>
      </c>
      <c r="E470" s="78"/>
      <c r="F470" s="78"/>
      <c r="G470" s="99" t="str">
        <f>A!N355</f>
        <v>marsh marigold</v>
      </c>
      <c r="H470" s="89" t="str">
        <f>A!Q355</f>
        <v>native marigold a must have for any pond</v>
      </c>
      <c r="I470" s="69">
        <f>A!M355</f>
        <v>1</v>
      </c>
      <c r="J470" s="202" t="str">
        <f>A!P355</f>
        <v>Yes</v>
      </c>
      <c r="K470" s="83">
        <f>IF(A!G355="y",1,0)</f>
        <v>0</v>
      </c>
      <c r="L470" s="83">
        <f>IF(A!H355="y",1,0)</f>
        <v>0</v>
      </c>
      <c r="M470" s="84" t="str">
        <f>IF(A!F355="y","NEW","")</f>
        <v/>
      </c>
      <c r="N470" s="85">
        <f>A!I355</f>
        <v>0</v>
      </c>
      <c r="O470" s="290" t="str">
        <f>A!O355</f>
        <v>1,2</v>
      </c>
      <c r="P470" s="541">
        <f>A!K355</f>
        <v>0</v>
      </c>
      <c r="Q470" s="541">
        <f>A!E355</f>
        <v>0</v>
      </c>
      <c r="R470" s="541" t="s">
        <v>111</v>
      </c>
      <c r="S470" s="541">
        <f t="shared" si="192"/>
        <v>0</v>
      </c>
      <c r="T470" s="541" t="str">
        <f>A!R355</f>
        <v>x1</v>
      </c>
      <c r="U470" s="541" t="str">
        <f>A!S355</f>
        <v/>
      </c>
      <c r="V470" s="541">
        <f>A!T355</f>
        <v>8.3333333333333329E-2</v>
      </c>
      <c r="W470" s="541">
        <f t="shared" si="190"/>
        <v>0</v>
      </c>
      <c r="X470" s="541"/>
    </row>
    <row r="471" spans="1:24" ht="11.25" hidden="1" customHeight="1" x14ac:dyDescent="0.25">
      <c r="A471" s="121" t="str">
        <f>IF(S471=0,"",COUNTIF(A$23:A470,"&gt;0")+1)</f>
        <v/>
      </c>
      <c r="B471" s="351"/>
      <c r="C471" s="76" t="str">
        <f>T471</f>
        <v>x1</v>
      </c>
      <c r="D471" s="98" t="str">
        <f>A!C356</f>
        <v>Caltha palustris 'Flore Pleno'</v>
      </c>
      <c r="E471" s="78"/>
      <c r="F471" s="78"/>
      <c r="G471" s="99" t="str">
        <f>A!N356</f>
        <v>double marsh marigold</v>
      </c>
      <c r="H471" s="89" t="str">
        <f>A!Q356</f>
        <v>beautiful double yellow flowered marigold</v>
      </c>
      <c r="I471" s="69">
        <f>A!M356</f>
        <v>1</v>
      </c>
      <c r="J471" s="202">
        <f>A!P356</f>
        <v>0</v>
      </c>
      <c r="K471" s="83">
        <f>IF(A!G356="y",1,0)</f>
        <v>0</v>
      </c>
      <c r="L471" s="83">
        <f>IF(A!H356="y",1,0)</f>
        <v>0</v>
      </c>
      <c r="M471" s="84" t="str">
        <f>IF(A!F356="y","NEW","")</f>
        <v/>
      </c>
      <c r="N471" s="85">
        <f>A!I356</f>
        <v>0</v>
      </c>
      <c r="O471" s="290" t="str">
        <f>A!O356</f>
        <v>1,2</v>
      </c>
      <c r="P471" s="541">
        <f>A!K356</f>
        <v>0</v>
      </c>
      <c r="Q471" s="541">
        <f>A!E356</f>
        <v>0</v>
      </c>
      <c r="R471" s="541" t="s">
        <v>111</v>
      </c>
      <c r="S471" s="541">
        <f>B471</f>
        <v>0</v>
      </c>
      <c r="T471" s="541" t="str">
        <f>A!R356</f>
        <v>x1</v>
      </c>
      <c r="U471" s="541" t="str">
        <f>A!S356</f>
        <v/>
      </c>
      <c r="V471" s="541">
        <f>A!T356</f>
        <v>8.3333333333333329E-2</v>
      </c>
      <c r="W471" s="541">
        <f t="shared" si="190"/>
        <v>0</v>
      </c>
      <c r="X471" s="541"/>
    </row>
    <row r="472" spans="1:24" ht="11.25" hidden="1" customHeight="1" x14ac:dyDescent="0.25">
      <c r="A472" s="121" t="str">
        <f>IF(S472=0,"",COUNTIF(A$23:A471,"&gt;0")+1)</f>
        <v/>
      </c>
      <c r="B472" s="351"/>
      <c r="C472" s="76" t="str">
        <f t="shared" si="191"/>
        <v>x1</v>
      </c>
      <c r="D472" s="98" t="str">
        <f>A!C357</f>
        <v>Caltha polypetala</v>
      </c>
      <c r="E472" s="78"/>
      <c r="F472" s="78"/>
      <c r="G472" s="99" t="str">
        <f>A!N357</f>
        <v>giant kingcup</v>
      </c>
      <c r="H472" s="89" t="str">
        <f>A!Q357</f>
        <v>the largest of the marigolds, a real specimen</v>
      </c>
      <c r="I472" s="69">
        <f>A!M357</f>
        <v>1</v>
      </c>
      <c r="J472" s="202">
        <f>A!P357</f>
        <v>0</v>
      </c>
      <c r="K472" s="83">
        <f>IF(A!G357="y",1,0)</f>
        <v>0</v>
      </c>
      <c r="L472" s="83">
        <f>IF(A!H357="y",1,0)</f>
        <v>0</v>
      </c>
      <c r="M472" s="84" t="str">
        <f>IF(A!F357="y","NEW","")</f>
        <v/>
      </c>
      <c r="N472" s="85">
        <f>A!I357</f>
        <v>0</v>
      </c>
      <c r="O472" s="290" t="str">
        <f>A!O357</f>
        <v>1,2</v>
      </c>
      <c r="P472" s="541">
        <f>A!K357</f>
        <v>0</v>
      </c>
      <c r="Q472" s="541">
        <f>A!E357</f>
        <v>0</v>
      </c>
      <c r="R472" s="541" t="s">
        <v>111</v>
      </c>
      <c r="S472" s="541">
        <f t="shared" si="192"/>
        <v>0</v>
      </c>
      <c r="T472" s="541" t="str">
        <f>A!R357</f>
        <v>x1</v>
      </c>
      <c r="U472" s="541" t="str">
        <f>A!S357</f>
        <v/>
      </c>
      <c r="V472" s="541">
        <f>A!T357</f>
        <v>8.3333333333333329E-2</v>
      </c>
      <c r="W472" s="541">
        <f t="shared" si="190"/>
        <v>0</v>
      </c>
      <c r="X472" s="541"/>
    </row>
    <row r="473" spans="1:24" ht="11.25" customHeight="1" x14ac:dyDescent="0.25">
      <c r="A473" s="121" t="str">
        <f>IF(S473=0,"",COUNTIF(A$23:A472,"&gt;0")+1)</f>
        <v/>
      </c>
      <c r="B473" s="351"/>
      <c r="C473" s="76" t="str">
        <f t="shared" si="191"/>
        <v>x1</v>
      </c>
      <c r="D473" s="98" t="str">
        <f>A!C358</f>
        <v>Canna  Assorted</v>
      </c>
      <c r="E473" s="78"/>
      <c r="F473" s="78"/>
      <c r="G473" s="99" t="str">
        <f>A!N358</f>
        <v>Indian shot plant</v>
      </c>
      <c r="H473" s="89" t="str">
        <f>A!Q358</f>
        <v>Our best available Cannas</v>
      </c>
      <c r="I473" s="69">
        <f>A!M358</f>
        <v>1</v>
      </c>
      <c r="J473" s="202">
        <f>A!P358</f>
        <v>0</v>
      </c>
      <c r="K473" s="83">
        <f>IF(A!G358="y",1,0)</f>
        <v>1</v>
      </c>
      <c r="L473" s="83">
        <f>IF(A!H358="y",1,0)</f>
        <v>1</v>
      </c>
      <c r="M473" s="84" t="str">
        <f>IF(A!F358="y","NEW","")</f>
        <v/>
      </c>
      <c r="N473" s="85" t="str">
        <f>A!I358</f>
        <v>y</v>
      </c>
      <c r="O473" s="290">
        <f>A!O358</f>
        <v>1</v>
      </c>
      <c r="P473" s="541" t="str">
        <f>A!K358</f>
        <v>M</v>
      </c>
      <c r="Q473" s="541" t="str">
        <f>A!E358</f>
        <v>y</v>
      </c>
      <c r="R473" s="541" t="s">
        <v>111</v>
      </c>
      <c r="S473" s="541">
        <f t="shared" si="192"/>
        <v>0</v>
      </c>
      <c r="T473" s="541" t="str">
        <f>A!R358</f>
        <v>x1</v>
      </c>
      <c r="U473" s="541">
        <f>A!S358</f>
        <v>45</v>
      </c>
      <c r="V473" s="541">
        <f>A!T358</f>
        <v>8.3333333333333329E-2</v>
      </c>
      <c r="W473" s="541">
        <f t="shared" si="190"/>
        <v>0</v>
      </c>
      <c r="X473" s="541"/>
    </row>
    <row r="474" spans="1:24" ht="11.25" hidden="1" customHeight="1" x14ac:dyDescent="0.25">
      <c r="A474" s="121" t="str">
        <f>IF(S474=0,"",COUNTIF(A$23:A473,"&gt;0")+1)</f>
        <v/>
      </c>
      <c r="B474" s="351"/>
      <c r="C474" s="76" t="str">
        <f t="shared" ref="C474:C479" si="193">T474</f>
        <v>x1</v>
      </c>
      <c r="D474" s="98" t="str">
        <f>A!C359</f>
        <v>Canna Happy Carmen</v>
      </c>
      <c r="E474" s="78"/>
      <c r="F474" s="78"/>
      <c r="G474" s="99" t="str">
        <f>A!N359</f>
        <v>Indian shot plant</v>
      </c>
      <c r="H474" s="89" t="str">
        <f>A!Q359</f>
        <v>beautiful flowers dark red and very compact</v>
      </c>
      <c r="I474" s="69">
        <f>A!M359</f>
        <v>1</v>
      </c>
      <c r="J474" s="202">
        <f>A!P359</f>
        <v>0</v>
      </c>
      <c r="K474" s="83">
        <f>IF(A!G359="y",1,0)</f>
        <v>0</v>
      </c>
      <c r="L474" s="83">
        <f>IF(A!H359="y",1,0)</f>
        <v>0</v>
      </c>
      <c r="M474" s="84" t="str">
        <f>IF(A!F359="y","NEW","")</f>
        <v/>
      </c>
      <c r="N474" s="85">
        <f>A!I359</f>
        <v>0</v>
      </c>
      <c r="O474" s="290">
        <f>A!O359</f>
        <v>1</v>
      </c>
      <c r="P474" s="541" t="str">
        <f>A!K359</f>
        <v>M</v>
      </c>
      <c r="Q474" s="541">
        <f>A!E359</f>
        <v>0</v>
      </c>
      <c r="R474" s="541" t="s">
        <v>111</v>
      </c>
      <c r="S474" s="541">
        <f t="shared" ref="S474:S479" si="194">B474</f>
        <v>0</v>
      </c>
      <c r="T474" s="541" t="str">
        <f>A!R359</f>
        <v>x1</v>
      </c>
      <c r="U474" s="541">
        <f>A!S359</f>
        <v>45</v>
      </c>
      <c r="V474" s="541">
        <f>A!T359</f>
        <v>8.3333333333333329E-2</v>
      </c>
      <c r="W474" s="541">
        <f t="shared" ref="W474:W479" si="195">V474*B474</f>
        <v>0</v>
      </c>
      <c r="X474" s="541"/>
    </row>
    <row r="475" spans="1:24" ht="11.25" hidden="1" customHeight="1" x14ac:dyDescent="0.25">
      <c r="A475" s="121" t="str">
        <f>IF(S475=0,"",COUNTIF(A$23:A474,"&gt;0")+1)</f>
        <v/>
      </c>
      <c r="B475" s="351"/>
      <c r="C475" s="76" t="str">
        <f t="shared" si="193"/>
        <v>x1</v>
      </c>
      <c r="D475" s="98" t="str">
        <f>A!C360</f>
        <v>Canna Happy Cleo</v>
      </c>
      <c r="E475" s="78"/>
      <c r="F475" s="78"/>
      <c r="G475" s="99" t="str">
        <f>A!N360</f>
        <v>Indian shot plant</v>
      </c>
      <c r="H475" s="89" t="str">
        <f>A!Q360</f>
        <v>vibrant orange petals over green foliage</v>
      </c>
      <c r="I475" s="69">
        <f>A!M360</f>
        <v>1</v>
      </c>
      <c r="J475" s="202">
        <f>A!P360</f>
        <v>0</v>
      </c>
      <c r="K475" s="83">
        <f>IF(A!G360="y",1,0)</f>
        <v>0</v>
      </c>
      <c r="L475" s="83">
        <f>IF(A!H360="y",1,0)</f>
        <v>0</v>
      </c>
      <c r="M475" s="84" t="str">
        <f>IF(A!F360="y","NEW","")</f>
        <v/>
      </c>
      <c r="N475" s="85">
        <f>A!I360</f>
        <v>0</v>
      </c>
      <c r="O475" s="290">
        <f>A!O360</f>
        <v>1</v>
      </c>
      <c r="P475" s="541" t="str">
        <f>A!K360</f>
        <v>M</v>
      </c>
      <c r="Q475" s="541">
        <f>A!E360</f>
        <v>0</v>
      </c>
      <c r="R475" s="541" t="s">
        <v>111</v>
      </c>
      <c r="S475" s="541">
        <f t="shared" si="194"/>
        <v>0</v>
      </c>
      <c r="T475" s="541" t="str">
        <f>A!R360</f>
        <v>x1</v>
      </c>
      <c r="U475" s="541">
        <f>A!S360</f>
        <v>45</v>
      </c>
      <c r="V475" s="541">
        <f>A!T360</f>
        <v>8.3333333333333329E-2</v>
      </c>
      <c r="W475" s="541">
        <f t="shared" si="195"/>
        <v>0</v>
      </c>
      <c r="X475" s="541"/>
    </row>
    <row r="476" spans="1:24" ht="11.25" hidden="1" customHeight="1" x14ac:dyDescent="0.25">
      <c r="A476" s="121" t="str">
        <f>IF(S476=0,"",COUNTIF(A$23:A475,"&gt;0")+1)</f>
        <v/>
      </c>
      <c r="B476" s="351"/>
      <c r="C476" s="76" t="str">
        <f t="shared" si="193"/>
        <v>x1</v>
      </c>
      <c r="D476" s="98" t="str">
        <f>A!C361</f>
        <v>Canna Happy Emily</v>
      </c>
      <c r="E476" s="78"/>
      <c r="F476" s="78"/>
      <c r="G476" s="99" t="str">
        <f>A!N361</f>
        <v>Indian shot plant</v>
      </c>
      <c r="H476" s="89" t="str">
        <f>A!Q361</f>
        <v> shines like the sun with its beautiful yellow colour</v>
      </c>
      <c r="I476" s="69">
        <f>A!M361</f>
        <v>1</v>
      </c>
      <c r="J476" s="202">
        <f>A!P361</f>
        <v>0</v>
      </c>
      <c r="K476" s="83">
        <f>IF(A!G361="y",1,0)</f>
        <v>0</v>
      </c>
      <c r="L476" s="83">
        <f>IF(A!H361="y",1,0)</f>
        <v>0</v>
      </c>
      <c r="M476" s="84" t="str">
        <f>IF(A!F361="y","NEW","")</f>
        <v/>
      </c>
      <c r="N476" s="85">
        <f>A!I361</f>
        <v>0</v>
      </c>
      <c r="O476" s="290">
        <f>A!O361</f>
        <v>1</v>
      </c>
      <c r="P476" s="541" t="str">
        <f>A!K361</f>
        <v>M</v>
      </c>
      <c r="Q476" s="541">
        <f>A!E361</f>
        <v>0</v>
      </c>
      <c r="R476" s="541" t="s">
        <v>111</v>
      </c>
      <c r="S476" s="541">
        <f t="shared" si="194"/>
        <v>0</v>
      </c>
      <c r="T476" s="541" t="str">
        <f>A!R361</f>
        <v>x1</v>
      </c>
      <c r="U476" s="541">
        <f>A!S361</f>
        <v>45</v>
      </c>
      <c r="V476" s="541">
        <f>A!T361</f>
        <v>8.3333333333333329E-2</v>
      </c>
      <c r="W476" s="541">
        <f t="shared" si="195"/>
        <v>0</v>
      </c>
      <c r="X476" s="541"/>
    </row>
    <row r="477" spans="1:24" ht="11.25" hidden="1" customHeight="1" x14ac:dyDescent="0.25">
      <c r="A477" s="121" t="str">
        <f>IF(S477=0,"",COUNTIF(A$23:A476,"&gt;0")+1)</f>
        <v/>
      </c>
      <c r="B477" s="351"/>
      <c r="C477" s="76" t="str">
        <f t="shared" si="193"/>
        <v>x1</v>
      </c>
      <c r="D477" s="98" t="str">
        <f>A!C362</f>
        <v>Canna Happy Isabel</v>
      </c>
      <c r="E477" s="78"/>
      <c r="F477" s="78"/>
      <c r="G477" s="99" t="str">
        <f>A!N362</f>
        <v>Indian shot plant</v>
      </c>
      <c r="H477" s="89" t="str">
        <f>A!Q362</f>
        <v>eye catching pink flower and green foliage</v>
      </c>
      <c r="I477" s="69">
        <f>A!M362</f>
        <v>1</v>
      </c>
      <c r="J477" s="202">
        <f>A!P362</f>
        <v>0</v>
      </c>
      <c r="K477" s="83">
        <f>IF(A!G362="y",1,0)</f>
        <v>0</v>
      </c>
      <c r="L477" s="83">
        <f>IF(A!H362="y",1,0)</f>
        <v>0</v>
      </c>
      <c r="M477" s="84" t="str">
        <f>IF(A!F362="y","NEW","")</f>
        <v/>
      </c>
      <c r="N477" s="85">
        <f>A!I362</f>
        <v>0</v>
      </c>
      <c r="O477" s="290">
        <f>A!O362</f>
        <v>1</v>
      </c>
      <c r="P477" s="541" t="str">
        <f>A!K362</f>
        <v>M</v>
      </c>
      <c r="Q477" s="541">
        <f>A!E362</f>
        <v>0</v>
      </c>
      <c r="R477" s="541" t="s">
        <v>111</v>
      </c>
      <c r="S477" s="541">
        <f t="shared" si="194"/>
        <v>0</v>
      </c>
      <c r="T477" s="541" t="str">
        <f>A!R362</f>
        <v>x1</v>
      </c>
      <c r="U477" s="541">
        <f>A!S362</f>
        <v>45</v>
      </c>
      <c r="V477" s="541">
        <f>A!T362</f>
        <v>8.3333333333333329E-2</v>
      </c>
      <c r="W477" s="541">
        <f t="shared" si="195"/>
        <v>0</v>
      </c>
      <c r="X477" s="541"/>
    </row>
    <row r="478" spans="1:24" ht="11.25" hidden="1" customHeight="1" x14ac:dyDescent="0.25">
      <c r="A478" s="121" t="str">
        <f>IF(S478=0,"",COUNTIF(A$23:A477,"&gt;0")+1)</f>
        <v/>
      </c>
      <c r="B478" s="351"/>
      <c r="C478" s="76" t="str">
        <f t="shared" si="193"/>
        <v>x1</v>
      </c>
      <c r="D478" s="98" t="str">
        <f>A!C363</f>
        <v>Canna Happy Julia</v>
      </c>
      <c r="E478" s="78"/>
      <c r="F478" s="78"/>
      <c r="G478" s="99" t="str">
        <f>A!N363</f>
        <v>Indian shot plant</v>
      </c>
      <c r="H478" s="89" t="str">
        <f>A!Q363</f>
        <v>deep green/purple foliage over red petals</v>
      </c>
      <c r="I478" s="69">
        <f>A!M363</f>
        <v>1</v>
      </c>
      <c r="J478" s="202">
        <f>A!P363</f>
        <v>0</v>
      </c>
      <c r="K478" s="83">
        <f>IF(A!G363="y",1,0)</f>
        <v>0</v>
      </c>
      <c r="L478" s="83">
        <f>IF(A!H363="y",1,0)</f>
        <v>0</v>
      </c>
      <c r="M478" s="84" t="str">
        <f>IF(A!F363="y","NEW","")</f>
        <v/>
      </c>
      <c r="N478" s="85">
        <f>A!I363</f>
        <v>0</v>
      </c>
      <c r="O478" s="290">
        <f>A!O363</f>
        <v>1</v>
      </c>
      <c r="P478" s="541" t="str">
        <f>A!K363</f>
        <v>M</v>
      </c>
      <c r="Q478" s="541">
        <f>A!E363</f>
        <v>0</v>
      </c>
      <c r="R478" s="541" t="s">
        <v>111</v>
      </c>
      <c r="S478" s="541">
        <f t="shared" si="194"/>
        <v>0</v>
      </c>
      <c r="T478" s="541" t="str">
        <f>A!R363</f>
        <v>x1</v>
      </c>
      <c r="U478" s="541">
        <f>A!S363</f>
        <v>45</v>
      </c>
      <c r="V478" s="541">
        <f>A!T363</f>
        <v>8.3333333333333329E-2</v>
      </c>
      <c r="W478" s="541">
        <f t="shared" si="195"/>
        <v>0</v>
      </c>
      <c r="X478" s="541"/>
    </row>
    <row r="479" spans="1:24" ht="11.25" hidden="1" customHeight="1" x14ac:dyDescent="0.25">
      <c r="A479" s="121" t="str">
        <f>IF(S479=0,"",COUNTIF(A$23:A478,"&gt;0")+1)</f>
        <v/>
      </c>
      <c r="B479" s="351"/>
      <c r="C479" s="76" t="str">
        <f t="shared" si="193"/>
        <v>x1</v>
      </c>
      <c r="D479" s="98" t="str">
        <f>A!C364</f>
        <v>Canna Happy Wilma</v>
      </c>
      <c r="E479" s="78"/>
      <c r="F479" s="78"/>
      <c r="G479" s="99" t="str">
        <f>A!N364</f>
        <v>Indian shot plant</v>
      </c>
      <c r="H479" s="89" t="str">
        <f>A!Q364</f>
        <v>large, blousy, lilylike blooms in a salmon shade</v>
      </c>
      <c r="I479" s="69">
        <f>A!M364</f>
        <v>1</v>
      </c>
      <c r="J479" s="202">
        <f>A!P364</f>
        <v>0</v>
      </c>
      <c r="K479" s="83">
        <f>IF(A!G364="y",1,0)</f>
        <v>0</v>
      </c>
      <c r="L479" s="83">
        <f>IF(A!H364="y",1,0)</f>
        <v>0</v>
      </c>
      <c r="M479" s="84" t="str">
        <f>IF(A!F364="y","NEW","")</f>
        <v/>
      </c>
      <c r="N479" s="85">
        <f>A!I364</f>
        <v>0</v>
      </c>
      <c r="O479" s="290">
        <f>A!O364</f>
        <v>1</v>
      </c>
      <c r="P479" s="541" t="str">
        <f>A!K364</f>
        <v>M</v>
      </c>
      <c r="Q479" s="541">
        <f>A!E364</f>
        <v>0</v>
      </c>
      <c r="R479" s="541" t="s">
        <v>111</v>
      </c>
      <c r="S479" s="541">
        <f t="shared" si="194"/>
        <v>0</v>
      </c>
      <c r="T479" s="541" t="str">
        <f>A!R364</f>
        <v>x1</v>
      </c>
      <c r="U479" s="541">
        <f>A!S364</f>
        <v>45</v>
      </c>
      <c r="V479" s="541">
        <f>A!T364</f>
        <v>8.3333333333333329E-2</v>
      </c>
      <c r="W479" s="541">
        <f t="shared" si="195"/>
        <v>0</v>
      </c>
      <c r="X479" s="541"/>
    </row>
    <row r="480" spans="1:24" ht="11.25" hidden="1" customHeight="1" x14ac:dyDescent="0.25">
      <c r="A480" s="121" t="str">
        <f>IF(S480=0,"",COUNTIF(A$23:A479,"&gt;0")+1)</f>
        <v/>
      </c>
      <c r="B480" s="351"/>
      <c r="C480" s="76" t="str">
        <f t="shared" ref="C480" si="196">T480</f>
        <v>x1</v>
      </c>
      <c r="D480" s="98" t="str">
        <f>A!C365</f>
        <v>Carex Pendula</v>
      </c>
      <c r="E480" s="78"/>
      <c r="F480" s="78"/>
      <c r="G480" s="99" t="str">
        <f>A!N365</f>
        <v>pendulous sedge</v>
      </c>
      <c r="H480" s="89" t="str">
        <f>A!Q365</f>
        <v>native sedge, drooping catkin-like flowers</v>
      </c>
      <c r="I480" s="69">
        <f>A!M365</f>
        <v>2</v>
      </c>
      <c r="J480" s="202">
        <f>A!P365</f>
        <v>0</v>
      </c>
      <c r="K480" s="83">
        <f>IF(A!G365="y",1,0)</f>
        <v>0</v>
      </c>
      <c r="L480" s="83">
        <f>IF(A!H365="y",1,0)</f>
        <v>0</v>
      </c>
      <c r="M480" s="84" t="str">
        <f>IF(A!F365="y","NEW","")</f>
        <v/>
      </c>
      <c r="N480" s="85">
        <f>A!I365</f>
        <v>0</v>
      </c>
      <c r="O480" s="290" t="str">
        <f>A!O365</f>
        <v>1,2</v>
      </c>
      <c r="P480" s="541">
        <f>A!K365</f>
        <v>0</v>
      </c>
      <c r="Q480" s="541">
        <f>A!E365</f>
        <v>0</v>
      </c>
      <c r="R480" s="541" t="s">
        <v>111</v>
      </c>
      <c r="S480" s="541">
        <f t="shared" ref="S480" si="197">B480</f>
        <v>0</v>
      </c>
      <c r="T480" s="541" t="str">
        <f>A!R365</f>
        <v>x1</v>
      </c>
      <c r="U480" s="541" t="str">
        <f>A!S365</f>
        <v/>
      </c>
      <c r="V480" s="541">
        <f>A!T365</f>
        <v>8.3333333333333329E-2</v>
      </c>
      <c r="W480" s="541">
        <f t="shared" si="190"/>
        <v>0</v>
      </c>
      <c r="X480" s="541"/>
    </row>
    <row r="481" spans="1:24" ht="11.25" customHeight="1" x14ac:dyDescent="0.25">
      <c r="A481" s="121" t="str">
        <f>IF(S481=0,"",COUNTIF(A$23:A480,"&gt;0")+1)</f>
        <v/>
      </c>
      <c r="B481" s="351"/>
      <c r="C481" s="76" t="str">
        <f t="shared" si="191"/>
        <v>x1</v>
      </c>
      <c r="D481" s="98" t="str">
        <f>A!C366</f>
        <v>Cotula coronopifolia</v>
      </c>
      <c r="E481" s="78"/>
      <c r="F481" s="78"/>
      <c r="G481" s="99" t="str">
        <f>A!N366</f>
        <v>golden buttons</v>
      </c>
      <c r="H481" s="89" t="str">
        <f>A!Q366</f>
        <v xml:space="preserve">an introduced aromatic, with golden yellow flowers </v>
      </c>
      <c r="I481" s="69">
        <f>A!M366</f>
        <v>1</v>
      </c>
      <c r="J481" s="202">
        <f>A!P366</f>
        <v>0</v>
      </c>
      <c r="K481" s="83">
        <f>IF(A!G366="y",1,0)</f>
        <v>1</v>
      </c>
      <c r="L481" s="83">
        <f>IF(A!H366="y",1,0)</f>
        <v>1</v>
      </c>
      <c r="M481" s="84" t="str">
        <f>IF(A!F366="y","NEW","")</f>
        <v/>
      </c>
      <c r="N481" s="85">
        <f>A!I366</f>
        <v>0</v>
      </c>
      <c r="O481" s="290" t="str">
        <f>A!O366</f>
        <v>1,2</v>
      </c>
      <c r="P481" s="541" t="str">
        <f>A!K366</f>
        <v>S</v>
      </c>
      <c r="Q481" s="541" t="str">
        <f>A!E366</f>
        <v>y</v>
      </c>
      <c r="R481" s="541" t="s">
        <v>111</v>
      </c>
      <c r="S481" s="541">
        <f t="shared" si="192"/>
        <v>0</v>
      </c>
      <c r="T481" s="541" t="str">
        <f>A!R366</f>
        <v>x1</v>
      </c>
      <c r="U481" s="541">
        <f>A!S366</f>
        <v>30</v>
      </c>
      <c r="V481" s="541">
        <f>A!T366</f>
        <v>8.3333333333333329E-2</v>
      </c>
      <c r="W481" s="541">
        <f t="shared" si="190"/>
        <v>0</v>
      </c>
      <c r="X481" s="541"/>
    </row>
    <row r="482" spans="1:24" ht="11.25" hidden="1" customHeight="1" x14ac:dyDescent="0.25">
      <c r="A482" s="121" t="str">
        <f>IF(S482=0,"",COUNTIF(A$23:A481,"&gt;0")+1)</f>
        <v/>
      </c>
      <c r="B482" s="351"/>
      <c r="C482" s="76" t="str">
        <f t="shared" si="191"/>
        <v>x1</v>
      </c>
      <c r="D482" s="98" t="str">
        <f>A!C367</f>
        <v>Cyperus alternifolius</v>
      </c>
      <c r="E482" s="78"/>
      <c r="F482" s="78"/>
      <c r="G482" s="99" t="str">
        <f>A!N367</f>
        <v>umbrella sedge</v>
      </c>
      <c r="H482" s="89" t="str">
        <f>A!Q367</f>
        <v>wonderful, architectural umbrella-like bracts</v>
      </c>
      <c r="I482" s="69">
        <f>A!M367</f>
        <v>1</v>
      </c>
      <c r="J482" s="202">
        <f>A!P367</f>
        <v>0</v>
      </c>
      <c r="K482" s="83">
        <f>IF(A!G367="y",1,0)</f>
        <v>0</v>
      </c>
      <c r="L482" s="83">
        <f>IF(A!H367="y",1,0)</f>
        <v>0</v>
      </c>
      <c r="M482" s="84" t="str">
        <f>IF(A!F367="y","NEW","")</f>
        <v/>
      </c>
      <c r="N482" s="85">
        <f>A!I367</f>
        <v>0</v>
      </c>
      <c r="O482" s="290" t="str">
        <f>A!O367</f>
        <v>2,3</v>
      </c>
      <c r="P482" s="541">
        <f>A!K367</f>
        <v>0</v>
      </c>
      <c r="Q482" s="541">
        <f>A!E367</f>
        <v>0</v>
      </c>
      <c r="R482" s="541" t="s">
        <v>111</v>
      </c>
      <c r="S482" s="541">
        <f t="shared" si="192"/>
        <v>0</v>
      </c>
      <c r="T482" s="541" t="str">
        <f>A!R367</f>
        <v>x1</v>
      </c>
      <c r="U482" s="541" t="str">
        <f>A!S367</f>
        <v/>
      </c>
      <c r="V482" s="541">
        <f>A!T367</f>
        <v>8.3333333333333329E-2</v>
      </c>
      <c r="W482" s="541">
        <f t="shared" si="190"/>
        <v>0</v>
      </c>
      <c r="X482" s="541"/>
    </row>
    <row r="483" spans="1:24" ht="11.25" customHeight="1" x14ac:dyDescent="0.25">
      <c r="A483" s="121" t="str">
        <f>IF(S483=0,"",COUNTIF(A$23:A482,"&gt;0")+1)</f>
        <v/>
      </c>
      <c r="B483" s="351"/>
      <c r="C483" s="76" t="str">
        <f t="shared" si="191"/>
        <v>x1</v>
      </c>
      <c r="D483" s="1141" t="str">
        <f>A!C368</f>
        <v>Cyperus papyrus</v>
      </c>
      <c r="E483" s="1142" t="s">
        <v>1466</v>
      </c>
      <c r="F483" s="78"/>
      <c r="G483" s="99" t="s">
        <v>1030</v>
      </c>
      <c r="H483" s="89" t="str">
        <f>A!Q368</f>
        <v>unusual mopheads atop slender green foliage</v>
      </c>
      <c r="I483" s="69">
        <f>A!M368</f>
        <v>1</v>
      </c>
      <c r="J483" s="202">
        <f>A!P368</f>
        <v>0</v>
      </c>
      <c r="K483" s="83">
        <f>IF(A!G368="y",1,0)</f>
        <v>1</v>
      </c>
      <c r="L483" s="83">
        <f>IF(A!H368="y",1,0)</f>
        <v>1</v>
      </c>
      <c r="M483" s="84" t="str">
        <f>IF(A!F368="y","NEW","")</f>
        <v/>
      </c>
      <c r="N483" s="85" t="str">
        <f>A!I368</f>
        <v>y</v>
      </c>
      <c r="O483" s="290" t="str">
        <f>A!O368</f>
        <v>2,3</v>
      </c>
      <c r="P483" s="541" t="str">
        <f>A!K368</f>
        <v>L</v>
      </c>
      <c r="Q483" s="541" t="str">
        <f>A!E368</f>
        <v>y</v>
      </c>
      <c r="R483" s="541" t="s">
        <v>111</v>
      </c>
      <c r="S483" s="541">
        <f t="shared" si="192"/>
        <v>0</v>
      </c>
      <c r="T483" s="541" t="str">
        <f>A!R368</f>
        <v>x1</v>
      </c>
      <c r="U483" s="541">
        <f>A!S368</f>
        <v>60</v>
      </c>
      <c r="V483" s="541">
        <f>A!T368</f>
        <v>8.3333333333333329E-2</v>
      </c>
      <c r="W483" s="541">
        <f t="shared" si="190"/>
        <v>0</v>
      </c>
      <c r="X483" s="541"/>
    </row>
    <row r="484" spans="1:24" ht="11.25" customHeight="1" x14ac:dyDescent="0.25">
      <c r="A484" s="121" t="str">
        <f>IF(S484=0,"",COUNTIF(A$23:A483,"&gt;0")+1)</f>
        <v/>
      </c>
      <c r="B484" s="351"/>
      <c r="C484" s="76" t="str">
        <f t="shared" si="191"/>
        <v>x1</v>
      </c>
      <c r="D484" s="98" t="str">
        <f>A!C369</f>
        <v>Equisetum japonicum</v>
      </c>
      <c r="E484" s="78"/>
      <c r="F484" s="78"/>
      <c r="G484" s="99" t="str">
        <f>A!N369</f>
        <v>barred horsetail</v>
      </c>
      <c r="H484" s="89" t="str">
        <f>A!Q369</f>
        <v>striking must-have for all ponds, evergreen</v>
      </c>
      <c r="I484" s="69">
        <f>A!M369</f>
        <v>1</v>
      </c>
      <c r="J484" s="202">
        <f>A!P369</f>
        <v>0</v>
      </c>
      <c r="K484" s="83">
        <f>IF(A!G369="y",1,0)</f>
        <v>1</v>
      </c>
      <c r="L484" s="83">
        <f>IF(A!H369="y",1,0)</f>
        <v>1</v>
      </c>
      <c r="M484" s="84" t="str">
        <f>IF(A!F369="y","NEW","")</f>
        <v/>
      </c>
      <c r="N484" s="85">
        <f>A!I369</f>
        <v>0</v>
      </c>
      <c r="O484" s="290" t="str">
        <f>A!O369</f>
        <v>1,2</v>
      </c>
      <c r="P484" s="541" t="str">
        <f>A!K369</f>
        <v>L</v>
      </c>
      <c r="Q484" s="541" t="str">
        <f>A!E369</f>
        <v>Y</v>
      </c>
      <c r="R484" s="541" t="s">
        <v>111</v>
      </c>
      <c r="S484" s="541">
        <f t="shared" si="192"/>
        <v>0</v>
      </c>
      <c r="T484" s="541" t="str">
        <f>A!R369</f>
        <v>x1</v>
      </c>
      <c r="U484" s="541">
        <f>A!S369</f>
        <v>60</v>
      </c>
      <c r="V484" s="541">
        <f>A!T369</f>
        <v>8.3333333333333329E-2</v>
      </c>
      <c r="W484" s="541">
        <f t="shared" si="190"/>
        <v>0</v>
      </c>
      <c r="X484" s="541"/>
    </row>
    <row r="485" spans="1:24" ht="11.25" hidden="1" customHeight="1" x14ac:dyDescent="0.25">
      <c r="A485" s="121" t="str">
        <f>IF(S485=0,"",COUNTIF(A$23:A484,"&gt;0")+1)</f>
        <v/>
      </c>
      <c r="B485" s="351"/>
      <c r="C485" s="76" t="str">
        <f t="shared" si="191"/>
        <v>x1</v>
      </c>
      <c r="D485" s="98" t="str">
        <f>A!C370</f>
        <v>Glyceria Variegata</v>
      </c>
      <c r="E485" s="78"/>
      <c r="F485" s="78"/>
      <c r="G485" s="99" t="str">
        <f>A!N370</f>
        <v>green &amp; white sweet grass</v>
      </c>
      <c r="H485" s="89" t="str">
        <f>A!Q370</f>
        <v>attractive creamy variegated foliage</v>
      </c>
      <c r="I485" s="69">
        <f>A!M370</f>
        <v>2</v>
      </c>
      <c r="J485" s="202">
        <f>A!P370</f>
        <v>0</v>
      </c>
      <c r="K485" s="83">
        <f>IF(A!G370="y",1,0)</f>
        <v>0</v>
      </c>
      <c r="L485" s="83">
        <f>IF(A!H370="y",1,0)</f>
        <v>0</v>
      </c>
      <c r="M485" s="84" t="str">
        <f>IF(A!F370="y","NEW","")</f>
        <v/>
      </c>
      <c r="N485" s="85">
        <f>A!I370</f>
        <v>0</v>
      </c>
      <c r="O485" s="290">
        <f>A!O370</f>
        <v>2</v>
      </c>
      <c r="P485" s="541">
        <f>A!K370</f>
        <v>0</v>
      </c>
      <c r="Q485" s="541">
        <f>A!E370</f>
        <v>0</v>
      </c>
      <c r="R485" s="541" t="s">
        <v>111</v>
      </c>
      <c r="S485" s="541">
        <f t="shared" si="192"/>
        <v>0</v>
      </c>
      <c r="T485" s="541" t="str">
        <f>A!R370</f>
        <v>x1</v>
      </c>
      <c r="U485" s="541" t="str">
        <f>A!S370</f>
        <v/>
      </c>
      <c r="V485" s="541">
        <f>A!T370</f>
        <v>8.3333333333333329E-2</v>
      </c>
      <c r="W485" s="541">
        <f t="shared" si="190"/>
        <v>0</v>
      </c>
      <c r="X485" s="541"/>
    </row>
    <row r="486" spans="1:24" ht="11.25" customHeight="1" x14ac:dyDescent="0.25">
      <c r="A486" s="121" t="str">
        <f>IF(S486=0,"",COUNTIF(A$23:A485,"&gt;0")+1)</f>
        <v/>
      </c>
      <c r="B486" s="351"/>
      <c r="C486" s="76" t="str">
        <f t="shared" si="191"/>
        <v>x1</v>
      </c>
      <c r="D486" s="98" t="str">
        <f>A!C371</f>
        <v>Hosta Assorted</v>
      </c>
      <c r="E486" s="78"/>
      <c r="F486" s="78"/>
      <c r="G486" s="99" t="str">
        <f>A!N371</f>
        <v>plantain lily</v>
      </c>
      <c r="H486" s="89" t="str">
        <f>A!Q371</f>
        <v>selection of best stock, picked by us</v>
      </c>
      <c r="I486" s="69">
        <f>A!M371</f>
        <v>2</v>
      </c>
      <c r="J486" s="202">
        <f>A!P371</f>
        <v>0</v>
      </c>
      <c r="K486" s="83">
        <f>IF(A!G371="y",1,0)</f>
        <v>1</v>
      </c>
      <c r="L486" s="83">
        <f>IF(A!H371="y",1,0)</f>
        <v>1</v>
      </c>
      <c r="M486" s="84" t="str">
        <f>IF(A!F371="y","NEW","")</f>
        <v/>
      </c>
      <c r="N486" s="85">
        <f>A!I371</f>
        <v>0</v>
      </c>
      <c r="O486" s="290">
        <f>A!O371</f>
        <v>1</v>
      </c>
      <c r="P486" s="541" t="str">
        <f>A!K371</f>
        <v>M</v>
      </c>
      <c r="Q486" s="541" t="str">
        <f>A!E371</f>
        <v>Y</v>
      </c>
      <c r="R486" s="541" t="s">
        <v>111</v>
      </c>
      <c r="S486" s="541">
        <f t="shared" si="192"/>
        <v>0</v>
      </c>
      <c r="T486" s="541" t="str">
        <f>A!R371</f>
        <v>x1</v>
      </c>
      <c r="U486" s="541">
        <f>A!S371</f>
        <v>45</v>
      </c>
      <c r="V486" s="541">
        <f>A!T371</f>
        <v>8.3333333333333329E-2</v>
      </c>
      <c r="W486" s="541">
        <f t="shared" si="190"/>
        <v>0</v>
      </c>
      <c r="X486" s="541"/>
    </row>
    <row r="487" spans="1:24" ht="11.25" customHeight="1" x14ac:dyDescent="0.25">
      <c r="A487" s="121" t="str">
        <f>IF(S487=0,"",COUNTIF(A$23:A486,"&gt;0")+1)</f>
        <v/>
      </c>
      <c r="B487" s="351"/>
      <c r="C487" s="76" t="str">
        <f t="shared" ref="C487" si="198">T487</f>
        <v>x1</v>
      </c>
      <c r="D487" s="98" t="str">
        <f>A!C372</f>
        <v>Houttuynia cordata</v>
      </c>
      <c r="E487" s="78"/>
      <c r="F487" s="78"/>
      <c r="G487" s="99" t="str">
        <f>A!N372</f>
        <v>orange peel</v>
      </c>
      <c r="H487" s="89" t="str">
        <f>A!Q372</f>
        <v>wonderful aromatic foliage, used in chinese medecine</v>
      </c>
      <c r="I487" s="69">
        <f>A!M372</f>
        <v>1</v>
      </c>
      <c r="J487" s="202">
        <f>A!P372</f>
        <v>0</v>
      </c>
      <c r="K487" s="83">
        <f>IF(A!G372="y",1,0)</f>
        <v>1</v>
      </c>
      <c r="L487" s="83">
        <f>IF(A!H372="y",1,0)</f>
        <v>1</v>
      </c>
      <c r="M487" s="84" t="str">
        <f>IF(A!F372="y","NEW","")</f>
        <v/>
      </c>
      <c r="N487" s="85">
        <f>A!I372</f>
        <v>0</v>
      </c>
      <c r="O487" s="290" t="str">
        <f>A!O372</f>
        <v>1,2</v>
      </c>
      <c r="P487" s="541" t="str">
        <f>A!K372</f>
        <v>S</v>
      </c>
      <c r="Q487" s="541" t="str">
        <f>A!E372</f>
        <v>y</v>
      </c>
      <c r="R487" s="541" t="s">
        <v>111</v>
      </c>
      <c r="S487" s="541">
        <f t="shared" ref="S487" si="199">B487</f>
        <v>0</v>
      </c>
      <c r="T487" s="541" t="str">
        <f>A!R372</f>
        <v>x1</v>
      </c>
      <c r="U487" s="541">
        <f>A!S372</f>
        <v>25</v>
      </c>
      <c r="V487" s="541">
        <f>A!T372</f>
        <v>8.3333333333333329E-2</v>
      </c>
      <c r="W487" s="541">
        <f t="shared" ref="W487" si="200">V487*B487</f>
        <v>0</v>
      </c>
      <c r="X487" s="541"/>
    </row>
    <row r="488" spans="1:24" ht="11.25" customHeight="1" x14ac:dyDescent="0.25">
      <c r="A488" s="121" t="str">
        <f>IF(S488=0,"",COUNTIF(A$23:A487,"&gt;0")+1)</f>
        <v/>
      </c>
      <c r="B488" s="351"/>
      <c r="C488" s="76" t="str">
        <f t="shared" si="191"/>
        <v>x1</v>
      </c>
      <c r="D488" s="98" t="str">
        <f>A!C373</f>
        <v>Houttuynia cordata variegata</v>
      </c>
      <c r="E488" s="78"/>
      <c r="F488" s="78"/>
      <c r="G488" s="99" t="str">
        <f>A!N373</f>
        <v>orange peel</v>
      </c>
      <c r="H488" s="89" t="str">
        <f>A!Q373</f>
        <v>scented, multi coloured foliage, smelling of orange peel</v>
      </c>
      <c r="I488" s="69">
        <f>A!M373</f>
        <v>1</v>
      </c>
      <c r="J488" s="202">
        <f>A!P373</f>
        <v>0</v>
      </c>
      <c r="K488" s="83">
        <f>IF(A!G373="y",1,0)</f>
        <v>1</v>
      </c>
      <c r="L488" s="83">
        <f>IF(A!H373="y",1,0)</f>
        <v>1</v>
      </c>
      <c r="M488" s="84" t="str">
        <f>IF(A!F373="y","NEW","")</f>
        <v/>
      </c>
      <c r="N488" s="85">
        <f>A!I373</f>
        <v>0</v>
      </c>
      <c r="O488" s="290" t="str">
        <f>A!O373</f>
        <v>1,2</v>
      </c>
      <c r="P488" s="541" t="str">
        <f>A!K373</f>
        <v>M</v>
      </c>
      <c r="Q488" s="541" t="str">
        <f>A!E373</f>
        <v>y</v>
      </c>
      <c r="R488" s="541" t="s">
        <v>111</v>
      </c>
      <c r="S488" s="541">
        <f t="shared" si="192"/>
        <v>0</v>
      </c>
      <c r="T488" s="541" t="str">
        <f>A!R373</f>
        <v>x1</v>
      </c>
      <c r="U488" s="541">
        <f>A!S373</f>
        <v>45</v>
      </c>
      <c r="V488" s="541">
        <f>A!T373</f>
        <v>8.3333333333333329E-2</v>
      </c>
      <c r="W488" s="541">
        <f t="shared" si="190"/>
        <v>0</v>
      </c>
      <c r="X488" s="541"/>
    </row>
    <row r="489" spans="1:24" ht="11.25" hidden="1" customHeight="1" x14ac:dyDescent="0.25">
      <c r="A489" s="121" t="str">
        <f>IF(S489=0,"",COUNTIF(A$23:A488,"&gt;0")+1)</f>
        <v/>
      </c>
      <c r="B489" s="351"/>
      <c r="C489" s="76" t="str">
        <f t="shared" ref="C489:C517" si="201">T489</f>
        <v>x1</v>
      </c>
      <c r="D489" s="98" t="str">
        <f>A!C374</f>
        <v>Hypericum Elodes</v>
      </c>
      <c r="E489" s="78"/>
      <c r="F489" s="78"/>
      <c r="G489" s="99" t="str">
        <f>A!N374</f>
        <v>marsh st johns wort</v>
      </c>
      <c r="H489" s="89" t="str">
        <f>A!Q374</f>
        <v>mat-forming native with yellow flowers</v>
      </c>
      <c r="I489" s="69">
        <f>A!M374</f>
        <v>2</v>
      </c>
      <c r="J489" s="202" t="str">
        <f>A!P374</f>
        <v>Yes</v>
      </c>
      <c r="K489" s="83">
        <f>IF(A!G374="y",1,0)</f>
        <v>0</v>
      </c>
      <c r="L489" s="83">
        <f>IF(A!H374="y",1,0)</f>
        <v>0</v>
      </c>
      <c r="M489" s="84" t="str">
        <f>IF(A!F374="y","NEW","")</f>
        <v/>
      </c>
      <c r="N489" s="85">
        <f>A!I374</f>
        <v>0</v>
      </c>
      <c r="O489" s="290" t="str">
        <f>A!O374</f>
        <v>1,2</v>
      </c>
      <c r="P489" s="541">
        <f>A!K374</f>
        <v>0</v>
      </c>
      <c r="Q489" s="541">
        <f>A!E374</f>
        <v>0</v>
      </c>
      <c r="R489" s="541" t="s">
        <v>111</v>
      </c>
      <c r="S489" s="541">
        <f t="shared" ref="S489:S517" si="202">B489</f>
        <v>0</v>
      </c>
      <c r="T489" s="541" t="str">
        <f>A!R374</f>
        <v>x1</v>
      </c>
      <c r="U489" s="541" t="str">
        <f>A!S374</f>
        <v/>
      </c>
      <c r="V489" s="541">
        <f>A!T374</f>
        <v>8.3333333333333329E-2</v>
      </c>
      <c r="W489" s="541">
        <f t="shared" si="190"/>
        <v>0</v>
      </c>
      <c r="X489" s="541"/>
    </row>
    <row r="490" spans="1:24" ht="11.25" customHeight="1" x14ac:dyDescent="0.25">
      <c r="A490" s="121" t="str">
        <f>IF(S490=0,"",COUNTIF(A$23:A489,"&gt;0")+1)</f>
        <v/>
      </c>
      <c r="B490" s="351"/>
      <c r="C490" s="76" t="str">
        <f t="shared" ref="C490" si="203">T490</f>
        <v>x1</v>
      </c>
      <c r="D490" s="98" t="str">
        <f>A!C375</f>
        <v>Iris ensata</v>
      </c>
      <c r="E490" s="78"/>
      <c r="F490" s="78"/>
      <c r="G490" s="99" t="str">
        <f>A!N375</f>
        <v xml:space="preserve"> Japanese flag</v>
      </c>
      <c r="H490" s="89" t="str">
        <f>A!Q375</f>
        <v>one of the largest flowers of all aquatic irises, stunning</v>
      </c>
      <c r="I490" s="69">
        <f>A!M375</f>
        <v>1</v>
      </c>
      <c r="J490" s="202">
        <f>A!P375</f>
        <v>0</v>
      </c>
      <c r="K490" s="83">
        <f>IF(A!G375="y",1,0)</f>
        <v>1</v>
      </c>
      <c r="L490" s="83">
        <f>IF(A!H375="y",1,0)</f>
        <v>0</v>
      </c>
      <c r="M490" s="84" t="str">
        <f>IF(A!F375="y","NEW","")</f>
        <v/>
      </c>
      <c r="N490" s="85">
        <f>A!I375</f>
        <v>0</v>
      </c>
      <c r="O490" s="290" t="str">
        <f>A!O375</f>
        <v>1,2</v>
      </c>
      <c r="P490" s="541" t="str">
        <f>A!K375</f>
        <v>L</v>
      </c>
      <c r="Q490" s="541" t="str">
        <f>A!E375</f>
        <v>y</v>
      </c>
      <c r="R490" s="541" t="s">
        <v>111</v>
      </c>
      <c r="S490" s="541">
        <f t="shared" ref="S490" si="204">B490</f>
        <v>0</v>
      </c>
      <c r="T490" s="541" t="str">
        <f>A!R375</f>
        <v>x1</v>
      </c>
      <c r="U490" s="541">
        <f>A!S375</f>
        <v>60</v>
      </c>
      <c r="V490" s="541">
        <f>A!T375</f>
        <v>8.3333333333333329E-2</v>
      </c>
      <c r="W490" s="541">
        <f t="shared" si="190"/>
        <v>0</v>
      </c>
      <c r="X490" s="541"/>
    </row>
    <row r="491" spans="1:24" ht="11.25" hidden="1" customHeight="1" x14ac:dyDescent="0.25">
      <c r="A491" s="121" t="str">
        <f>IF(S491=0,"",COUNTIF(A$23:A490,"&gt;0")+1)</f>
        <v/>
      </c>
      <c r="B491" s="351"/>
      <c r="C491" s="76" t="str">
        <f t="shared" si="201"/>
        <v>x1</v>
      </c>
      <c r="D491" s="98" t="str">
        <f>A!C376</f>
        <v>Iris louisiana</v>
      </c>
      <c r="E491" s="78"/>
      <c r="F491" s="78"/>
      <c r="G491" s="99" t="str">
        <f>A!N376</f>
        <v>louisiana water iris</v>
      </c>
      <c r="H491" s="89" t="str">
        <f>A!Q376</f>
        <v>wonderful, evergreen water iris originating from USA</v>
      </c>
      <c r="I491" s="69">
        <f>A!M376</f>
        <v>1</v>
      </c>
      <c r="J491" s="202">
        <f>A!P376</f>
        <v>0</v>
      </c>
      <c r="K491" s="83">
        <f>IF(A!G376="y",1,0)</f>
        <v>0</v>
      </c>
      <c r="L491" s="83">
        <f>IF(A!H376="y",1,0)</f>
        <v>0</v>
      </c>
      <c r="M491" s="84" t="str">
        <f>IF(A!F376="y","NEW","")</f>
        <v/>
      </c>
      <c r="N491" s="85">
        <f>A!I376</f>
        <v>0</v>
      </c>
      <c r="O491" s="290" t="str">
        <f>A!O376</f>
        <v>1,2</v>
      </c>
      <c r="P491" s="541" t="str">
        <f>A!K376</f>
        <v>L</v>
      </c>
      <c r="Q491" s="541">
        <f>A!E376</f>
        <v>0</v>
      </c>
      <c r="R491" s="541" t="s">
        <v>111</v>
      </c>
      <c r="S491" s="541">
        <f t="shared" si="202"/>
        <v>0</v>
      </c>
      <c r="T491" s="541" t="str">
        <f>A!R376</f>
        <v>x1</v>
      </c>
      <c r="U491" s="541">
        <f>A!S376</f>
        <v>60</v>
      </c>
      <c r="V491" s="541">
        <f>A!T376</f>
        <v>8.3333333333333329E-2</v>
      </c>
      <c r="W491" s="541">
        <f t="shared" si="190"/>
        <v>0</v>
      </c>
      <c r="X491" s="541"/>
    </row>
    <row r="492" spans="1:24" ht="11.25" customHeight="1" x14ac:dyDescent="0.25">
      <c r="A492" s="121" t="str">
        <f>IF(S492=0,"",COUNTIF(A$23:A491,"&gt;0")+1)</f>
        <v/>
      </c>
      <c r="B492" s="351"/>
      <c r="C492" s="76" t="str">
        <f t="shared" si="201"/>
        <v>x1</v>
      </c>
      <c r="D492" s="98" t="str">
        <f>A!C377</f>
        <v>Iris pseudacorus</v>
      </c>
      <c r="E492" s="78"/>
      <c r="F492" s="78"/>
      <c r="G492" s="99" t="str">
        <f>A!N377</f>
        <v>yellow iris</v>
      </c>
      <c r="H492" s="89" t="str">
        <f>A!Q377</f>
        <v>the only native aquatic iris, hardy and tough</v>
      </c>
      <c r="I492" s="69">
        <f>A!M377</f>
        <v>1</v>
      </c>
      <c r="J492" s="202" t="str">
        <f>A!P377</f>
        <v>Yes</v>
      </c>
      <c r="K492" s="83">
        <f>IF(A!G377="y",1,0)</f>
        <v>1</v>
      </c>
      <c r="L492" s="83">
        <f>IF(A!H377="y",1,0)</f>
        <v>1</v>
      </c>
      <c r="M492" s="84" t="str">
        <f>IF(A!F377="y","NEW","")</f>
        <v/>
      </c>
      <c r="N492" s="85">
        <f>A!I377</f>
        <v>0</v>
      </c>
      <c r="O492" s="290" t="str">
        <f>A!O377</f>
        <v>2,3</v>
      </c>
      <c r="P492" s="541" t="str">
        <f>A!K377</f>
        <v>L</v>
      </c>
      <c r="Q492" s="541" t="str">
        <f>A!E377</f>
        <v>y</v>
      </c>
      <c r="R492" s="541" t="s">
        <v>111</v>
      </c>
      <c r="S492" s="541">
        <f t="shared" si="202"/>
        <v>0</v>
      </c>
      <c r="T492" s="541" t="str">
        <f>A!R377</f>
        <v>x1</v>
      </c>
      <c r="U492" s="541">
        <f>A!S377</f>
        <v>60</v>
      </c>
      <c r="V492" s="541">
        <f>A!T377</f>
        <v>8.3333333333333329E-2</v>
      </c>
      <c r="W492" s="541">
        <f t="shared" si="190"/>
        <v>0</v>
      </c>
      <c r="X492" s="541"/>
    </row>
    <row r="493" spans="1:24" ht="11.25" customHeight="1" x14ac:dyDescent="0.25">
      <c r="A493" s="121" t="str">
        <f>IF(S493=0,"",COUNTIF(A$23:A492,"&gt;0")+1)</f>
        <v/>
      </c>
      <c r="B493" s="351"/>
      <c r="C493" s="76" t="str">
        <f t="shared" si="201"/>
        <v>x1</v>
      </c>
      <c r="D493" s="98" t="str">
        <f>A!C378</f>
        <v>Iris pseudacorus 'variegatus'</v>
      </c>
      <c r="E493" s="78"/>
      <c r="F493" s="78"/>
      <c r="G493" s="99" t="str">
        <f>A!N378</f>
        <v>variegated flag</v>
      </c>
      <c r="H493" s="89" t="str">
        <f>A!Q378</f>
        <v>attractive yellow  and green variegated foliage</v>
      </c>
      <c r="I493" s="69">
        <f>A!M378</f>
        <v>1</v>
      </c>
      <c r="J493" s="202">
        <f>A!P378</f>
        <v>0</v>
      </c>
      <c r="K493" s="83">
        <f>IF(A!G378="y",1,0)</f>
        <v>1</v>
      </c>
      <c r="L493" s="83">
        <f>IF(A!H378="y",1,0)</f>
        <v>1</v>
      </c>
      <c r="M493" s="84" t="str">
        <f>IF(A!F378="y","NEW","")</f>
        <v/>
      </c>
      <c r="N493" s="85">
        <f>A!I378</f>
        <v>0</v>
      </c>
      <c r="O493" s="290" t="str">
        <f>A!O378</f>
        <v>2,3</v>
      </c>
      <c r="P493" s="541" t="str">
        <f>A!K378</f>
        <v>L</v>
      </c>
      <c r="Q493" s="541" t="str">
        <f>A!E378</f>
        <v>y</v>
      </c>
      <c r="R493" s="541" t="s">
        <v>111</v>
      </c>
      <c r="S493" s="541">
        <f t="shared" si="202"/>
        <v>0</v>
      </c>
      <c r="T493" s="541" t="str">
        <f>A!R378</f>
        <v>x1</v>
      </c>
      <c r="U493" s="541">
        <f>A!S378</f>
        <v>60</v>
      </c>
      <c r="V493" s="541">
        <f>A!T378</f>
        <v>8.3333333333333329E-2</v>
      </c>
      <c r="W493" s="541">
        <f t="shared" si="190"/>
        <v>0</v>
      </c>
      <c r="X493" s="541"/>
    </row>
    <row r="494" spans="1:24" ht="11.25" hidden="1" customHeight="1" x14ac:dyDescent="0.25">
      <c r="A494" s="121" t="str">
        <f>IF(S494=0,"",COUNTIF(A$23:A493,"&gt;0")+1)</f>
        <v/>
      </c>
      <c r="B494" s="350"/>
      <c r="C494" s="128" t="str">
        <f t="shared" ref="C494" si="205">T494</f>
        <v>x1</v>
      </c>
      <c r="D494" s="119" t="str">
        <f>A!C379</f>
        <v>Iris sibirica</v>
      </c>
      <c r="E494" s="113" t="s">
        <v>1393</v>
      </c>
      <c r="F494" s="113"/>
      <c r="G494" s="197" t="str">
        <f>A!N379</f>
        <v>Siberian iris</v>
      </c>
      <c r="H494" s="129" t="str">
        <f>A!Q379</f>
        <v>Siberian iris, showy blue flowers on slender stems</v>
      </c>
      <c r="I494" s="130">
        <f>A!M379</f>
        <v>1</v>
      </c>
      <c r="J494" s="203">
        <f>A!P379</f>
        <v>0</v>
      </c>
      <c r="K494" s="131">
        <f>IF(A!G379="y",1,0)</f>
        <v>0</v>
      </c>
      <c r="L494" s="131">
        <f>IF(A!H379="y",1,0)</f>
        <v>0</v>
      </c>
      <c r="M494" s="132" t="str">
        <f>IF(A!F379="y","NEW","")</f>
        <v/>
      </c>
      <c r="N494" s="133">
        <f>A!I379</f>
        <v>0</v>
      </c>
      <c r="O494" s="778">
        <f>A!O379</f>
        <v>1</v>
      </c>
      <c r="P494" s="541" t="str">
        <f>A!K379</f>
        <v>L</v>
      </c>
      <c r="Q494" s="541">
        <f>A!E379</f>
        <v>0</v>
      </c>
      <c r="R494" s="541" t="s">
        <v>111</v>
      </c>
      <c r="S494" s="541">
        <f t="shared" ref="S494" si="206">B494</f>
        <v>0</v>
      </c>
      <c r="T494" s="541" t="str">
        <f>A!R379</f>
        <v>x1</v>
      </c>
      <c r="U494" s="541">
        <f>A!S379</f>
        <v>60</v>
      </c>
      <c r="V494" s="541">
        <f>A!T379</f>
        <v>8.3333333333333329E-2</v>
      </c>
      <c r="W494" s="541">
        <f t="shared" si="190"/>
        <v>0</v>
      </c>
      <c r="X494" s="541"/>
    </row>
    <row r="495" spans="1:24" ht="10.5" customHeight="1" x14ac:dyDescent="0.25">
      <c r="A495" s="121" t="str">
        <f>IF(S495=0,"",COUNTIF(A$23:A494,"&gt;0")+1)</f>
        <v/>
      </c>
      <c r="B495" s="351"/>
      <c r="C495" s="76" t="str">
        <f t="shared" ref="C495:C496" si="207">T495</f>
        <v>x1</v>
      </c>
      <c r="D495" s="98" t="str">
        <f>A!C380</f>
        <v>Iris sibirica 'Gull's Wing'</v>
      </c>
      <c r="E495" s="78"/>
      <c r="F495" s="78"/>
      <c r="G495" s="99" t="str">
        <f>A!N380</f>
        <v>Siberian Iris</v>
      </c>
      <c r="H495" s="89" t="str">
        <f>A!Q380</f>
        <v>flowers are white, of course, leaning toward ivory</v>
      </c>
      <c r="I495" s="69">
        <f>A!M380</f>
        <v>1</v>
      </c>
      <c r="J495" s="202">
        <f>A!P380</f>
        <v>0</v>
      </c>
      <c r="K495" s="83">
        <f>IF(A!G380="y",1,0)</f>
        <v>1</v>
      </c>
      <c r="L495" s="83">
        <f>IF(A!H380="y",1,0)</f>
        <v>1</v>
      </c>
      <c r="M495" s="84" t="str">
        <f>IF(A!F380="y","NEW","")</f>
        <v/>
      </c>
      <c r="N495" s="767">
        <f>A!I380</f>
        <v>0</v>
      </c>
      <c r="O495" s="290">
        <f>A!O380</f>
        <v>1</v>
      </c>
      <c r="P495" s="541" t="str">
        <f>A!K380</f>
        <v>L</v>
      </c>
      <c r="Q495" s="541" t="str">
        <f>A!E380</f>
        <v>y</v>
      </c>
      <c r="R495" s="541" t="s">
        <v>111</v>
      </c>
      <c r="S495" s="541">
        <f t="shared" ref="S495:S496" si="208">B495</f>
        <v>0</v>
      </c>
      <c r="T495" s="541" t="str">
        <f>A!R380</f>
        <v>x1</v>
      </c>
      <c r="U495" s="541">
        <f>A!S380</f>
        <v>60</v>
      </c>
      <c r="V495" s="541">
        <f>A!T380</f>
        <v>8.3333333333333329E-2</v>
      </c>
      <c r="W495" s="541">
        <f t="shared" ref="W495:W496" si="209">V495*B495</f>
        <v>0</v>
      </c>
      <c r="X495" s="541"/>
    </row>
    <row r="496" spans="1:24" ht="10.5" customHeight="1" x14ac:dyDescent="0.25">
      <c r="A496" s="121" t="str">
        <f>IF(S496=0,"",COUNTIF(A$23:A495,"&gt;0")+1)</f>
        <v/>
      </c>
      <c r="B496" s="351"/>
      <c r="C496" s="76" t="str">
        <f t="shared" si="207"/>
        <v>x1</v>
      </c>
      <c r="D496" s="98" t="str">
        <f>A!C381</f>
        <v>Iris sibirica 'Having Fun'</v>
      </c>
      <c r="E496" s="78"/>
      <c r="F496" s="78"/>
      <c r="G496" s="99" t="str">
        <f>A!N381</f>
        <v>Siberian iris</v>
      </c>
      <c r="H496" s="89" t="str">
        <f>A!Q381</f>
        <v>layers of ruffled, rounded petals in a soft violet shade</v>
      </c>
      <c r="I496" s="69">
        <f>A!M381</f>
        <v>1</v>
      </c>
      <c r="J496" s="202">
        <f>A!P381</f>
        <v>0</v>
      </c>
      <c r="K496" s="83">
        <f>IF(A!G381="y",1,0)</f>
        <v>1</v>
      </c>
      <c r="L496" s="83">
        <f>IF(A!H381="y",1,0)</f>
        <v>0</v>
      </c>
      <c r="M496" s="84" t="str">
        <f>IF(A!F381="y","NEW","")</f>
        <v/>
      </c>
      <c r="N496" s="767">
        <f>A!I381</f>
        <v>0</v>
      </c>
      <c r="O496" s="290">
        <f>A!O381</f>
        <v>1</v>
      </c>
      <c r="P496" s="541">
        <f>A!K381</f>
        <v>0</v>
      </c>
      <c r="Q496" s="541" t="str">
        <f>A!E381</f>
        <v>Y</v>
      </c>
      <c r="R496" s="541" t="s">
        <v>111</v>
      </c>
      <c r="S496" s="541">
        <f t="shared" si="208"/>
        <v>0</v>
      </c>
      <c r="T496" s="541" t="str">
        <f>A!R381</f>
        <v>x1</v>
      </c>
      <c r="U496" s="541" t="str">
        <f>A!S381</f>
        <v/>
      </c>
      <c r="V496" s="541">
        <f>A!T381</f>
        <v>8.3333333333333329E-2</v>
      </c>
      <c r="W496" s="541">
        <f t="shared" si="209"/>
        <v>0</v>
      </c>
      <c r="X496" s="541"/>
    </row>
    <row r="497" spans="1:24" ht="11.25" customHeight="1" x14ac:dyDescent="0.25">
      <c r="A497" s="121" t="str">
        <f>IF(S497=0,"",COUNTIF(A$23:A496,"&gt;0")+1)</f>
        <v/>
      </c>
      <c r="B497" s="351"/>
      <c r="C497" s="76" t="str">
        <f t="shared" ref="C497" si="210">T497</f>
        <v>x1</v>
      </c>
      <c r="D497" s="98" t="str">
        <f>A!C382</f>
        <v>Iris sibirica 'Kabluey'</v>
      </c>
      <c r="E497" s="78"/>
      <c r="F497" s="78"/>
      <c r="G497" s="99" t="str">
        <f>A!N382</f>
        <v>Siberian iris</v>
      </c>
      <c r="H497" s="89" t="str">
        <f>A!Q382</f>
        <v>spectacular dark violet flowers with creamy-white centers</v>
      </c>
      <c r="I497" s="69">
        <f>A!M382</f>
        <v>1</v>
      </c>
      <c r="J497" s="202">
        <f>A!P382</f>
        <v>0</v>
      </c>
      <c r="K497" s="83">
        <f>IF(A!G382="y",1,0)</f>
        <v>1</v>
      </c>
      <c r="L497" s="83">
        <f>IF(A!H382="y",1,0)</f>
        <v>0</v>
      </c>
      <c r="M497" s="84" t="str">
        <f>IF(A!F382="y","NEW","")</f>
        <v/>
      </c>
      <c r="N497" s="767">
        <f>A!I382</f>
        <v>0</v>
      </c>
      <c r="O497" s="290">
        <f>A!O382</f>
        <v>1</v>
      </c>
      <c r="P497" s="541">
        <f>A!K382</f>
        <v>0</v>
      </c>
      <c r="Q497" s="541" t="str">
        <f>A!E382</f>
        <v>Y</v>
      </c>
      <c r="R497" s="541" t="s">
        <v>111</v>
      </c>
      <c r="S497" s="541">
        <f t="shared" ref="S497" si="211">B497</f>
        <v>0</v>
      </c>
      <c r="T497" s="541" t="str">
        <f>A!R382</f>
        <v>x1</v>
      </c>
      <c r="U497" s="541" t="str">
        <f>A!S382</f>
        <v/>
      </c>
      <c r="V497" s="541">
        <f>A!T382</f>
        <v>8.3333333333333329E-2</v>
      </c>
      <c r="W497" s="541">
        <f t="shared" ref="W497" si="212">V497*B497</f>
        <v>0</v>
      </c>
      <c r="X497" s="541"/>
    </row>
    <row r="498" spans="1:24" ht="11.25" customHeight="1" x14ac:dyDescent="0.25">
      <c r="A498" s="121" t="str">
        <f>IF(S498=0,"",COUNTIF(A$23:A497,"&gt;0")+1)</f>
        <v/>
      </c>
      <c r="B498" s="351"/>
      <c r="C498" s="76" t="str">
        <f t="shared" ref="C498" si="213">T498</f>
        <v>x1</v>
      </c>
      <c r="D498" s="98" t="str">
        <f>A!C383</f>
        <v>Iris sibirica White</v>
      </c>
      <c r="E498" s="78" t="s">
        <v>1393</v>
      </c>
      <c r="F498" s="78"/>
      <c r="G498" s="99" t="str">
        <f>A!N383</f>
        <v>Siberian iris</v>
      </c>
      <c r="H498" s="89" t="str">
        <f>A!Q383</f>
        <v>Siberian iris, showy white flowers on slender stems</v>
      </c>
      <c r="I498" s="69">
        <f>A!M383</f>
        <v>1</v>
      </c>
      <c r="J498" s="202">
        <f>A!P383</f>
        <v>0</v>
      </c>
      <c r="K498" s="83">
        <f>IF(A!G383="y",1,0)</f>
        <v>1</v>
      </c>
      <c r="L498" s="83">
        <f>IF(A!H383="y",1,0)</f>
        <v>1</v>
      </c>
      <c r="M498" s="84"/>
      <c r="N498" s="85">
        <f>A!I383</f>
        <v>0</v>
      </c>
      <c r="O498" s="290">
        <f>A!O383</f>
        <v>1</v>
      </c>
      <c r="P498" s="541" t="str">
        <f>A!K383</f>
        <v>L</v>
      </c>
      <c r="Q498" s="541" t="str">
        <f>A!E383</f>
        <v>y</v>
      </c>
      <c r="R498" s="541" t="s">
        <v>111</v>
      </c>
      <c r="S498" s="541">
        <f t="shared" ref="S498" si="214">B498</f>
        <v>0</v>
      </c>
      <c r="T498" s="541" t="str">
        <f>A!R383</f>
        <v>x1</v>
      </c>
      <c r="U498" s="541">
        <f>A!S383</f>
        <v>60</v>
      </c>
      <c r="V498" s="541">
        <f>A!T383</f>
        <v>8.3333333333333329E-2</v>
      </c>
      <c r="W498" s="541">
        <f t="shared" si="190"/>
        <v>0</v>
      </c>
      <c r="X498" s="541"/>
    </row>
    <row r="499" spans="1:24" ht="11.25" hidden="1" customHeight="1" x14ac:dyDescent="0.25">
      <c r="A499" s="121" t="str">
        <f>IF(S499=0,"",COUNTIF(A$23:A498,"&gt;0")+1)</f>
        <v/>
      </c>
      <c r="B499" s="351"/>
      <c r="C499" s="76" t="str">
        <f t="shared" si="201"/>
        <v>x1</v>
      </c>
      <c r="D499" s="98" t="str">
        <f>A!C384</f>
        <v>Iris versicolor</v>
      </c>
      <c r="E499" s="78"/>
      <c r="F499" s="78"/>
      <c r="G499" s="99" t="str">
        <f>A!N384</f>
        <v>american water iris</v>
      </c>
      <c r="H499" s="89" t="str">
        <f>A!Q384</f>
        <v xml:space="preserve">wonderful blue flowers over sword-like foliage, </v>
      </c>
      <c r="I499" s="69">
        <f>A!M384</f>
        <v>1</v>
      </c>
      <c r="J499" s="202">
        <f>A!P384</f>
        <v>0</v>
      </c>
      <c r="K499" s="83">
        <f>IF(A!G384="y",1,0)</f>
        <v>0</v>
      </c>
      <c r="L499" s="83">
        <f>IF(A!H384="y",1,0)</f>
        <v>0</v>
      </c>
      <c r="M499" s="84" t="str">
        <f>IF(A!F384="y","NEW","")</f>
        <v/>
      </c>
      <c r="N499" s="85">
        <f>A!I384</f>
        <v>0</v>
      </c>
      <c r="O499" s="290">
        <f>A!O384</f>
        <v>2</v>
      </c>
      <c r="P499" s="541" t="str">
        <f>A!K384</f>
        <v>M</v>
      </c>
      <c r="Q499" s="541">
        <f>A!E384</f>
        <v>0</v>
      </c>
      <c r="R499" s="541" t="s">
        <v>111</v>
      </c>
      <c r="S499" s="541">
        <f t="shared" si="202"/>
        <v>0</v>
      </c>
      <c r="T499" s="541" t="str">
        <f>A!R384</f>
        <v>x1</v>
      </c>
      <c r="U499" s="541">
        <f>A!S384</f>
        <v>45</v>
      </c>
      <c r="V499" s="541">
        <f>A!T384</f>
        <v>8.3333333333333329E-2</v>
      </c>
      <c r="W499" s="541">
        <f t="shared" si="190"/>
        <v>0</v>
      </c>
      <c r="X499" s="541"/>
    </row>
    <row r="500" spans="1:24" ht="11.25" hidden="1" customHeight="1" x14ac:dyDescent="0.25">
      <c r="A500" s="121" t="str">
        <f>IF(S500=0,"",COUNTIF(A$23:A499,"&gt;0")+1)</f>
        <v/>
      </c>
      <c r="B500" s="351"/>
      <c r="C500" s="76" t="str">
        <f t="shared" si="201"/>
        <v>x1</v>
      </c>
      <c r="D500" s="98" t="str">
        <f>A!C385</f>
        <v>Juncus effusus Spiralis</v>
      </c>
      <c r="E500" s="78"/>
      <c r="F500" s="78"/>
      <c r="G500" s="99" t="str">
        <f>A!N385</f>
        <v>corkscrew rush</v>
      </c>
      <c r="H500" s="89" t="str">
        <f>A!Q385</f>
        <v>unusual corkscrew like foliage, evergreen</v>
      </c>
      <c r="I500" s="69">
        <f>A!M385</f>
        <v>2</v>
      </c>
      <c r="J500" s="202">
        <f>A!P385</f>
        <v>0</v>
      </c>
      <c r="K500" s="83">
        <f>IF(A!G385="y",1,0)</f>
        <v>0</v>
      </c>
      <c r="L500" s="83">
        <f>IF(A!H385="y",1,0)</f>
        <v>0</v>
      </c>
      <c r="M500" s="84" t="str">
        <f>IF(A!F385="y","NEW","")</f>
        <v/>
      </c>
      <c r="N500" s="85">
        <f>A!I385</f>
        <v>0</v>
      </c>
      <c r="O500" s="290" t="str">
        <f>A!O385</f>
        <v>1,2</v>
      </c>
      <c r="P500" s="541">
        <f>A!K385</f>
        <v>0</v>
      </c>
      <c r="Q500" s="541">
        <f>A!E385</f>
        <v>0</v>
      </c>
      <c r="R500" s="541" t="s">
        <v>111</v>
      </c>
      <c r="S500" s="541">
        <f t="shared" si="202"/>
        <v>0</v>
      </c>
      <c r="T500" s="541" t="str">
        <f>A!R385</f>
        <v>x1</v>
      </c>
      <c r="U500" s="541" t="str">
        <f>A!S385</f>
        <v/>
      </c>
      <c r="V500" s="541">
        <f>A!T385</f>
        <v>8.3333333333333329E-2</v>
      </c>
      <c r="W500" s="541">
        <f t="shared" si="190"/>
        <v>0</v>
      </c>
      <c r="X500" s="541"/>
    </row>
    <row r="501" spans="1:24" ht="11.25" hidden="1" customHeight="1" x14ac:dyDescent="0.25">
      <c r="A501" s="121" t="str">
        <f>IF(S501=0,"",COUNTIF(A$23:A500,"&gt;0")+1)</f>
        <v/>
      </c>
      <c r="B501" s="351"/>
      <c r="C501" s="76" t="str">
        <f t="shared" ref="C501" si="215">T501</f>
        <v>x1</v>
      </c>
      <c r="D501" s="98" t="str">
        <f>A!C386</f>
        <v>Juncus Inflexus</v>
      </c>
      <c r="E501" s="78"/>
      <c r="F501" s="78"/>
      <c r="G501" s="99" t="str">
        <f>A!N386</f>
        <v>hard rush</v>
      </c>
      <c r="H501" s="89" t="str">
        <f>A!Q386</f>
        <v>glaucous blue, needle like foliage, to 50cm</v>
      </c>
      <c r="I501" s="69">
        <f>A!M386</f>
        <v>2</v>
      </c>
      <c r="J501" s="202">
        <f>A!P386</f>
        <v>0</v>
      </c>
      <c r="K501" s="83">
        <f>IF(A!G386="y",1,0)</f>
        <v>0</v>
      </c>
      <c r="L501" s="83">
        <f>IF(A!H386="y",1,0)</f>
        <v>0</v>
      </c>
      <c r="M501" s="84" t="str">
        <f>IF(A!F386="y","NEW","")</f>
        <v/>
      </c>
      <c r="N501" s="85">
        <f>A!I386</f>
        <v>0</v>
      </c>
      <c r="O501" s="290" t="str">
        <f>A!O386</f>
        <v>1,2</v>
      </c>
      <c r="P501" s="541">
        <f>A!K386</f>
        <v>0</v>
      </c>
      <c r="Q501" s="541">
        <f>A!E386</f>
        <v>0</v>
      </c>
      <c r="R501" s="541" t="s">
        <v>111</v>
      </c>
      <c r="S501" s="541">
        <f t="shared" ref="S501" si="216">B501</f>
        <v>0</v>
      </c>
      <c r="T501" s="541" t="str">
        <f>A!R386</f>
        <v>x1</v>
      </c>
      <c r="U501" s="541" t="str">
        <f>A!S386</f>
        <v/>
      </c>
      <c r="V501" s="541">
        <f>A!T386</f>
        <v>8.3333333333333329E-2</v>
      </c>
      <c r="W501" s="541">
        <f t="shared" si="190"/>
        <v>0</v>
      </c>
      <c r="X501" s="541"/>
    </row>
    <row r="502" spans="1:24" ht="11.25" customHeight="1" x14ac:dyDescent="0.25">
      <c r="A502" s="121" t="str">
        <f>IF(S502=0,"",COUNTIF(A$23:A501,"&gt;0")+1)</f>
        <v/>
      </c>
      <c r="B502" s="351"/>
      <c r="C502" s="76" t="str">
        <f t="shared" si="201"/>
        <v>x1</v>
      </c>
      <c r="D502" s="98" t="str">
        <f>A!C387</f>
        <v>Lobelia Queen Victoria</v>
      </c>
      <c r="E502" s="78"/>
      <c r="F502" s="78"/>
      <c r="G502" s="99" t="str">
        <f>A!N387</f>
        <v>red cardinal</v>
      </c>
      <c r="H502" s="89" t="str">
        <f>A!Q387</f>
        <v>scarlet red flowers over stunning crimson foliage</v>
      </c>
      <c r="I502" s="69">
        <f>A!M387</f>
        <v>1</v>
      </c>
      <c r="J502" s="202">
        <f>A!P387</f>
        <v>0</v>
      </c>
      <c r="K502" s="83">
        <f>IF(A!G387="y",1,0)</f>
        <v>1</v>
      </c>
      <c r="L502" s="83">
        <f>IF(A!H387="y",1,0)</f>
        <v>1</v>
      </c>
      <c r="M502" s="84" t="str">
        <f>IF(A!F387="y","NEW","")</f>
        <v/>
      </c>
      <c r="N502" s="85">
        <f>A!I387</f>
        <v>0</v>
      </c>
      <c r="O502" s="290" t="str">
        <f>A!O387</f>
        <v>1,2</v>
      </c>
      <c r="P502" s="541" t="str">
        <f>A!K387</f>
        <v>M</v>
      </c>
      <c r="Q502" s="541" t="str">
        <f>A!E387</f>
        <v>y</v>
      </c>
      <c r="R502" s="541" t="s">
        <v>111</v>
      </c>
      <c r="S502" s="541">
        <f t="shared" si="202"/>
        <v>0</v>
      </c>
      <c r="T502" s="541" t="str">
        <f>A!R387</f>
        <v>x1</v>
      </c>
      <c r="U502" s="541">
        <f>A!S387</f>
        <v>45</v>
      </c>
      <c r="V502" s="541">
        <f>A!T387</f>
        <v>8.3333333333333329E-2</v>
      </c>
      <c r="W502" s="541">
        <f t="shared" si="190"/>
        <v>0</v>
      </c>
      <c r="X502" s="541"/>
    </row>
    <row r="503" spans="1:24" ht="11.25" hidden="1" customHeight="1" x14ac:dyDescent="0.25">
      <c r="A503" s="121" t="str">
        <f>IF(S503=0,"",COUNTIF(A$23:A502,"&gt;0")+1)</f>
        <v/>
      </c>
      <c r="B503" s="351"/>
      <c r="C503" s="76" t="str">
        <f t="shared" ref="C503" si="217">T503</f>
        <v>x1</v>
      </c>
      <c r="D503" s="98" t="str">
        <f>A!C388</f>
        <v>Lobelia speciosa deep Red</v>
      </c>
      <c r="E503" s="78"/>
      <c r="F503" s="78"/>
      <c r="G503" s="99" t="str">
        <f>A!N388</f>
        <v>red cardinal</v>
      </c>
      <c r="H503" s="89" t="str">
        <f>A!Q388</f>
        <v>contrasting deep rose flower spikes over green foliage</v>
      </c>
      <c r="I503" s="69">
        <f>A!M388</f>
        <v>1</v>
      </c>
      <c r="J503" s="202">
        <f>A!P388</f>
        <v>0</v>
      </c>
      <c r="K503" s="83">
        <f>IF(A!G388="y",1,0)</f>
        <v>0</v>
      </c>
      <c r="L503" s="83">
        <f>IF(A!H388="y",1,0)</f>
        <v>0</v>
      </c>
      <c r="M503" s="84" t="str">
        <f>IF(A!F388="y","NEW","")</f>
        <v/>
      </c>
      <c r="N503" s="85">
        <f>A!I388</f>
        <v>0</v>
      </c>
      <c r="O503" s="290">
        <f>A!O388</f>
        <v>1</v>
      </c>
      <c r="P503" s="541" t="str">
        <f>A!K388</f>
        <v>M</v>
      </c>
      <c r="Q503" s="541">
        <f>A!E388</f>
        <v>0</v>
      </c>
      <c r="R503" s="541" t="s">
        <v>111</v>
      </c>
      <c r="S503" s="541">
        <f t="shared" ref="S503" si="218">B503</f>
        <v>0</v>
      </c>
      <c r="T503" s="541" t="str">
        <f>A!R388</f>
        <v>x1</v>
      </c>
      <c r="U503" s="541">
        <f>A!S388</f>
        <v>50</v>
      </c>
      <c r="V503" s="541">
        <f>A!T388</f>
        <v>8.3333333333333329E-2</v>
      </c>
      <c r="W503" s="541">
        <f t="shared" ref="W503" si="219">V503*B503</f>
        <v>0</v>
      </c>
      <c r="X503" s="541"/>
    </row>
    <row r="504" spans="1:24" ht="11.25" hidden="1" customHeight="1" x14ac:dyDescent="0.25">
      <c r="A504" s="121" t="str">
        <f>IF(S504=0,"",COUNTIF(A$23:A503,"&gt;0")+1)</f>
        <v/>
      </c>
      <c r="B504" s="351"/>
      <c r="C504" s="76" t="str">
        <f t="shared" si="201"/>
        <v>x1</v>
      </c>
      <c r="D504" s="98" t="str">
        <f>A!C389</f>
        <v>Lythrum salicaria</v>
      </c>
      <c r="E504" s="78"/>
      <c r="F504" s="78"/>
      <c r="G504" s="99" t="str">
        <f>A!N389</f>
        <v>purple loosestrife</v>
      </c>
      <c r="H504" s="89" t="str">
        <f>A!Q389</f>
        <v>beautiful tall pink flowers throughout the season</v>
      </c>
      <c r="I504" s="69">
        <f>A!M389</f>
        <v>2</v>
      </c>
      <c r="J504" s="202" t="str">
        <f>A!P389</f>
        <v>Yes</v>
      </c>
      <c r="K504" s="83">
        <f>IF(A!G389="y",1,0)</f>
        <v>0</v>
      </c>
      <c r="L504" s="83">
        <f>IF(A!H389="y",1,0)</f>
        <v>0</v>
      </c>
      <c r="M504" s="84" t="str">
        <f>IF(A!F389="y","NEW","")</f>
        <v/>
      </c>
      <c r="N504" s="85">
        <f>A!I389</f>
        <v>0</v>
      </c>
      <c r="O504" s="290" t="str">
        <f>A!O389</f>
        <v>1,2</v>
      </c>
      <c r="P504" s="541" t="str">
        <f>A!K389</f>
        <v>L</v>
      </c>
      <c r="Q504" s="541">
        <f>A!E389</f>
        <v>0</v>
      </c>
      <c r="R504" s="541" t="s">
        <v>111</v>
      </c>
      <c r="S504" s="541">
        <f t="shared" si="202"/>
        <v>0</v>
      </c>
      <c r="T504" s="541" t="str">
        <f>A!R389</f>
        <v>x1</v>
      </c>
      <c r="U504" s="541">
        <f>A!S389</f>
        <v>60</v>
      </c>
      <c r="V504" s="541">
        <f>A!T389</f>
        <v>8.3333333333333329E-2</v>
      </c>
      <c r="W504" s="541">
        <f t="shared" si="190"/>
        <v>0</v>
      </c>
      <c r="X504" s="541"/>
    </row>
    <row r="505" spans="1:24" ht="11.25" customHeight="1" x14ac:dyDescent="0.25">
      <c r="A505" s="121" t="str">
        <f>IF(S505=0,"",COUNTIF(A$23:A504,"&gt;0")+1)</f>
        <v/>
      </c>
      <c r="B505" s="351"/>
      <c r="C505" s="76" t="str">
        <f t="shared" si="201"/>
        <v>x1</v>
      </c>
      <c r="D505" s="98" t="str">
        <f>A!C390</f>
        <v>Mentha Aquaticia</v>
      </c>
      <c r="E505" s="78"/>
      <c r="F505" s="78"/>
      <c r="G505" s="99" t="str">
        <f>A!N390</f>
        <v>blotched monkey flower</v>
      </c>
      <c r="H505" s="89" t="str">
        <f>A!Q390</f>
        <v>abundance of yellow and red blotched flowers</v>
      </c>
      <c r="I505" s="69">
        <f>A!M390</f>
        <v>2</v>
      </c>
      <c r="J505" s="202">
        <f>A!P390</f>
        <v>0</v>
      </c>
      <c r="K505" s="83">
        <f>IF(A!G390="y",1,0)</f>
        <v>1</v>
      </c>
      <c r="L505" s="83">
        <f>IF(A!H390="y",1,0)</f>
        <v>0</v>
      </c>
      <c r="M505" s="84" t="str">
        <f>IF(A!F390="y","NEW","")</f>
        <v/>
      </c>
      <c r="N505" s="85">
        <f>A!I390</f>
        <v>0</v>
      </c>
      <c r="O505" s="290" t="str">
        <f>A!O390</f>
        <v>1,2</v>
      </c>
      <c r="P505" s="541">
        <f>A!K390</f>
        <v>0</v>
      </c>
      <c r="Q505" s="541" t="str">
        <f>A!E390</f>
        <v>y</v>
      </c>
      <c r="R505" s="541" t="s">
        <v>111</v>
      </c>
      <c r="S505" s="541">
        <f t="shared" si="202"/>
        <v>0</v>
      </c>
      <c r="T505" s="541" t="str">
        <f>A!R390</f>
        <v>x1</v>
      </c>
      <c r="U505" s="541" t="str">
        <f>A!S390</f>
        <v/>
      </c>
      <c r="V505" s="541">
        <f>A!T390</f>
        <v>8.3333333333333329E-2</v>
      </c>
      <c r="W505" s="541">
        <f t="shared" si="190"/>
        <v>0</v>
      </c>
      <c r="X505" s="541"/>
    </row>
    <row r="506" spans="1:24" ht="11.25" hidden="1" customHeight="1" x14ac:dyDescent="0.25">
      <c r="A506" s="121" t="str">
        <f>IF(S506=0,"",COUNTIF(A$23:A505,"&gt;0")+1)</f>
        <v/>
      </c>
      <c r="B506" s="351"/>
      <c r="C506" s="76" t="str">
        <f t="shared" si="201"/>
        <v>x1</v>
      </c>
      <c r="D506" s="98" t="str">
        <f>A!C391</f>
        <v>Mentha Pulegium</v>
      </c>
      <c r="E506" s="78"/>
      <c r="F506" s="78"/>
      <c r="G506" s="99" t="str">
        <f>A!N391</f>
        <v>Penny royal</v>
      </c>
      <c r="H506" s="89" t="str">
        <f>A!Q391</f>
        <v>a creeping mint, compact and aromatic</v>
      </c>
      <c r="I506" s="69">
        <f>A!M391</f>
        <v>2</v>
      </c>
      <c r="J506" s="202" t="str">
        <f>A!P391</f>
        <v>Yes</v>
      </c>
      <c r="K506" s="83">
        <f>IF(A!G391="y",1,0)</f>
        <v>0</v>
      </c>
      <c r="L506" s="83">
        <f>IF(A!H391="y",1,0)</f>
        <v>0</v>
      </c>
      <c r="M506" s="84" t="str">
        <f>IF(A!F391="y","NEW","")</f>
        <v/>
      </c>
      <c r="N506" s="85">
        <f>A!I391</f>
        <v>0</v>
      </c>
      <c r="O506" s="290" t="str">
        <f>A!O391</f>
        <v>1,2</v>
      </c>
      <c r="P506" s="541" t="str">
        <f>A!K391</f>
        <v>s</v>
      </c>
      <c r="Q506" s="541">
        <f>A!E391</f>
        <v>0</v>
      </c>
      <c r="R506" s="541" t="s">
        <v>111</v>
      </c>
      <c r="S506" s="541">
        <f t="shared" si="202"/>
        <v>0</v>
      </c>
      <c r="T506" s="541" t="str">
        <f>A!R391</f>
        <v>x1</v>
      </c>
      <c r="U506" s="541">
        <f>A!S391</f>
        <v>30</v>
      </c>
      <c r="V506" s="541">
        <f>A!T391</f>
        <v>8.3333333333333329E-2</v>
      </c>
      <c r="W506" s="541">
        <f t="shared" si="190"/>
        <v>0</v>
      </c>
      <c r="X506" s="541"/>
    </row>
    <row r="507" spans="1:24" ht="11.25" hidden="1" customHeight="1" x14ac:dyDescent="0.25">
      <c r="A507" s="121" t="str">
        <f>IF(S507=0,"",COUNTIF(A$23:A506,"&gt;0")+1)</f>
        <v/>
      </c>
      <c r="B507" s="351"/>
      <c r="C507" s="76" t="str">
        <f t="shared" si="201"/>
        <v>x1</v>
      </c>
      <c r="D507" s="98" t="str">
        <f>A!C392</f>
        <v>Mimulus luteus</v>
      </c>
      <c r="E507" s="78"/>
      <c r="F507" s="78"/>
      <c r="G507" s="99" t="str">
        <f>A!N392</f>
        <v>blotched monkey flower</v>
      </c>
      <c r="H507" s="89" t="str">
        <f>A!Q392</f>
        <v>abundance of yellow and red blotched flowers</v>
      </c>
      <c r="I507" s="69">
        <f>A!M392</f>
        <v>2</v>
      </c>
      <c r="J507" s="202">
        <f>A!P392</f>
        <v>0</v>
      </c>
      <c r="K507" s="83">
        <f>IF(A!G392="y",1,0)</f>
        <v>0</v>
      </c>
      <c r="L507" s="83">
        <f>IF(A!H392="y",1,0)</f>
        <v>0</v>
      </c>
      <c r="M507" s="84" t="str">
        <f>IF(A!F392="y","NEW","")</f>
        <v/>
      </c>
      <c r="N507" s="85">
        <f>A!I392</f>
        <v>0</v>
      </c>
      <c r="O507" s="290" t="str">
        <f>A!O392</f>
        <v>1,2</v>
      </c>
      <c r="P507" s="541">
        <f>A!K392</f>
        <v>0</v>
      </c>
      <c r="Q507" s="541">
        <f>A!E392</f>
        <v>0</v>
      </c>
      <c r="R507" s="541" t="s">
        <v>111</v>
      </c>
      <c r="S507" s="541">
        <f t="shared" si="202"/>
        <v>0</v>
      </c>
      <c r="T507" s="541" t="str">
        <f>A!R392</f>
        <v>x1</v>
      </c>
      <c r="U507" s="541" t="str">
        <f>A!S392</f>
        <v/>
      </c>
      <c r="V507" s="541">
        <f>A!T392</f>
        <v>8.3333333333333329E-2</v>
      </c>
      <c r="W507" s="541">
        <f t="shared" si="190"/>
        <v>0</v>
      </c>
      <c r="X507" s="541"/>
    </row>
    <row r="508" spans="1:24" ht="11.25" hidden="1" customHeight="1" x14ac:dyDescent="0.25">
      <c r="A508" s="121" t="str">
        <f>IF(S508=0,"",COUNTIF(A$23:A507,"&gt;0")+1)</f>
        <v/>
      </c>
      <c r="B508" s="351"/>
      <c r="C508" s="76" t="str">
        <f t="shared" si="201"/>
        <v>x1</v>
      </c>
      <c r="D508" s="98" t="str">
        <f>A!C393</f>
        <v>Myosotis palustris</v>
      </c>
      <c r="E508" s="78"/>
      <c r="F508" s="78"/>
      <c r="G508" s="99" t="str">
        <f>A!N393</f>
        <v>water forget-me-not</v>
      </c>
      <c r="H508" s="89" t="str">
        <f>A!Q393</f>
        <v>must have for every pond, small blue flowers</v>
      </c>
      <c r="I508" s="69">
        <f>A!M393</f>
        <v>1</v>
      </c>
      <c r="J508" s="202" t="str">
        <f>A!P393</f>
        <v>Yes</v>
      </c>
      <c r="K508" s="83">
        <f>IF(A!G393="y",1,0)</f>
        <v>0</v>
      </c>
      <c r="L508" s="83">
        <f>IF(A!H393="y",1,0)</f>
        <v>0</v>
      </c>
      <c r="M508" s="84" t="str">
        <f>IF(A!F393="y","NEW","")</f>
        <v/>
      </c>
      <c r="N508" s="85">
        <f>A!I393</f>
        <v>0</v>
      </c>
      <c r="O508" s="290">
        <f>A!O393</f>
        <v>2</v>
      </c>
      <c r="P508" s="541">
        <f>A!K393</f>
        <v>0</v>
      </c>
      <c r="Q508" s="541">
        <f>A!E393</f>
        <v>0</v>
      </c>
      <c r="R508" s="541" t="s">
        <v>111</v>
      </c>
      <c r="S508" s="541">
        <f t="shared" si="202"/>
        <v>0</v>
      </c>
      <c r="T508" s="541" t="str">
        <f>A!R393</f>
        <v>x1</v>
      </c>
      <c r="U508" s="541" t="str">
        <f>A!S393</f>
        <v/>
      </c>
      <c r="V508" s="541">
        <f>A!T393</f>
        <v>8.3333333333333329E-2</v>
      </c>
      <c r="W508" s="541">
        <f t="shared" si="190"/>
        <v>0</v>
      </c>
      <c r="X508" s="541"/>
    </row>
    <row r="509" spans="1:24" ht="11.25" hidden="1" customHeight="1" x14ac:dyDescent="0.25">
      <c r="A509" s="121" t="str">
        <f>IF(S509=0,"",COUNTIF(A$23:A508,"&gt;0")+1)</f>
        <v/>
      </c>
      <c r="B509" s="351"/>
      <c r="C509" s="76" t="str">
        <f t="shared" si="201"/>
        <v>x1</v>
      </c>
      <c r="D509" s="98" t="str">
        <f>A!C394</f>
        <v>Myosotis palustris Alba</v>
      </c>
      <c r="E509" s="78"/>
      <c r="F509" s="78"/>
      <c r="G509" s="99" t="str">
        <f>A!N394</f>
        <v>white water forget-me-not</v>
      </c>
      <c r="H509" s="89" t="str">
        <f>A!Q394</f>
        <v>white flowers over green foliage</v>
      </c>
      <c r="I509" s="69">
        <f>A!M394</f>
        <v>2</v>
      </c>
      <c r="J509" s="202">
        <f>A!P394</f>
        <v>0</v>
      </c>
      <c r="K509" s="83">
        <f>IF(A!G394="y",1,0)</f>
        <v>0</v>
      </c>
      <c r="L509" s="83">
        <f>IF(A!H394="y",1,0)</f>
        <v>0</v>
      </c>
      <c r="M509" s="84" t="str">
        <f>IF(A!F394="y","NEW","")</f>
        <v/>
      </c>
      <c r="N509" s="85">
        <f>A!I394</f>
        <v>0</v>
      </c>
      <c r="O509" s="290">
        <f>A!O394</f>
        <v>2</v>
      </c>
      <c r="P509" s="541">
        <f>A!K394</f>
        <v>0</v>
      </c>
      <c r="Q509" s="541">
        <f>A!E394</f>
        <v>0</v>
      </c>
      <c r="R509" s="541" t="s">
        <v>111</v>
      </c>
      <c r="S509" s="541">
        <f t="shared" si="202"/>
        <v>0</v>
      </c>
      <c r="T509" s="541" t="str">
        <f>A!R394</f>
        <v>x1</v>
      </c>
      <c r="U509" s="541" t="str">
        <f>A!S394</f>
        <v/>
      </c>
      <c r="V509" s="541">
        <f>A!T394</f>
        <v>8.3333333333333329E-2</v>
      </c>
      <c r="W509" s="541">
        <f t="shared" si="190"/>
        <v>0</v>
      </c>
      <c r="X509" s="541"/>
    </row>
    <row r="510" spans="1:24" ht="11.25" hidden="1" customHeight="1" x14ac:dyDescent="0.25">
      <c r="A510" s="121" t="str">
        <f>IF(S510=0,"",COUNTIF(A$23:A509,"&gt;0")+1)</f>
        <v/>
      </c>
      <c r="B510" s="351"/>
      <c r="C510" s="76" t="str">
        <f t="shared" si="201"/>
        <v>x1</v>
      </c>
      <c r="D510" s="98" t="str">
        <f>A!C395</f>
        <v>Myosotis palustris Pink</v>
      </c>
      <c r="E510" s="78"/>
      <c r="F510" s="78"/>
      <c r="G510" s="99" t="str">
        <f>A!N395</f>
        <v>pink water forget-me-not</v>
      </c>
      <c r="H510" s="89" t="str">
        <f>A!Q395</f>
        <v>x1</v>
      </c>
      <c r="I510" s="69">
        <f>A!M395</f>
        <v>2</v>
      </c>
      <c r="J510" s="202">
        <f>A!P395</f>
        <v>0</v>
      </c>
      <c r="K510" s="83">
        <f>IF(A!G395="y",1,0)</f>
        <v>0</v>
      </c>
      <c r="L510" s="83">
        <f>IF(A!H395="y",1,0)</f>
        <v>0</v>
      </c>
      <c r="M510" s="84" t="str">
        <f>IF(A!F395="y","NEW","")</f>
        <v/>
      </c>
      <c r="N510" s="85">
        <f>A!I395</f>
        <v>0</v>
      </c>
      <c r="O510" s="290">
        <f>A!O395</f>
        <v>2</v>
      </c>
      <c r="P510" s="541">
        <f>A!K395</f>
        <v>0</v>
      </c>
      <c r="Q510" s="541">
        <f>A!E395</f>
        <v>0</v>
      </c>
      <c r="R510" s="541" t="s">
        <v>111</v>
      </c>
      <c r="S510" s="541">
        <f t="shared" si="202"/>
        <v>0</v>
      </c>
      <c r="T510" s="541" t="str">
        <f>A!R395</f>
        <v>x1</v>
      </c>
      <c r="U510" s="541" t="str">
        <f>A!S395</f>
        <v/>
      </c>
      <c r="V510" s="541">
        <f>A!T395</f>
        <v>8.3333333333333329E-2</v>
      </c>
      <c r="W510" s="541">
        <f t="shared" si="190"/>
        <v>0</v>
      </c>
      <c r="X510" s="541"/>
    </row>
    <row r="511" spans="1:24" ht="11.25" hidden="1" customHeight="1" x14ac:dyDescent="0.25">
      <c r="A511" s="121" t="str">
        <f>IF(S511=0,"",COUNTIF(A$23:A510,"&gt;0")+1)</f>
        <v/>
      </c>
      <c r="B511" s="351"/>
      <c r="C511" s="76" t="str">
        <f t="shared" si="201"/>
        <v>x1</v>
      </c>
      <c r="D511" s="98" t="str">
        <f>A!C396</f>
        <v>Nasturtium aquaticum</v>
      </c>
      <c r="E511" s="78"/>
      <c r="F511" s="78"/>
      <c r="G511" s="99" t="str">
        <f>A!N396</f>
        <v>watercress</v>
      </c>
      <c r="H511" s="89" t="str">
        <f>A!Q396</f>
        <v>the natural way to keep green algae at bay</v>
      </c>
      <c r="I511" s="69">
        <f>A!M396</f>
        <v>1</v>
      </c>
      <c r="J511" s="202">
        <f>A!P396</f>
        <v>0</v>
      </c>
      <c r="K511" s="83">
        <f>IF(A!G396="y",1,0)</f>
        <v>0</v>
      </c>
      <c r="L511" s="83">
        <f>IF(A!H396="y",1,0)</f>
        <v>0</v>
      </c>
      <c r="M511" s="84" t="str">
        <f>IF(A!F396="y","NEW","")</f>
        <v/>
      </c>
      <c r="N511" s="85">
        <f>A!I396</f>
        <v>0</v>
      </c>
      <c r="O511" s="290">
        <f>A!O396</f>
        <v>2</v>
      </c>
      <c r="P511" s="541">
        <f>A!K396</f>
        <v>0</v>
      </c>
      <c r="Q511" s="541">
        <f>A!E396</f>
        <v>0</v>
      </c>
      <c r="R511" s="541" t="s">
        <v>111</v>
      </c>
      <c r="S511" s="541">
        <f t="shared" si="202"/>
        <v>0</v>
      </c>
      <c r="T511" s="541" t="str">
        <f>A!R396</f>
        <v>x1</v>
      </c>
      <c r="U511" s="541" t="str">
        <f>A!S396</f>
        <v/>
      </c>
      <c r="V511" s="541">
        <f>A!T396</f>
        <v>8.3333333333333329E-2</v>
      </c>
      <c r="W511" s="541">
        <f t="shared" si="190"/>
        <v>0</v>
      </c>
      <c r="X511" s="541"/>
    </row>
    <row r="512" spans="1:24" ht="11.25" customHeight="1" x14ac:dyDescent="0.25">
      <c r="A512" s="121" t="str">
        <f>IF(S512=0,"",COUNTIF(A$23:A511,"&gt;0")+1)</f>
        <v/>
      </c>
      <c r="B512" s="351"/>
      <c r="C512" s="76" t="str">
        <f t="shared" si="201"/>
        <v>x1</v>
      </c>
      <c r="D512" s="98" t="str">
        <f>A!C397</f>
        <v>Oenanthe 'Flamingo'</v>
      </c>
      <c r="E512" s="78"/>
      <c r="F512" s="78"/>
      <c r="G512" s="99" t="str">
        <f>A!N397</f>
        <v>variegated water dropwort</v>
      </c>
      <c r="H512" s="89" t="str">
        <f>A!Q397</f>
        <v>wonderful tricolour, pink, green and white foliage</v>
      </c>
      <c r="I512" s="69">
        <f>A!M397</f>
        <v>1</v>
      </c>
      <c r="J512" s="202">
        <f>A!P397</f>
        <v>0</v>
      </c>
      <c r="K512" s="83">
        <f>IF(A!G397="y",1,0)</f>
        <v>1</v>
      </c>
      <c r="L512" s="83">
        <f>IF(A!H397="y",1,0)</f>
        <v>0</v>
      </c>
      <c r="M512" s="84" t="str">
        <f>IF(A!F397="y","NEW","")</f>
        <v/>
      </c>
      <c r="N512" s="85">
        <f>A!I397</f>
        <v>0</v>
      </c>
      <c r="O512" s="290" t="str">
        <f>A!O397</f>
        <v>1,2</v>
      </c>
      <c r="P512" s="541" t="str">
        <f>A!K397</f>
        <v>M</v>
      </c>
      <c r="Q512" s="541" t="str">
        <f>A!E397</f>
        <v>Y</v>
      </c>
      <c r="R512" s="541" t="s">
        <v>111</v>
      </c>
      <c r="S512" s="541">
        <f t="shared" si="202"/>
        <v>0</v>
      </c>
      <c r="T512" s="541" t="str">
        <f>A!R397</f>
        <v>x1</v>
      </c>
      <c r="U512" s="541">
        <f>A!S397</f>
        <v>45</v>
      </c>
      <c r="V512" s="541">
        <f>A!T397</f>
        <v>8.3333333333333329E-2</v>
      </c>
      <c r="W512" s="541">
        <f t="shared" si="190"/>
        <v>0</v>
      </c>
      <c r="X512" s="541"/>
    </row>
    <row r="513" spans="1:24" ht="11.25" hidden="1" customHeight="1" x14ac:dyDescent="0.25">
      <c r="A513" s="121" t="str">
        <f>IF(S513=0,"",COUNTIF(A$23:A512,"&gt;0")+1)</f>
        <v/>
      </c>
      <c r="B513" s="351"/>
      <c r="C513" s="76" t="str">
        <f t="shared" si="201"/>
        <v>x1</v>
      </c>
      <c r="D513" s="98" t="str">
        <f>A!C398</f>
        <v xml:space="preserve">Phalaris arundinacea 'Picta'   </v>
      </c>
      <c r="E513" s="78"/>
      <c r="F513" s="78"/>
      <c r="G513" s="99" t="str">
        <f>A!N398</f>
        <v>gardener's garters</v>
      </c>
      <c r="H513" s="89" t="str">
        <f>A!Q398</f>
        <v>offering bold stripes of white, pale and dark green</v>
      </c>
      <c r="I513" s="69">
        <f>A!M398</f>
        <v>1</v>
      </c>
      <c r="J513" s="202">
        <f>A!P398</f>
        <v>0</v>
      </c>
      <c r="K513" s="83">
        <f>IF(A!G398="y",1,0)</f>
        <v>0</v>
      </c>
      <c r="L513" s="83">
        <f>IF(A!H398="y",1,0)</f>
        <v>0</v>
      </c>
      <c r="M513" s="84" t="str">
        <f>IF(A!F398="y","NEW","")</f>
        <v/>
      </c>
      <c r="N513" s="85">
        <f>A!I398</f>
        <v>0</v>
      </c>
      <c r="O513" s="290" t="str">
        <f>A!O398</f>
        <v>1,2</v>
      </c>
      <c r="P513" s="541">
        <f>A!K398</f>
        <v>0</v>
      </c>
      <c r="Q513" s="541">
        <f>A!E398</f>
        <v>0</v>
      </c>
      <c r="R513" s="541" t="s">
        <v>111</v>
      </c>
      <c r="S513" s="541">
        <f t="shared" si="202"/>
        <v>0</v>
      </c>
      <c r="T513" s="541" t="str">
        <f>A!R398</f>
        <v>x1</v>
      </c>
      <c r="U513" s="541" t="str">
        <f>A!S398</f>
        <v/>
      </c>
      <c r="V513" s="541">
        <f>A!T398</f>
        <v>8.3333333333333329E-2</v>
      </c>
      <c r="W513" s="541">
        <f t="shared" si="190"/>
        <v>0</v>
      </c>
      <c r="X513" s="541"/>
    </row>
    <row r="514" spans="1:24" ht="11.25" customHeight="1" x14ac:dyDescent="0.25">
      <c r="A514" s="121" t="str">
        <f>IF(S514=0,"",COUNTIF(A$23:A513,"&gt;0")+1)</f>
        <v/>
      </c>
      <c r="B514" s="351"/>
      <c r="C514" s="76" t="str">
        <f t="shared" si="201"/>
        <v>x1</v>
      </c>
      <c r="D514" s="98" t="str">
        <f>A!C399</f>
        <v>Pontederia cordata</v>
      </c>
      <c r="E514" s="78"/>
      <c r="F514" s="78"/>
      <c r="G514" s="99" t="str">
        <f>A!N399</f>
        <v>pickeral weed</v>
      </c>
      <c r="H514" s="89" t="str">
        <f>A!Q399</f>
        <v>american native with handsome blue flowers</v>
      </c>
      <c r="I514" s="69">
        <f>A!M399</f>
        <v>1</v>
      </c>
      <c r="J514" s="202">
        <f>A!P399</f>
        <v>0</v>
      </c>
      <c r="K514" s="83">
        <f>IF(A!G399="y",1,0)</f>
        <v>1</v>
      </c>
      <c r="L514" s="83">
        <f>IF(A!H399="y",1,0)</f>
        <v>1</v>
      </c>
      <c r="M514" s="84" t="str">
        <f>IF(A!F399="y","NEW","")</f>
        <v/>
      </c>
      <c r="N514" s="85" t="str">
        <f>A!I399</f>
        <v>y</v>
      </c>
      <c r="O514" s="290" t="str">
        <f>A!O399</f>
        <v>2,3</v>
      </c>
      <c r="P514" s="541">
        <f>A!K399</f>
        <v>0</v>
      </c>
      <c r="Q514" s="541" t="str">
        <f>A!E399</f>
        <v>y</v>
      </c>
      <c r="R514" s="541" t="s">
        <v>111</v>
      </c>
      <c r="S514" s="541">
        <f t="shared" si="202"/>
        <v>0</v>
      </c>
      <c r="T514" s="541" t="str">
        <f>A!R399</f>
        <v>x1</v>
      </c>
      <c r="U514" s="541" t="str">
        <f>A!S399</f>
        <v/>
      </c>
      <c r="V514" s="541">
        <f>A!T399</f>
        <v>8.3333333333333329E-2</v>
      </c>
      <c r="W514" s="541">
        <f t="shared" si="190"/>
        <v>0</v>
      </c>
      <c r="X514" s="541"/>
    </row>
    <row r="515" spans="1:24" ht="11.25" hidden="1" customHeight="1" x14ac:dyDescent="0.25">
      <c r="A515" s="121" t="str">
        <f>IF(S515=0,"",COUNTIF(A$23:A514,"&gt;0")+1)</f>
        <v/>
      </c>
      <c r="B515" s="351"/>
      <c r="C515" s="76" t="str">
        <f t="shared" si="201"/>
        <v>x1</v>
      </c>
      <c r="D515" s="98" t="str">
        <f>A!C400</f>
        <v>Pontederia lanceolata</v>
      </c>
      <c r="E515" s="78"/>
      <c r="F515" s="78"/>
      <c r="G515" s="99" t="str">
        <f>A!N400</f>
        <v>pickeral weed</v>
      </c>
      <c r="H515" s="89" t="str">
        <f>A!Q400</f>
        <v>blue  poker-like flowers overlance shaped leaves</v>
      </c>
      <c r="I515" s="69">
        <f>A!M400</f>
        <v>1</v>
      </c>
      <c r="J515" s="202">
        <f>A!P400</f>
        <v>0</v>
      </c>
      <c r="K515" s="83">
        <f>IF(A!G400="y",1,0)</f>
        <v>0</v>
      </c>
      <c r="L515" s="83">
        <f>IF(A!H400="y",1,0)</f>
        <v>0</v>
      </c>
      <c r="M515" s="84" t="str">
        <f>IF(A!F400="y","NEW","")</f>
        <v/>
      </c>
      <c r="N515" s="85">
        <f>A!I400</f>
        <v>0</v>
      </c>
      <c r="O515" s="290" t="str">
        <f>A!O400</f>
        <v>2,3</v>
      </c>
      <c r="P515" s="541">
        <f>A!K400</f>
        <v>0</v>
      </c>
      <c r="Q515" s="541">
        <f>A!E400</f>
        <v>0</v>
      </c>
      <c r="R515" s="541" t="s">
        <v>111</v>
      </c>
      <c r="S515" s="541">
        <f t="shared" si="202"/>
        <v>0</v>
      </c>
      <c r="T515" s="541" t="str">
        <f>A!R400</f>
        <v>x1</v>
      </c>
      <c r="U515" s="541" t="str">
        <f>A!S400</f>
        <v/>
      </c>
      <c r="V515" s="541">
        <f>A!T400</f>
        <v>8.3333333333333329E-2</v>
      </c>
      <c r="W515" s="541">
        <f t="shared" si="190"/>
        <v>0</v>
      </c>
      <c r="X515" s="541"/>
    </row>
    <row r="516" spans="1:24" ht="11.25" customHeight="1" x14ac:dyDescent="0.25">
      <c r="A516" s="121" t="str">
        <f>IF(S516=0,"",COUNTIF(A$23:A515,"&gt;0")+1)</f>
        <v/>
      </c>
      <c r="B516" s="351"/>
      <c r="C516" s="76" t="str">
        <f t="shared" ref="C516" si="220">T516</f>
        <v>x1</v>
      </c>
      <c r="D516" s="98" t="s">
        <v>337</v>
      </c>
      <c r="E516" s="78"/>
      <c r="F516" s="78"/>
      <c r="G516" s="99" t="str">
        <f>A!N401</f>
        <v>water spearmint</v>
      </c>
      <c r="H516" s="89" t="str">
        <f>A!Q401</f>
        <v>attractive lilac flowers and strongly scented foliage</v>
      </c>
      <c r="I516" s="69">
        <f>A!M401</f>
        <v>2</v>
      </c>
      <c r="J516" s="202">
        <f>A!P401</f>
        <v>0</v>
      </c>
      <c r="K516" s="83">
        <f>IF(A!G401="y",1,0)</f>
        <v>1</v>
      </c>
      <c r="L516" s="83">
        <f>IF(A!H401="y",1,0)</f>
        <v>0</v>
      </c>
      <c r="M516" s="84" t="str">
        <f>IF(A!F401="y","NEW","")</f>
        <v/>
      </c>
      <c r="N516" s="85">
        <f>A!I401</f>
        <v>0</v>
      </c>
      <c r="O516" s="290">
        <f>A!O401</f>
        <v>2</v>
      </c>
      <c r="P516" s="541" t="str">
        <f>A!K401</f>
        <v>S</v>
      </c>
      <c r="Q516" s="541" t="str">
        <f>A!E401</f>
        <v>y</v>
      </c>
      <c r="R516" s="541" t="s">
        <v>111</v>
      </c>
      <c r="S516" s="541">
        <f t="shared" ref="S516" si="221">B516</f>
        <v>0</v>
      </c>
      <c r="T516" s="541" t="str">
        <f>A!R401</f>
        <v>x1</v>
      </c>
      <c r="U516" s="541">
        <f>A!S401</f>
        <v>30</v>
      </c>
      <c r="V516" s="541">
        <f>A!T401</f>
        <v>8.3333333333333329E-2</v>
      </c>
      <c r="W516" s="541">
        <f t="shared" si="190"/>
        <v>0</v>
      </c>
      <c r="X516" s="541"/>
    </row>
    <row r="517" spans="1:24" ht="11.25" hidden="1" customHeight="1" x14ac:dyDescent="0.25">
      <c r="A517" s="121" t="str">
        <f>IF(S517=0,"",COUNTIF(A$23:A516,"&gt;0")+1)</f>
        <v/>
      </c>
      <c r="B517" s="351"/>
      <c r="C517" s="76" t="str">
        <f t="shared" si="201"/>
        <v>x1</v>
      </c>
      <c r="D517" s="98" t="str">
        <f>A!C402</f>
        <v>Ranunculus Flammula</v>
      </c>
      <c r="E517" s="78"/>
      <c r="F517" s="78"/>
      <c r="G517" s="99" t="str">
        <f>A!N402</f>
        <v>lesser spearwort</v>
      </c>
      <c r="H517" s="89" t="str">
        <f>A!Q402</f>
        <v>wonderful little yellow buttercup flowers</v>
      </c>
      <c r="I517" s="69">
        <f>A!M402</f>
        <v>1</v>
      </c>
      <c r="J517" s="202">
        <f>A!P402</f>
        <v>0</v>
      </c>
      <c r="K517" s="83">
        <f>IF(A!G402="y",1,0)</f>
        <v>0</v>
      </c>
      <c r="L517" s="83">
        <f>IF(A!H402="y",1,0)</f>
        <v>0</v>
      </c>
      <c r="M517" s="84" t="str">
        <f>IF(A!F402="y","NEW","")</f>
        <v/>
      </c>
      <c r="N517" s="85">
        <f>A!I402</f>
        <v>0</v>
      </c>
      <c r="O517" s="290">
        <f>A!O402</f>
        <v>2</v>
      </c>
      <c r="P517" s="541">
        <f>A!K402</f>
        <v>0</v>
      </c>
      <c r="Q517" s="541">
        <f>A!E402</f>
        <v>0</v>
      </c>
      <c r="R517" s="541" t="s">
        <v>111</v>
      </c>
      <c r="S517" s="541">
        <f t="shared" si="202"/>
        <v>0</v>
      </c>
      <c r="T517" s="541" t="str">
        <f>A!R402</f>
        <v>x1</v>
      </c>
      <c r="U517" s="541" t="str">
        <f>A!S402</f>
        <v/>
      </c>
      <c r="V517" s="541">
        <f>A!T402</f>
        <v>8.3333333333333329E-2</v>
      </c>
      <c r="W517" s="541">
        <f t="shared" si="190"/>
        <v>0</v>
      </c>
      <c r="X517" s="541"/>
    </row>
    <row r="518" spans="1:24" ht="11.25" hidden="1" customHeight="1" x14ac:dyDescent="0.25">
      <c r="A518" s="121" t="str">
        <f>IF(S518=0,"",COUNTIF(A$23:A517,"&gt;0")+1)</f>
        <v/>
      </c>
      <c r="B518" s="351"/>
      <c r="C518" s="76" t="str">
        <f t="shared" ref="C518:C527" si="222">T518</f>
        <v>x1</v>
      </c>
      <c r="D518" s="98" t="str">
        <f>A!C403</f>
        <v>Rumex Hydrolapathum</v>
      </c>
      <c r="E518" s="78"/>
      <c r="F518" s="78"/>
      <c r="G518" s="99" t="str">
        <f>A!N403</f>
        <v>great water dock</v>
      </c>
      <c r="H518" s="89" t="str">
        <f>A!Q403</f>
        <v>this native also hearalds from Europe and Asia</v>
      </c>
      <c r="I518" s="69">
        <f>A!M403</f>
        <v>3</v>
      </c>
      <c r="J518" s="202" t="str">
        <f>A!P403</f>
        <v>Yes</v>
      </c>
      <c r="K518" s="83">
        <f>IF(A!G403="y",1,0)</f>
        <v>0</v>
      </c>
      <c r="L518" s="83">
        <f>IF(A!H403="y",1,0)</f>
        <v>0</v>
      </c>
      <c r="M518" s="84" t="str">
        <f>IF(A!F403="y","NEW","")</f>
        <v/>
      </c>
      <c r="N518" s="85">
        <f>A!I403</f>
        <v>0</v>
      </c>
      <c r="O518" s="290">
        <f>A!O403</f>
        <v>1</v>
      </c>
      <c r="P518" s="541" t="str">
        <f>A!K403</f>
        <v>M</v>
      </c>
      <c r="Q518" s="541">
        <f>A!E403</f>
        <v>0</v>
      </c>
      <c r="R518" s="541" t="s">
        <v>111</v>
      </c>
      <c r="S518" s="541">
        <f t="shared" ref="S518:S527" si="223">B518</f>
        <v>0</v>
      </c>
      <c r="T518" s="541" t="str">
        <f>A!R403</f>
        <v>x1</v>
      </c>
      <c r="U518" s="541">
        <f>A!S403</f>
        <v>45</v>
      </c>
      <c r="V518" s="541">
        <f>A!T403</f>
        <v>8.3333333333333329E-2</v>
      </c>
      <c r="W518" s="541">
        <f t="shared" si="190"/>
        <v>0</v>
      </c>
      <c r="X518" s="541"/>
    </row>
    <row r="519" spans="1:24" ht="11.25" hidden="1" customHeight="1" x14ac:dyDescent="0.25">
      <c r="A519" s="121" t="str">
        <f>IF(S519=0,"",COUNTIF(A$23:A518,"&gt;0")+1)</f>
        <v/>
      </c>
      <c r="B519" s="351"/>
      <c r="C519" s="76" t="str">
        <f t="shared" si="222"/>
        <v>x1</v>
      </c>
      <c r="D519" s="98" t="str">
        <f>A!C404</f>
        <v>Sagittaria latifolia</v>
      </c>
      <c r="E519" s="78"/>
      <c r="F519" s="78"/>
      <c r="G519" s="99" t="str">
        <f>A!N404</f>
        <v>arrowhead</v>
      </c>
      <c r="H519" s="89" t="str">
        <f>A!Q404</f>
        <v>emergant plant with broadleaf arrowhead leaves</v>
      </c>
      <c r="I519" s="69">
        <f>A!M404</f>
        <v>2</v>
      </c>
      <c r="J519" s="202">
        <f>A!P404</f>
        <v>0</v>
      </c>
      <c r="K519" s="83">
        <f>IF(A!G404="y",1,0)</f>
        <v>0</v>
      </c>
      <c r="L519" s="83">
        <f>IF(A!H404="y",1,0)</f>
        <v>0</v>
      </c>
      <c r="M519" s="84" t="str">
        <f>IF(A!F404="y","NEW","")</f>
        <v/>
      </c>
      <c r="N519" s="85">
        <f>A!I404</f>
        <v>0</v>
      </c>
      <c r="O519" s="290">
        <f>A!O404</f>
        <v>2</v>
      </c>
      <c r="P519" s="541">
        <f>A!K404</f>
        <v>0</v>
      </c>
      <c r="Q519" s="541">
        <f>A!E404</f>
        <v>0</v>
      </c>
      <c r="R519" s="541" t="s">
        <v>111</v>
      </c>
      <c r="S519" s="541">
        <f t="shared" si="223"/>
        <v>0</v>
      </c>
      <c r="T519" s="541" t="str">
        <f>A!R404</f>
        <v>x1</v>
      </c>
      <c r="U519" s="541" t="str">
        <f>A!S404</f>
        <v/>
      </c>
      <c r="V519" s="541">
        <f>A!T404</f>
        <v>8.3333333333333329E-2</v>
      </c>
      <c r="W519" s="541">
        <f t="shared" si="190"/>
        <v>0</v>
      </c>
      <c r="X519" s="541"/>
    </row>
    <row r="520" spans="1:24" ht="11.25" customHeight="1" x14ac:dyDescent="0.25">
      <c r="A520" s="121" t="str">
        <f>IF(S520=0,"",COUNTIF(A$23:A519,"&gt;0")+1)</f>
        <v/>
      </c>
      <c r="B520" s="351"/>
      <c r="C520" s="76" t="str">
        <f t="shared" si="222"/>
        <v>x1</v>
      </c>
      <c r="D520" s="98" t="str">
        <f>A!C405</f>
        <v>Scirpus Zebrinus</v>
      </c>
      <c r="E520" s="78"/>
      <c r="F520" s="78"/>
      <c r="G520" s="99" t="str">
        <f>A!N405</f>
        <v>zebra rush</v>
      </c>
      <c r="H520" s="89" t="str">
        <f>A!Q405</f>
        <v>striking green and creamy-white horizontally banded stems</v>
      </c>
      <c r="I520" s="69">
        <f>A!M405</f>
        <v>1</v>
      </c>
      <c r="J520" s="202">
        <f>A!P405</f>
        <v>0</v>
      </c>
      <c r="K520" s="83">
        <f>IF(A!G405="y",1,0)</f>
        <v>1</v>
      </c>
      <c r="L520" s="83">
        <f>IF(A!H405="y",1,0)</f>
        <v>1</v>
      </c>
      <c r="M520" s="84" t="str">
        <f>IF(A!F405="y","NEW","")</f>
        <v/>
      </c>
      <c r="N520" s="85">
        <f>A!I405</f>
        <v>0</v>
      </c>
      <c r="O520" s="290" t="str">
        <f>A!O405</f>
        <v>2,3</v>
      </c>
      <c r="P520" s="541" t="str">
        <f>A!K405</f>
        <v>M</v>
      </c>
      <c r="Q520" s="541" t="str">
        <f>A!E405</f>
        <v>Y</v>
      </c>
      <c r="R520" s="541" t="s">
        <v>111</v>
      </c>
      <c r="S520" s="541">
        <f t="shared" si="223"/>
        <v>0</v>
      </c>
      <c r="T520" s="541" t="str">
        <f>A!R405</f>
        <v>x1</v>
      </c>
      <c r="U520" s="541">
        <f>A!S405</f>
        <v>45</v>
      </c>
      <c r="V520" s="541">
        <f>A!T405</f>
        <v>8.3333333333333329E-2</v>
      </c>
      <c r="W520" s="541">
        <f t="shared" si="190"/>
        <v>0</v>
      </c>
      <c r="X520" s="541"/>
    </row>
    <row r="521" spans="1:24" ht="11.25" hidden="1" customHeight="1" x14ac:dyDescent="0.25">
      <c r="A521" s="121" t="str">
        <f>IF(S521=0,"",COUNTIF(A$23:A520,"&gt;0")+1)</f>
        <v/>
      </c>
      <c r="B521" s="351"/>
      <c r="C521" s="76" t="str">
        <f t="shared" si="222"/>
        <v>x1</v>
      </c>
      <c r="D521" s="98" t="str">
        <f>A!C406</f>
        <v xml:space="preserve">Thalia dealbata </v>
      </c>
      <c r="E521" s="78"/>
      <c r="F521" s="78"/>
      <c r="G521" s="99" t="str">
        <f>A!N406</f>
        <v>alligator flag</v>
      </c>
      <c r="H521" s="89" t="str">
        <f>A!Q406</f>
        <v xml:space="preserve">native to swamps and ponds in southern USA </v>
      </c>
      <c r="I521" s="69">
        <f>A!M406</f>
        <v>1</v>
      </c>
      <c r="J521" s="202">
        <f>A!P406</f>
        <v>0</v>
      </c>
      <c r="K521" s="83">
        <f>IF(A!G406="y",1,0)</f>
        <v>0</v>
      </c>
      <c r="L521" s="83">
        <f>IF(A!H406="y",1,0)</f>
        <v>0</v>
      </c>
      <c r="M521" s="84" t="str">
        <f>IF(A!F406="y","NEW","")</f>
        <v/>
      </c>
      <c r="N521" s="85">
        <f>A!I406</f>
        <v>0</v>
      </c>
      <c r="O521" s="290" t="str">
        <f>A!O406</f>
        <v>2,3</v>
      </c>
      <c r="P521" s="541">
        <f>A!K406</f>
        <v>0</v>
      </c>
      <c r="Q521" s="541">
        <f>A!E406</f>
        <v>0</v>
      </c>
      <c r="R521" s="541" t="s">
        <v>111</v>
      </c>
      <c r="S521" s="541">
        <f t="shared" si="223"/>
        <v>0</v>
      </c>
      <c r="T521" s="541" t="str">
        <f>A!R406</f>
        <v>x1</v>
      </c>
      <c r="U521" s="541" t="str">
        <f>A!S406</f>
        <v/>
      </c>
      <c r="V521" s="541">
        <f>A!T406</f>
        <v>8.3333333333333329E-2</v>
      </c>
      <c r="W521" s="541">
        <f t="shared" si="190"/>
        <v>0</v>
      </c>
      <c r="X521" s="541"/>
    </row>
    <row r="522" spans="1:24" ht="11.25" customHeight="1" x14ac:dyDescent="0.25">
      <c r="A522" s="121" t="str">
        <f>IF(S522=0,"",COUNTIF(A$23:A521,"&gt;0")+1)</f>
        <v/>
      </c>
      <c r="B522" s="351"/>
      <c r="C522" s="76" t="str">
        <f t="shared" si="222"/>
        <v>x1</v>
      </c>
      <c r="D522" s="98" t="str">
        <f>A!C407</f>
        <v>Typha Angustifolia</v>
      </c>
      <c r="E522" s="78"/>
      <c r="F522" s="78"/>
      <c r="G522" s="99" t="str">
        <f>A!N407</f>
        <v>lesser reedmace</v>
      </c>
      <c r="H522" s="89" t="str">
        <f>A!Q407</f>
        <v>often wrongly named lesser bulrush</v>
      </c>
      <c r="I522" s="69">
        <f>A!M407</f>
        <v>2</v>
      </c>
      <c r="J522" s="202">
        <f>A!P407</f>
        <v>0</v>
      </c>
      <c r="K522" s="83">
        <f>IF(A!G407="y",1,0)</f>
        <v>0</v>
      </c>
      <c r="L522" s="83">
        <f>IF(A!H407="y",1,0)</f>
        <v>0</v>
      </c>
      <c r="M522" s="84" t="str">
        <f>IF(A!F407="y","NEW","")</f>
        <v/>
      </c>
      <c r="N522" s="85">
        <f>A!I407</f>
        <v>0</v>
      </c>
      <c r="O522" s="290" t="str">
        <f>A!O407</f>
        <v>2,3</v>
      </c>
      <c r="P522" s="541" t="str">
        <f>A!K407</f>
        <v>L</v>
      </c>
      <c r="Q522" s="541" t="str">
        <f>A!E407</f>
        <v>y</v>
      </c>
      <c r="R522" s="541" t="s">
        <v>111</v>
      </c>
      <c r="S522" s="541">
        <f t="shared" si="223"/>
        <v>0</v>
      </c>
      <c r="T522" s="541" t="str">
        <f>A!R407</f>
        <v>x1</v>
      </c>
      <c r="U522" s="541">
        <f>A!S407</f>
        <v>60</v>
      </c>
      <c r="V522" s="541">
        <f>A!T407</f>
        <v>8.3333333333333329E-2</v>
      </c>
      <c r="W522" s="541">
        <f t="shared" si="190"/>
        <v>0</v>
      </c>
      <c r="X522" s="541"/>
    </row>
    <row r="523" spans="1:24" ht="11.25" hidden="1" customHeight="1" x14ac:dyDescent="0.25">
      <c r="A523" s="121" t="str">
        <f>IF(S523=0,"",COUNTIF(A$23:A522,"&gt;0")+1)</f>
        <v/>
      </c>
      <c r="B523" s="351"/>
      <c r="C523" s="76" t="str">
        <f t="shared" si="222"/>
        <v>x1</v>
      </c>
      <c r="D523" s="98" t="str">
        <f>A!C408</f>
        <v>Typha Latifolia</v>
      </c>
      <c r="E523" s="78" t="s">
        <v>1381</v>
      </c>
      <c r="F523" s="78"/>
      <c r="G523" s="99" t="s">
        <v>1029</v>
      </c>
      <c r="H523" s="89" t="str">
        <f>A!Q408</f>
        <v>incorrectly named bullrush, large specimen</v>
      </c>
      <c r="I523" s="69">
        <f>A!M408</f>
        <v>2</v>
      </c>
      <c r="J523" s="202">
        <f>A!P408</f>
        <v>0</v>
      </c>
      <c r="K523" s="83">
        <f>IF(A!G408="y",1,0)</f>
        <v>0</v>
      </c>
      <c r="L523" s="83">
        <f>IF(A!H408="y",1,0)</f>
        <v>0</v>
      </c>
      <c r="M523" s="84" t="str">
        <f>IF(A!F408="y","NEW","")</f>
        <v/>
      </c>
      <c r="N523" s="85">
        <f>A!I408</f>
        <v>0</v>
      </c>
      <c r="O523" s="290" t="str">
        <f>A!O408</f>
        <v>2,3</v>
      </c>
      <c r="P523" s="541" t="str">
        <f>A!K408</f>
        <v>M</v>
      </c>
      <c r="Q523" s="541">
        <f>A!E408</f>
        <v>0</v>
      </c>
      <c r="R523" s="541" t="s">
        <v>111</v>
      </c>
      <c r="S523" s="541">
        <f t="shared" si="223"/>
        <v>0</v>
      </c>
      <c r="T523" s="541" t="str">
        <f>A!R408</f>
        <v>x1</v>
      </c>
      <c r="U523" s="541">
        <f>A!S408</f>
        <v>45</v>
      </c>
      <c r="V523" s="541">
        <f>A!T408</f>
        <v>8.3333333333333329E-2</v>
      </c>
      <c r="W523" s="541">
        <f t="shared" si="190"/>
        <v>0</v>
      </c>
      <c r="X523" s="541"/>
    </row>
    <row r="524" spans="1:24" ht="11.25" hidden="1" customHeight="1" x14ac:dyDescent="0.25">
      <c r="A524" s="121" t="str">
        <f>IF(S524=0,"",COUNTIF(A$23:A523,"&gt;0")+1)</f>
        <v/>
      </c>
      <c r="B524" s="351"/>
      <c r="C524" s="76" t="str">
        <f t="shared" si="222"/>
        <v>x1</v>
      </c>
      <c r="D524" s="98" t="str">
        <f>A!C409</f>
        <v>Typha laxmanii</v>
      </c>
      <c r="E524" s="78"/>
      <c r="F524" s="78"/>
      <c r="G524" s="99" t="str">
        <f>A!N409</f>
        <v>slender reedmace</v>
      </c>
      <c r="H524" s="89" t="str">
        <f>A!Q409</f>
        <v>probably the most elegant of the reedmace family</v>
      </c>
      <c r="I524" s="69">
        <f>A!M409</f>
        <v>2</v>
      </c>
      <c r="J524" s="202">
        <f>A!P409</f>
        <v>0</v>
      </c>
      <c r="K524" s="83">
        <f>IF(A!G409="y",1,0)</f>
        <v>0</v>
      </c>
      <c r="L524" s="83">
        <f>IF(A!H409="y",1,0)</f>
        <v>0</v>
      </c>
      <c r="M524" s="84" t="str">
        <f>IF(A!F409="y","NEW","")</f>
        <v/>
      </c>
      <c r="N524" s="85">
        <f>A!I409</f>
        <v>0</v>
      </c>
      <c r="O524" s="290" t="str">
        <f>A!O409</f>
        <v>2,3</v>
      </c>
      <c r="P524" s="541">
        <f>A!K409</f>
        <v>0</v>
      </c>
      <c r="Q524" s="541">
        <f>A!E409</f>
        <v>0</v>
      </c>
      <c r="R524" s="541" t="s">
        <v>111</v>
      </c>
      <c r="S524" s="541">
        <f t="shared" si="223"/>
        <v>0</v>
      </c>
      <c r="T524" s="541" t="str">
        <f>A!R409</f>
        <v>x1</v>
      </c>
      <c r="U524" s="541" t="str">
        <f>A!S409</f>
        <v/>
      </c>
      <c r="V524" s="541">
        <f>A!T409</f>
        <v>8.3333333333333329E-2</v>
      </c>
      <c r="W524" s="541">
        <f t="shared" si="190"/>
        <v>0</v>
      </c>
      <c r="X524" s="541"/>
    </row>
    <row r="525" spans="1:24" ht="11.25" customHeight="1" x14ac:dyDescent="0.25">
      <c r="A525" s="121" t="str">
        <f>IF(S525=0,"",COUNTIF(A$23:A524,"&gt;0")+1)</f>
        <v/>
      </c>
      <c r="B525" s="351"/>
      <c r="C525" s="76" t="str">
        <f t="shared" si="222"/>
        <v>x1</v>
      </c>
      <c r="D525" s="98" t="str">
        <f>A!C410</f>
        <v>Typha minima</v>
      </c>
      <c r="E525" s="78"/>
      <c r="F525" s="78"/>
      <c r="G525" s="99" t="str">
        <f>A!N410</f>
        <v>dwarf reedmace</v>
      </c>
      <c r="H525" s="87" t="str">
        <f>A!Q410</f>
        <v>the most delicate of the reedmace, ideal for features</v>
      </c>
      <c r="I525" s="69">
        <f>A!M410</f>
        <v>2</v>
      </c>
      <c r="J525" s="202">
        <f>A!P410</f>
        <v>0</v>
      </c>
      <c r="K525" s="83">
        <f>IF(A!G410="y",1,0)</f>
        <v>1</v>
      </c>
      <c r="L525" s="83">
        <f>IF(A!H410="y",1,0)</f>
        <v>0</v>
      </c>
      <c r="M525" s="84" t="str">
        <f>IF(A!F410="y","NEW","")</f>
        <v/>
      </c>
      <c r="N525" s="85">
        <f>A!I410</f>
        <v>0</v>
      </c>
      <c r="O525" s="290">
        <f>A!O410</f>
        <v>2</v>
      </c>
      <c r="P525" s="541" t="str">
        <f>A!K410</f>
        <v>L</v>
      </c>
      <c r="Q525" s="541" t="str">
        <f>A!E410</f>
        <v>y</v>
      </c>
      <c r="R525" s="541" t="s">
        <v>111</v>
      </c>
      <c r="S525" s="541">
        <f t="shared" si="223"/>
        <v>0</v>
      </c>
      <c r="T525" s="541" t="str">
        <f>A!R410</f>
        <v>x1</v>
      </c>
      <c r="U525" s="541">
        <f>A!S410</f>
        <v>60</v>
      </c>
      <c r="V525" s="541">
        <f>A!T410</f>
        <v>8.3333333333333329E-2</v>
      </c>
      <c r="W525" s="541">
        <f t="shared" si="190"/>
        <v>0</v>
      </c>
      <c r="X525" s="541"/>
    </row>
    <row r="526" spans="1:24" ht="11.25" customHeight="1" thickBot="1" x14ac:dyDescent="0.3">
      <c r="A526" s="121" t="str">
        <f>IF(S526=0,"",COUNTIF(A$23:A525,"&gt;0")+1)</f>
        <v/>
      </c>
      <c r="B526" s="568"/>
      <c r="C526" s="569" t="str">
        <f t="shared" si="222"/>
        <v>x1</v>
      </c>
      <c r="D526" s="570" t="str">
        <f>A!C411</f>
        <v>Veronica Beccabunga</v>
      </c>
      <c r="E526" s="571"/>
      <c r="F526" s="571"/>
      <c r="G526" s="572" t="str">
        <f>A!N411</f>
        <v>brooklime</v>
      </c>
      <c r="H526" s="573" t="str">
        <f>A!Q411</f>
        <v>a real functional native, great for all ponds</v>
      </c>
      <c r="I526" s="574">
        <f>A!M411</f>
        <v>1</v>
      </c>
      <c r="J526" s="575" t="str">
        <f>A!P411</f>
        <v>Yes</v>
      </c>
      <c r="K526" s="576">
        <f>IF(A!G411="y",1,0)</f>
        <v>1</v>
      </c>
      <c r="L526" s="576">
        <f>IF(A!H411="y",1,0)</f>
        <v>0</v>
      </c>
      <c r="M526" s="577" t="str">
        <f>IF(A!F411="y","NEW","")</f>
        <v/>
      </c>
      <c r="N526" s="578">
        <f>A!I411</f>
        <v>0</v>
      </c>
      <c r="O526" s="579" t="str">
        <f>A!O411</f>
        <v>1,2</v>
      </c>
      <c r="P526" s="541"/>
      <c r="Q526" s="541" t="str">
        <f>A!E411</f>
        <v>y</v>
      </c>
      <c r="R526" s="541" t="s">
        <v>111</v>
      </c>
      <c r="S526" s="541">
        <f t="shared" si="223"/>
        <v>0</v>
      </c>
      <c r="T526" s="541" t="str">
        <f>A!R411</f>
        <v>x1</v>
      </c>
      <c r="U526" s="541">
        <f>A!S411</f>
        <v>30</v>
      </c>
      <c r="V526" s="541">
        <f>A!T411</f>
        <v>8.3333333333333329E-2</v>
      </c>
      <c r="W526" s="541">
        <f t="shared" si="190"/>
        <v>0</v>
      </c>
      <c r="X526" s="541"/>
    </row>
    <row r="527" spans="1:24" ht="11.25" hidden="1" customHeight="1" x14ac:dyDescent="0.25">
      <c r="A527" s="121" t="str">
        <f>IF(S527=0,"",COUNTIF(A$23:A526,"&gt;0")+1)</f>
        <v/>
      </c>
      <c r="B527" s="118"/>
      <c r="C527" s="128" t="str">
        <f t="shared" si="222"/>
        <v>x1</v>
      </c>
      <c r="D527" s="119" t="str">
        <f>A!C412</f>
        <v>Zantedeschia aethiopica</v>
      </c>
      <c r="E527" s="113"/>
      <c r="F527" s="113"/>
      <c r="G527" s="197" t="str">
        <f>A!N412</f>
        <v>arum lily</v>
      </c>
      <c r="H527" s="129" t="str">
        <f>A!Q412</f>
        <v>wonderful funnel-shaped white spathe-like flowers</v>
      </c>
      <c r="I527" s="130">
        <f>A!M412</f>
        <v>1</v>
      </c>
      <c r="J527" s="203">
        <f>A!P412</f>
        <v>0</v>
      </c>
      <c r="K527" s="131">
        <f>IF(A!G412="y",1,0)</f>
        <v>0</v>
      </c>
      <c r="L527" s="131">
        <f>IF(A!H412="y",1,0)</f>
        <v>0</v>
      </c>
      <c r="M527" s="132" t="str">
        <f>IF(A!F412="y","NEW","")</f>
        <v/>
      </c>
      <c r="N527" s="133">
        <f>A!I412</f>
        <v>0</v>
      </c>
      <c r="O527" s="134" t="str">
        <f>A!O412</f>
        <v>1,2</v>
      </c>
      <c r="P527" s="541"/>
      <c r="Q527" s="541">
        <f>A!E412</f>
        <v>0</v>
      </c>
      <c r="R527" s="541" t="s">
        <v>111</v>
      </c>
      <c r="S527" s="541">
        <f t="shared" si="223"/>
        <v>0</v>
      </c>
      <c r="T527" s="541" t="str">
        <f>A!R412</f>
        <v>x1</v>
      </c>
      <c r="U527" s="541" t="str">
        <f>A!S412</f>
        <v/>
      </c>
      <c r="V527" s="541">
        <f>A!T412</f>
        <v>8.3333333333333329E-2</v>
      </c>
      <c r="W527" s="541">
        <f t="shared" si="190"/>
        <v>0</v>
      </c>
      <c r="X527" s="541"/>
    </row>
    <row r="528" spans="1:24" ht="10.5" customHeight="1" x14ac:dyDescent="0.25">
      <c r="A528" s="121" t="str">
        <f>IF(S528=0,"",COUNTIF(A$23:A527,"&gt;0")+1)</f>
        <v/>
      </c>
      <c r="B528" s="124">
        <f>SUM(B465:B527)</f>
        <v>0</v>
      </c>
      <c r="C528" s="124"/>
      <c r="D528" s="93" t="s">
        <v>1359</v>
      </c>
      <c r="E528" s="56"/>
      <c r="F528" s="56"/>
      <c r="G528" s="56"/>
      <c r="H528" s="56"/>
      <c r="I528" s="56"/>
      <c r="J528" s="200"/>
      <c r="K528" s="56"/>
      <c r="L528" s="56"/>
      <c r="M528" s="58"/>
      <c r="N528" s="56"/>
      <c r="O528" s="96"/>
      <c r="P528" s="541"/>
      <c r="Q528" s="541"/>
      <c r="R528" s="541" t="s">
        <v>111</v>
      </c>
      <c r="S528" s="541">
        <f t="shared" si="189"/>
        <v>0</v>
      </c>
      <c r="T528" s="541" t="s">
        <v>548</v>
      </c>
      <c r="U528" s="541"/>
      <c r="V528" s="541"/>
      <c r="W528" s="541"/>
      <c r="X528" s="541"/>
    </row>
    <row r="529" spans="1:24" ht="5.25" customHeight="1" thickBot="1" x14ac:dyDescent="0.3">
      <c r="A529" s="121" t="str">
        <f>IF(S529=0,"",COUNTIF(A$23:A528,"&gt;0")+1)</f>
        <v/>
      </c>
      <c r="P529" s="541"/>
      <c r="Q529" s="541"/>
      <c r="R529" s="541"/>
      <c r="S529" s="541"/>
      <c r="T529" s="541"/>
      <c r="U529" s="541"/>
      <c r="V529" s="541"/>
      <c r="W529" s="541"/>
      <c r="X529" s="541"/>
    </row>
    <row r="530" spans="1:24" ht="9" customHeight="1" x14ac:dyDescent="0.25">
      <c r="A530" s="121" t="str">
        <f>IF(S530=0,"",COUNTIF(A$23:A529,"&gt;0")+1)</f>
        <v/>
      </c>
      <c r="B530" s="955" t="s">
        <v>115</v>
      </c>
      <c r="C530" s="956"/>
      <c r="D530" s="910" t="s">
        <v>1290</v>
      </c>
      <c r="E530" s="911"/>
      <c r="F530" s="911"/>
      <c r="G530" s="911"/>
      <c r="H530" s="911"/>
      <c r="I530" s="932" t="s">
        <v>1254</v>
      </c>
      <c r="J530" s="932"/>
      <c r="K530" s="932"/>
      <c r="L530" s="932"/>
      <c r="M530" s="932"/>
      <c r="N530" s="932"/>
      <c r="O530" s="933"/>
      <c r="P530" s="541"/>
      <c r="Q530" s="541"/>
      <c r="R530" s="541"/>
      <c r="S530" s="541"/>
      <c r="T530" s="541"/>
      <c r="U530" s="541"/>
      <c r="V530" s="541"/>
      <c r="W530" s="541"/>
      <c r="X530" s="541"/>
    </row>
    <row r="531" spans="1:24" ht="9" customHeight="1" thickBot="1" x14ac:dyDescent="0.3">
      <c r="A531" s="121" t="str">
        <f>IF(S531=0,"",COUNTIF(A$23:A530,"&gt;0")+1)</f>
        <v/>
      </c>
      <c r="B531" s="1020" t="s">
        <v>210</v>
      </c>
      <c r="C531" s="1021"/>
      <c r="D531" s="912"/>
      <c r="E531" s="913"/>
      <c r="F531" s="913"/>
      <c r="G531" s="913"/>
      <c r="H531" s="913"/>
      <c r="I531" s="552" t="s">
        <v>114</v>
      </c>
      <c r="J531" s="553"/>
      <c r="K531" s="554"/>
      <c r="L531" s="554"/>
      <c r="M531" s="552"/>
      <c r="N531" s="554"/>
      <c r="O531" s="555" t="s">
        <v>41</v>
      </c>
      <c r="P531" s="541"/>
      <c r="Q531" s="541"/>
      <c r="R531" s="541"/>
      <c r="S531" s="541"/>
      <c r="T531" s="541"/>
      <c r="U531" s="541"/>
      <c r="V531" s="541"/>
      <c r="W531" s="541"/>
      <c r="X531" s="541"/>
    </row>
    <row r="532" spans="1:24" ht="10.5" customHeight="1" x14ac:dyDescent="0.25">
      <c r="A532" s="121" t="str">
        <f>IF(S532=0,"",COUNTIF(A$23:A531,"&gt;0")+1)</f>
        <v/>
      </c>
      <c r="B532" s="556"/>
      <c r="C532" s="557" t="str">
        <f t="shared" ref="C532:C545" si="224">T532</f>
        <v>x1</v>
      </c>
      <c r="D532" s="558" t="str">
        <f>A!C435</f>
        <v>Assorted Marginals</v>
      </c>
      <c r="E532" s="559"/>
      <c r="F532" s="559"/>
      <c r="G532" s="560" t="str">
        <f>A!N435</f>
        <v>our selection</v>
      </c>
      <c r="H532" s="561" t="str">
        <f>A!Q435</f>
        <v>our choice, best plants available on the nursery</v>
      </c>
      <c r="I532" s="562"/>
      <c r="J532" s="563">
        <f>A!P435</f>
        <v>0</v>
      </c>
      <c r="K532" s="564">
        <f>IF(A!G435="y",1,0)</f>
        <v>1</v>
      </c>
      <c r="L532" s="564">
        <f>IF(A!H435="y",1,0)</f>
        <v>1</v>
      </c>
      <c r="M532" s="565" t="str">
        <f>IF(A!F435="y","NEW","")</f>
        <v/>
      </c>
      <c r="N532" s="600">
        <f>A!I435</f>
        <v>0</v>
      </c>
      <c r="O532" s="567" t="str">
        <f>A!O435</f>
        <v>1,2</v>
      </c>
      <c r="P532" s="541"/>
      <c r="Q532" s="541" t="str">
        <f>A!E435</f>
        <v>y</v>
      </c>
      <c r="R532" s="541" t="s">
        <v>809</v>
      </c>
      <c r="S532" s="541">
        <f t="shared" ref="S532:S546" si="225">B532</f>
        <v>0</v>
      </c>
      <c r="T532" s="541" t="str">
        <f>A!R435</f>
        <v>x1</v>
      </c>
      <c r="U532" s="541">
        <f>A!S435</f>
        <v>45</v>
      </c>
      <c r="V532" s="541">
        <f>A!T435</f>
        <v>0.1</v>
      </c>
      <c r="W532" s="541">
        <f t="shared" ref="W532:W534" si="226">V532*B532</f>
        <v>0</v>
      </c>
      <c r="X532" s="541"/>
    </row>
    <row r="533" spans="1:24" ht="10.5" hidden="1" customHeight="1" x14ac:dyDescent="0.25">
      <c r="A533" s="121" t="str">
        <f>IF(S533=0,"",COUNTIF(A$23:A532,"&gt;0")+1)</f>
        <v/>
      </c>
      <c r="B533" s="350"/>
      <c r="C533" s="128" t="str">
        <f t="shared" si="224"/>
        <v>x1</v>
      </c>
      <c r="D533" s="119" t="str">
        <f>A!C436</f>
        <v>Acorus gram. Variegata</v>
      </c>
      <c r="E533" s="113"/>
      <c r="F533" s="113"/>
      <c r="G533" s="197" t="str">
        <f>A!N436</f>
        <v>dwarf rush</v>
      </c>
      <c r="H533" s="129" t="str">
        <f>A!Q436</f>
        <v>evergreen green/cream variegated foliage</v>
      </c>
      <c r="I533" s="130">
        <f>A!M436</f>
        <v>2</v>
      </c>
      <c r="J533" s="203">
        <f>A!P436</f>
        <v>0</v>
      </c>
      <c r="K533" s="131">
        <f>IF(A!G436="y",1,0)</f>
        <v>0</v>
      </c>
      <c r="L533" s="131">
        <f>IF(A!H436="y",1,0)</f>
        <v>0</v>
      </c>
      <c r="M533" s="132" t="str">
        <f>IF(A!F436="y","NEW","")</f>
        <v/>
      </c>
      <c r="N533" s="133">
        <f>A!I436</f>
        <v>0</v>
      </c>
      <c r="O533" s="307" t="str">
        <f>A!O436</f>
        <v>1,2</v>
      </c>
      <c r="P533" s="541"/>
      <c r="Q533" s="541">
        <f>A!E436</f>
        <v>0</v>
      </c>
      <c r="R533" s="541" t="s">
        <v>809</v>
      </c>
      <c r="S533" s="541">
        <f t="shared" si="225"/>
        <v>0</v>
      </c>
      <c r="T533" s="541" t="str">
        <f>A!R436</f>
        <v>x1</v>
      </c>
      <c r="U533" s="541">
        <f>A!S436</f>
        <v>0</v>
      </c>
      <c r="V533" s="541">
        <f>A!T436</f>
        <v>0.1</v>
      </c>
      <c r="W533" s="541">
        <f t="shared" si="226"/>
        <v>0</v>
      </c>
      <c r="X533" s="541"/>
    </row>
    <row r="534" spans="1:24" ht="10.5" customHeight="1" x14ac:dyDescent="0.25">
      <c r="A534" s="121" t="str">
        <f>IF(S534=0,"",COUNTIF(A$23:A533,"&gt;0")+1)</f>
        <v/>
      </c>
      <c r="B534" s="351"/>
      <c r="C534" s="76" t="str">
        <f t="shared" ref="C534" si="227">T534</f>
        <v>x1</v>
      </c>
      <c r="D534" s="98" t="str">
        <f>A!C437</f>
        <v>Caltha Palustris</v>
      </c>
      <c r="E534" s="78"/>
      <c r="F534" s="78"/>
      <c r="G534" s="99" t="str">
        <f>A!N437</f>
        <v>marsh marigold</v>
      </c>
      <c r="H534" s="89" t="str">
        <f>A!Q437</f>
        <v>native marigold a must have for any pond</v>
      </c>
      <c r="I534" s="69">
        <f>A!M437</f>
        <v>1</v>
      </c>
      <c r="J534" s="202" t="str">
        <f>A!P437</f>
        <v>Yes</v>
      </c>
      <c r="K534" s="83">
        <f>IF(A!G437="y",1,0)</f>
        <v>1</v>
      </c>
      <c r="L534" s="83">
        <f>IF(A!H437="y",1,0)</f>
        <v>0</v>
      </c>
      <c r="M534" s="84" t="str">
        <f>IF(A!F437="y","NEW","")</f>
        <v/>
      </c>
      <c r="N534" s="85">
        <f>A!I437</f>
        <v>0</v>
      </c>
      <c r="O534" s="290" t="str">
        <f>A!O437</f>
        <v>1,2</v>
      </c>
      <c r="P534" s="541"/>
      <c r="Q534" s="541" t="str">
        <f>A!E437</f>
        <v>y</v>
      </c>
      <c r="R534" s="541" t="s">
        <v>809</v>
      </c>
      <c r="S534" s="541">
        <f t="shared" ref="S534" si="228">B534</f>
        <v>0</v>
      </c>
      <c r="T534" s="541" t="str">
        <f>A!R437</f>
        <v>x1</v>
      </c>
      <c r="U534" s="541">
        <f>A!S437</f>
        <v>45</v>
      </c>
      <c r="V534" s="541">
        <f>A!T437</f>
        <v>0.1</v>
      </c>
      <c r="W534" s="541">
        <f t="shared" si="226"/>
        <v>0</v>
      </c>
      <c r="X534" s="541"/>
    </row>
    <row r="535" spans="1:24" ht="10.5" hidden="1" customHeight="1" x14ac:dyDescent="0.25">
      <c r="A535" s="121" t="str">
        <f>IF(S535=0,"",COUNTIF(A$23:A534,"&gt;0")+1)</f>
        <v/>
      </c>
      <c r="B535" s="350"/>
      <c r="C535" s="128" t="str">
        <f t="shared" si="224"/>
        <v>x1</v>
      </c>
      <c r="D535" s="119" t="str">
        <f>A!C438</f>
        <v>Iris ensata</v>
      </c>
      <c r="E535" s="113"/>
      <c r="F535" s="113"/>
      <c r="G535" s="197" t="str">
        <f>A!N438</f>
        <v xml:space="preserve"> Japanese flag</v>
      </c>
      <c r="H535" s="129" t="str">
        <f>A!Q438</f>
        <v>one of the largest flowers of all aquatic irises, stunning</v>
      </c>
      <c r="I535" s="130">
        <f>A!M438</f>
        <v>2</v>
      </c>
      <c r="J535" s="203">
        <f>A!P438</f>
        <v>0</v>
      </c>
      <c r="K535" s="131">
        <f>IF(A!G438="y",1,0)</f>
        <v>0</v>
      </c>
      <c r="L535" s="131">
        <f>IF(A!H438="y",1,0)</f>
        <v>0</v>
      </c>
      <c r="M535" s="132" t="str">
        <f>IF(A!F438="y","NEW","")</f>
        <v/>
      </c>
      <c r="N535" s="133">
        <f>A!I438</f>
        <v>0</v>
      </c>
      <c r="O535" s="307" t="str">
        <f>A!O438</f>
        <v>1,2</v>
      </c>
      <c r="P535" s="541"/>
      <c r="Q535" s="541">
        <f>A!E438</f>
        <v>0</v>
      </c>
      <c r="R535" s="541" t="s">
        <v>809</v>
      </c>
      <c r="S535" s="541">
        <f t="shared" si="225"/>
        <v>0</v>
      </c>
      <c r="T535" s="541" t="str">
        <f>A!R438</f>
        <v>x1</v>
      </c>
      <c r="U535" s="541">
        <f>A!S438</f>
        <v>45</v>
      </c>
      <c r="V535" s="541">
        <f>A!T438</f>
        <v>0.1</v>
      </c>
      <c r="W535" s="541"/>
      <c r="X535" s="541"/>
    </row>
    <row r="536" spans="1:24" ht="10.5" hidden="1" customHeight="1" x14ac:dyDescent="0.25">
      <c r="A536" s="121" t="str">
        <f>IF(S536=0,"",COUNTIF(A$23:A535,"&gt;0")+1)</f>
        <v/>
      </c>
      <c r="B536" s="344"/>
      <c r="C536" s="165" t="str">
        <f t="shared" si="224"/>
        <v>x1</v>
      </c>
      <c r="D536" s="108" t="str">
        <f>A!C439</f>
        <v>Iris Ensata Variegata</v>
      </c>
      <c r="E536" s="109"/>
      <c r="F536" s="109"/>
      <c r="G536" s="166" t="str">
        <f>A!N439</f>
        <v>Variegated Japanese flag</v>
      </c>
      <c r="H536" s="167" t="str">
        <f>A!Q439</f>
        <v>gorgeous purple flowers over white and green striped foliage</v>
      </c>
      <c r="I536" s="111">
        <f>A!M439</f>
        <v>1</v>
      </c>
      <c r="J536" s="242">
        <f>A!P439</f>
        <v>0</v>
      </c>
      <c r="K536" s="243">
        <f>IF(A!G439="y",1,0)</f>
        <v>0</v>
      </c>
      <c r="L536" s="243">
        <f>IF(A!H439="y",1,0)</f>
        <v>0</v>
      </c>
      <c r="M536" s="244" t="str">
        <f>IF(A!F439="y","NEW","")</f>
        <v/>
      </c>
      <c r="N536" s="245">
        <f>A!I439</f>
        <v>0</v>
      </c>
      <c r="O536" s="346" t="str">
        <f>A!O439</f>
        <v>1,2</v>
      </c>
      <c r="P536" s="541"/>
      <c r="Q536" s="541">
        <f>A!E439</f>
        <v>0</v>
      </c>
      <c r="R536" s="541" t="s">
        <v>809</v>
      </c>
      <c r="S536" s="541">
        <f t="shared" si="225"/>
        <v>0</v>
      </c>
      <c r="T536" s="541" t="str">
        <f>A!R439</f>
        <v>x1</v>
      </c>
      <c r="U536" s="541">
        <f>A!S439</f>
        <v>0</v>
      </c>
      <c r="V536" s="541">
        <f>A!T439</f>
        <v>0.1</v>
      </c>
      <c r="W536" s="541"/>
      <c r="X536" s="541"/>
    </row>
    <row r="537" spans="1:24" ht="10.5" customHeight="1" thickBot="1" x14ac:dyDescent="0.3">
      <c r="A537" s="121" t="str">
        <f>IF(S537=0,"",COUNTIF(A$23:A536,"&gt;0")+1)</f>
        <v/>
      </c>
      <c r="B537" s="352"/>
      <c r="C537" s="292" t="str">
        <f t="shared" ref="C537" si="229">T537</f>
        <v>x1</v>
      </c>
      <c r="D537" s="353" t="str">
        <f>A!C440</f>
        <v>Iris pseudacorus</v>
      </c>
      <c r="E537" s="294"/>
      <c r="F537" s="294"/>
      <c r="G537" s="354" t="str">
        <f>A!N440</f>
        <v>yellow iris</v>
      </c>
      <c r="H537" s="296" t="str">
        <f>A!Q440</f>
        <v>the only native aquatic iris, hardy and tough</v>
      </c>
      <c r="I537" s="297">
        <f>A!M440</f>
        <v>1</v>
      </c>
      <c r="J537" s="298" t="str">
        <f>A!P440</f>
        <v>Yes</v>
      </c>
      <c r="K537" s="299">
        <f>IF(A!G440="y",1,0)</f>
        <v>1</v>
      </c>
      <c r="L537" s="299">
        <f>IF(A!H440="y",1,0)</f>
        <v>1</v>
      </c>
      <c r="M537" s="300" t="str">
        <f>IF(A!F440="y","NEW","")</f>
        <v/>
      </c>
      <c r="N537" s="301">
        <f>A!I440</f>
        <v>0</v>
      </c>
      <c r="O537" s="302" t="str">
        <f>A!O440</f>
        <v>2,3</v>
      </c>
      <c r="P537" s="541"/>
      <c r="Q537" s="541" t="str">
        <f>A!E440</f>
        <v>y</v>
      </c>
      <c r="R537" s="541" t="s">
        <v>809</v>
      </c>
      <c r="S537" s="541">
        <f t="shared" ref="S537" si="230">B537</f>
        <v>0</v>
      </c>
      <c r="T537" s="541" t="str">
        <f>A!R440</f>
        <v>x1</v>
      </c>
      <c r="U537" s="541">
        <f>A!S440</f>
        <v>50</v>
      </c>
      <c r="V537" s="541">
        <f>A!T440</f>
        <v>0.1</v>
      </c>
      <c r="W537" s="541">
        <f t="shared" ref="W537" si="231">V537*B537</f>
        <v>0</v>
      </c>
      <c r="X537" s="541"/>
    </row>
    <row r="538" spans="1:24" ht="10.5" hidden="1" customHeight="1" x14ac:dyDescent="0.25">
      <c r="A538" s="121" t="str">
        <f>IF(S538=0,"",COUNTIF(A$23:A537,"&gt;0")+1)</f>
        <v/>
      </c>
      <c r="B538" s="350"/>
      <c r="C538" s="128" t="str">
        <f t="shared" si="224"/>
        <v>x1</v>
      </c>
      <c r="D538" s="119" t="str">
        <f>A!C441</f>
        <v>Iris versicolor</v>
      </c>
      <c r="E538" s="113"/>
      <c r="F538" s="113"/>
      <c r="G538" s="197" t="str">
        <f>A!N441</f>
        <v>american water iris</v>
      </c>
      <c r="H538" s="129" t="str">
        <f>A!Q441</f>
        <v xml:space="preserve">wonderful blue flowers over sword-like foliage, </v>
      </c>
      <c r="I538" s="130">
        <f>A!M441</f>
        <v>1</v>
      </c>
      <c r="J538" s="203">
        <f>A!P441</f>
        <v>0</v>
      </c>
      <c r="K538" s="131">
        <f>IF(A!G441="y",1,0)</f>
        <v>0</v>
      </c>
      <c r="L538" s="131">
        <f>IF(A!H441="y",1,0)</f>
        <v>0</v>
      </c>
      <c r="M538" s="132" t="str">
        <f>IF(A!F441="y","NEW","")</f>
        <v/>
      </c>
      <c r="N538" s="133">
        <f>A!I441</f>
        <v>0</v>
      </c>
      <c r="O538" s="307">
        <f>A!O441</f>
        <v>2</v>
      </c>
      <c r="P538" s="541"/>
      <c r="Q538" s="541">
        <f>A!E441</f>
        <v>0</v>
      </c>
      <c r="R538" s="541" t="s">
        <v>809</v>
      </c>
      <c r="S538" s="541">
        <f t="shared" si="225"/>
        <v>0</v>
      </c>
      <c r="T538" s="541" t="str">
        <f>A!R441</f>
        <v>x1</v>
      </c>
      <c r="U538" s="541">
        <f>A!S441</f>
        <v>0</v>
      </c>
      <c r="V538" s="541">
        <f>A!T441</f>
        <v>0.1</v>
      </c>
      <c r="W538" s="541"/>
      <c r="X538" s="541"/>
    </row>
    <row r="539" spans="1:24" ht="10.5" hidden="1" customHeight="1" x14ac:dyDescent="0.25">
      <c r="A539" s="121" t="str">
        <f>IF(S539=0,"",COUNTIF(A$23:A538,"&gt;0")+1)</f>
        <v/>
      </c>
      <c r="B539" s="351"/>
      <c r="C539" s="76" t="str">
        <f t="shared" si="224"/>
        <v>x1</v>
      </c>
      <c r="D539" s="98" t="str">
        <f>A!C442</f>
        <v>Menyanthes</v>
      </c>
      <c r="E539" s="78"/>
      <c r="F539" s="78"/>
      <c r="G539" s="99" t="str">
        <f>A!N442</f>
        <v>bog bean</v>
      </c>
      <c r="H539" s="89" t="str">
        <f>A!Q442</f>
        <v>starry white flowers and unusual tri-lobed leaves</v>
      </c>
      <c r="I539" s="69">
        <f>A!M442</f>
        <v>2</v>
      </c>
      <c r="J539" s="202" t="str">
        <f>A!P442</f>
        <v>Yes</v>
      </c>
      <c r="K539" s="83">
        <f>IF(A!G442="y",1,0)</f>
        <v>0</v>
      </c>
      <c r="L539" s="83">
        <f>IF(A!H442="y",1,0)</f>
        <v>0</v>
      </c>
      <c r="M539" s="84" t="str">
        <f>IF(A!F442="y","NEW","")</f>
        <v/>
      </c>
      <c r="N539" s="85">
        <f>A!I442</f>
        <v>0</v>
      </c>
      <c r="O539" s="290" t="str">
        <f>A!O442</f>
        <v>2,3</v>
      </c>
      <c r="P539" s="541"/>
      <c r="Q539" s="541">
        <f>A!E442</f>
        <v>0</v>
      </c>
      <c r="R539" s="541" t="s">
        <v>809</v>
      </c>
      <c r="S539" s="541">
        <f t="shared" si="225"/>
        <v>0</v>
      </c>
      <c r="T539" s="541" t="str">
        <f>A!R442</f>
        <v>x1</v>
      </c>
      <c r="U539" s="541">
        <f>A!S442</f>
        <v>0</v>
      </c>
      <c r="V539" s="541">
        <f>A!T442</f>
        <v>0.1</v>
      </c>
      <c r="W539" s="541"/>
      <c r="X539" s="541"/>
    </row>
    <row r="540" spans="1:24" ht="10.5" hidden="1" customHeight="1" x14ac:dyDescent="0.25">
      <c r="A540" s="121" t="str">
        <f>IF(S540=0,"",COUNTIF(A$23:A539,"&gt;0")+1)</f>
        <v/>
      </c>
      <c r="B540" s="351"/>
      <c r="C540" s="76" t="str">
        <f t="shared" si="224"/>
        <v>x1</v>
      </c>
      <c r="D540" s="98" t="str">
        <f>A!C443</f>
        <v>Scirpus Albascens</v>
      </c>
      <c r="E540" s="78"/>
      <c r="F540" s="78"/>
      <c r="G540" s="99" t="str">
        <f>A!N443</f>
        <v>striped rush</v>
      </c>
      <c r="H540" s="89" t="str">
        <f>A!Q443</f>
        <v>contrasting longitudinal stripes of green and cream</v>
      </c>
      <c r="I540" s="69">
        <f>A!M443</f>
        <v>2</v>
      </c>
      <c r="J540" s="202">
        <f>A!P443</f>
        <v>0</v>
      </c>
      <c r="K540" s="83">
        <f>IF(A!G443="y",1,0)</f>
        <v>0</v>
      </c>
      <c r="L540" s="83">
        <f>IF(A!H443="y",1,0)</f>
        <v>0</v>
      </c>
      <c r="M540" s="84" t="str">
        <f>IF(A!F443="y","NEW","")</f>
        <v/>
      </c>
      <c r="N540" s="85">
        <f>A!I443</f>
        <v>0</v>
      </c>
      <c r="O540" s="290" t="str">
        <f>A!O443</f>
        <v>2,3</v>
      </c>
      <c r="P540" s="541"/>
      <c r="Q540" s="541">
        <f>A!E443</f>
        <v>0</v>
      </c>
      <c r="R540" s="541" t="s">
        <v>809</v>
      </c>
      <c r="S540" s="541">
        <f t="shared" si="225"/>
        <v>0</v>
      </c>
      <c r="T540" s="541" t="str">
        <f>A!R443</f>
        <v>x1</v>
      </c>
      <c r="U540" s="541">
        <f>A!S443</f>
        <v>0</v>
      </c>
      <c r="V540" s="541">
        <f>A!T443</f>
        <v>0.1</v>
      </c>
      <c r="W540" s="541"/>
      <c r="X540" s="541"/>
    </row>
    <row r="541" spans="1:24" ht="10.5" hidden="1" customHeight="1" x14ac:dyDescent="0.25">
      <c r="A541" s="121" t="str">
        <f>IF(S541=0,"",COUNTIF(A$23:A540,"&gt;0")+1)</f>
        <v/>
      </c>
      <c r="B541" s="351"/>
      <c r="C541" s="76" t="str">
        <f t="shared" ref="C541:C542" si="232">T541</f>
        <v>x1</v>
      </c>
      <c r="D541" s="98" t="str">
        <f>A!C444</f>
        <v>Scirpus Zebrinus</v>
      </c>
      <c r="E541" s="78"/>
      <c r="F541" s="78"/>
      <c r="G541" s="99" t="str">
        <f>A!N444</f>
        <v>zebra rush</v>
      </c>
      <c r="H541" s="89" t="str">
        <f>A!Q444</f>
        <v>striking green and creamy-white horizontally banded stems</v>
      </c>
      <c r="I541" s="69">
        <f>A!M444</f>
        <v>1</v>
      </c>
      <c r="J541" s="202">
        <f>A!P444</f>
        <v>0</v>
      </c>
      <c r="K541" s="83">
        <f>IF(A!G444="y",1,0)</f>
        <v>0</v>
      </c>
      <c r="L541" s="83">
        <f>IF(A!H444="y",1,0)</f>
        <v>0</v>
      </c>
      <c r="M541" s="84" t="str">
        <f>IF(A!F444="y","NEW","")</f>
        <v/>
      </c>
      <c r="N541" s="85">
        <f>A!I444</f>
        <v>0</v>
      </c>
      <c r="O541" s="290" t="str">
        <f>A!O444</f>
        <v>2,3</v>
      </c>
      <c r="P541" s="541"/>
      <c r="Q541" s="541">
        <f>A!E444</f>
        <v>0</v>
      </c>
      <c r="R541" s="541" t="s">
        <v>809</v>
      </c>
      <c r="S541" s="541">
        <f t="shared" ref="S541:S542" si="233">B541</f>
        <v>0</v>
      </c>
      <c r="T541" s="541" t="str">
        <f>A!R444</f>
        <v>x1</v>
      </c>
      <c r="U541" s="541">
        <f>A!S444</f>
        <v>0</v>
      </c>
      <c r="V541" s="541">
        <f>A!T444</f>
        <v>0.1</v>
      </c>
      <c r="W541" s="541"/>
      <c r="X541" s="541"/>
    </row>
    <row r="542" spans="1:24" ht="12.75" hidden="1" customHeight="1" x14ac:dyDescent="0.25">
      <c r="A542" s="121" t="str">
        <f>IF(S542=0,"",COUNTIF(A$23:A541,"&gt;0")+1)</f>
        <v/>
      </c>
      <c r="B542" s="351"/>
      <c r="C542" s="76" t="str">
        <f t="shared" si="232"/>
        <v>x1</v>
      </c>
      <c r="D542" s="98" t="str">
        <f>A!C445</f>
        <v>Scrophularia</v>
      </c>
      <c r="E542" s="78"/>
      <c r="F542" s="78"/>
      <c r="G542" s="99" t="str">
        <f>A!N445</f>
        <v>water figwort</v>
      </c>
      <c r="H542" s="89" t="str">
        <f>A!Q445</f>
        <v>summer maroon blooms over nettle-like foliage</v>
      </c>
      <c r="I542" s="69">
        <f>A!M445</f>
        <v>3</v>
      </c>
      <c r="J542" s="202">
        <f>A!P445</f>
        <v>0</v>
      </c>
      <c r="K542" s="83">
        <f>IF(A!G445="y",1,0)</f>
        <v>0</v>
      </c>
      <c r="L542" s="83">
        <f>IF(A!H445="y",1,0)</f>
        <v>0</v>
      </c>
      <c r="M542" s="84" t="str">
        <f>IF(A!F445="y","NEW","")</f>
        <v/>
      </c>
      <c r="N542" s="85">
        <f>A!I445</f>
        <v>0</v>
      </c>
      <c r="O542" s="290" t="str">
        <f>A!O445</f>
        <v>1,2</v>
      </c>
      <c r="P542" s="541"/>
      <c r="Q542" s="541">
        <f>A!E445</f>
        <v>0</v>
      </c>
      <c r="R542" s="541" t="s">
        <v>809</v>
      </c>
      <c r="S542" s="541">
        <f t="shared" si="233"/>
        <v>0</v>
      </c>
      <c r="T542" s="541" t="str">
        <f>A!R445</f>
        <v>x1</v>
      </c>
      <c r="U542" s="541">
        <f>A!S445</f>
        <v>0</v>
      </c>
      <c r="V542" s="541">
        <f>A!T445</f>
        <v>0.1</v>
      </c>
      <c r="W542" s="541"/>
      <c r="X542" s="541"/>
    </row>
    <row r="543" spans="1:24" ht="12.75" hidden="1" customHeight="1" x14ac:dyDescent="0.25">
      <c r="A543" s="121" t="str">
        <f>IF(S543=0,"",COUNTIF(A$23:A542,"&gt;0")+1)</f>
        <v/>
      </c>
      <c r="B543" s="344"/>
      <c r="C543" s="165" t="str">
        <f t="shared" si="224"/>
        <v>x1</v>
      </c>
      <c r="D543" s="108" t="str">
        <f>A!C446</f>
        <v>Thalia Dealbata</v>
      </c>
      <c r="E543" s="109"/>
      <c r="F543" s="109"/>
      <c r="G543" s="166" t="str">
        <f>A!N446</f>
        <v>alligator flag</v>
      </c>
      <c r="H543" s="167" t="str">
        <f>A!Q446</f>
        <v xml:space="preserve">native to swamps and ponds in southern USA </v>
      </c>
      <c r="I543" s="111">
        <f>A!M446</f>
        <v>1</v>
      </c>
      <c r="J543" s="242">
        <f>A!P446</f>
        <v>0</v>
      </c>
      <c r="K543" s="243">
        <f>IF(A!G446="y",1,0)</f>
        <v>0</v>
      </c>
      <c r="L543" s="243">
        <f>IF(A!H446="y",1,0)</f>
        <v>0</v>
      </c>
      <c r="M543" s="244" t="str">
        <f>IF(A!F446="y","NEW","")</f>
        <v/>
      </c>
      <c r="N543" s="245">
        <f>A!I446</f>
        <v>0</v>
      </c>
      <c r="O543" s="346" t="str">
        <f>A!O446</f>
        <v>2,3</v>
      </c>
      <c r="P543" s="541"/>
      <c r="Q543" s="541">
        <f>A!E446</f>
        <v>0</v>
      </c>
      <c r="R543" s="541" t="s">
        <v>809</v>
      </c>
      <c r="S543" s="541">
        <f t="shared" si="225"/>
        <v>0</v>
      </c>
      <c r="T543" s="541" t="str">
        <f>A!R446</f>
        <v>x1</v>
      </c>
      <c r="U543" s="541">
        <f>A!S446</f>
        <v>0</v>
      </c>
      <c r="V543" s="541">
        <f>A!T446</f>
        <v>0.1</v>
      </c>
      <c r="W543" s="541"/>
      <c r="X543" s="541"/>
    </row>
    <row r="544" spans="1:24" ht="12" hidden="1" customHeight="1" thickBot="1" x14ac:dyDescent="0.3">
      <c r="A544" s="121" t="str">
        <f>IF(S544=0,"",COUNTIF(A$23:A543,"&gt;0")+1)</f>
        <v/>
      </c>
      <c r="B544" s="352"/>
      <c r="C544" s="292" t="str">
        <f t="shared" ref="C544" si="234">T544</f>
        <v>x1</v>
      </c>
      <c r="D544" s="353" t="str">
        <f>A!C447</f>
        <v>Typha latifolia</v>
      </c>
      <c r="E544" s="294"/>
      <c r="F544" s="294"/>
      <c r="G544" s="354" t="str">
        <f>A!N447</f>
        <v>reedmace</v>
      </c>
      <c r="H544" s="296" t="str">
        <f>A!Q447</f>
        <v>incorrectly named bullrush, large specimen</v>
      </c>
      <c r="I544" s="297">
        <f>A!M447</f>
        <v>2</v>
      </c>
      <c r="J544" s="298" t="str">
        <f>A!P447</f>
        <v>Yes</v>
      </c>
      <c r="K544" s="299">
        <f>IF(A!G447="y",1,0)</f>
        <v>0</v>
      </c>
      <c r="L544" s="299">
        <f>IF(A!H447="y",1,0)</f>
        <v>0</v>
      </c>
      <c r="M544" s="300" t="str">
        <f>IF(A!F447="y","NEW","")</f>
        <v/>
      </c>
      <c r="N544" s="301">
        <f>A!I447</f>
        <v>0</v>
      </c>
      <c r="O544" s="302" t="str">
        <f>A!O447</f>
        <v>2,3</v>
      </c>
      <c r="P544" s="541"/>
      <c r="Q544" s="541">
        <f>A!E447</f>
        <v>0</v>
      </c>
      <c r="R544" s="541" t="s">
        <v>809</v>
      </c>
      <c r="S544" s="541">
        <f t="shared" ref="S544" si="235">B544</f>
        <v>0</v>
      </c>
      <c r="T544" s="541" t="str">
        <f>A!R447</f>
        <v>x1</v>
      </c>
      <c r="U544" s="541">
        <f>A!S447</f>
        <v>60</v>
      </c>
      <c r="V544" s="541">
        <f>A!T447</f>
        <v>0.1</v>
      </c>
      <c r="W544" s="541">
        <f t="shared" ref="W544" si="236">V544*B544</f>
        <v>0</v>
      </c>
      <c r="X544" s="541"/>
    </row>
    <row r="545" spans="1:24" ht="12.75" hidden="1" customHeight="1" thickBot="1" x14ac:dyDescent="0.3">
      <c r="A545" s="121" t="str">
        <f>IF(S545=0,"",COUNTIF(A$23:A544,"&gt;0")+1)</f>
        <v/>
      </c>
      <c r="B545" s="568"/>
      <c r="C545" s="569" t="str">
        <f t="shared" si="224"/>
        <v>x1</v>
      </c>
      <c r="D545" s="570" t="str">
        <f>A!C448</f>
        <v>Typha Minima</v>
      </c>
      <c r="E545" s="571"/>
      <c r="F545" s="571"/>
      <c r="G545" s="572" t="str">
        <f>A!N448</f>
        <v>dwarf reedmace</v>
      </c>
      <c r="H545" s="573" t="str">
        <f>A!Q446</f>
        <v xml:space="preserve">native to swamps and ponds in southern USA </v>
      </c>
      <c r="I545" s="574">
        <f>A!M448</f>
        <v>1</v>
      </c>
      <c r="J545" s="575">
        <f>A!P448</f>
        <v>0</v>
      </c>
      <c r="K545" s="576">
        <f>IF(A!G448="y",1,0)</f>
        <v>0</v>
      </c>
      <c r="L545" s="576">
        <f>IF(A!H448="y",1,0)</f>
        <v>0</v>
      </c>
      <c r="M545" s="577" t="str">
        <f>IF(A!F448="y","NEW","")</f>
        <v/>
      </c>
      <c r="N545" s="578">
        <f>A!I448</f>
        <v>0</v>
      </c>
      <c r="O545" s="579">
        <f>A!O448</f>
        <v>2</v>
      </c>
      <c r="P545" s="541"/>
      <c r="Q545" s="541">
        <f>A!E448</f>
        <v>0</v>
      </c>
      <c r="R545" s="541" t="s">
        <v>809</v>
      </c>
      <c r="S545" s="541">
        <f t="shared" si="225"/>
        <v>0</v>
      </c>
      <c r="T545" s="541" t="str">
        <f>A!R448</f>
        <v>x1</v>
      </c>
      <c r="U545" s="541">
        <f>A!S448</f>
        <v>0</v>
      </c>
      <c r="V545" s="541">
        <f>A!T448</f>
        <v>0.1</v>
      </c>
      <c r="W545" s="541"/>
      <c r="X545" s="541"/>
    </row>
    <row r="546" spans="1:24" ht="12" customHeight="1" x14ac:dyDescent="0.25">
      <c r="A546" s="121" t="str">
        <f>IF(S546=0,"",COUNTIF(A$23:A545,"&gt;0")+1)</f>
        <v/>
      </c>
      <c r="B546" s="513">
        <f>SUM(B532:B545)</f>
        <v>0</v>
      </c>
      <c r="C546" s="513"/>
      <c r="D546" s="491" t="s">
        <v>1360</v>
      </c>
      <c r="E546" s="492"/>
      <c r="F546" s="492"/>
      <c r="G546" s="492"/>
      <c r="H546" s="492"/>
      <c r="I546" s="492"/>
      <c r="J546" s="493"/>
      <c r="K546" s="492"/>
      <c r="L546" s="492"/>
      <c r="M546" s="494"/>
      <c r="N546" s="492"/>
      <c r="O546" s="599"/>
      <c r="P546" s="541"/>
      <c r="Q546" s="541"/>
      <c r="R546" s="541" t="s">
        <v>809</v>
      </c>
      <c r="S546" s="541">
        <f t="shared" si="225"/>
        <v>0</v>
      </c>
      <c r="T546" s="541" t="s">
        <v>548</v>
      </c>
      <c r="U546" s="541"/>
      <c r="V546" s="541"/>
      <c r="W546" s="541"/>
      <c r="X546" s="541"/>
    </row>
    <row r="547" spans="1:24" ht="6.75" customHeight="1" thickBot="1" x14ac:dyDescent="0.3">
      <c r="A547" s="121" t="str">
        <f>IF(S547=0,"",COUNTIF(A$23:A546,"&gt;0")+1)</f>
        <v/>
      </c>
      <c r="P547" s="541"/>
      <c r="Q547" s="541"/>
      <c r="R547" s="541"/>
      <c r="S547" s="541"/>
      <c r="T547" s="541"/>
      <c r="U547" s="541"/>
      <c r="V547" s="541"/>
      <c r="W547" s="541"/>
      <c r="X547" s="541"/>
    </row>
    <row r="548" spans="1:24" ht="9" customHeight="1" x14ac:dyDescent="0.25">
      <c r="A548" s="121" t="str">
        <f>IF(S548=0,"",COUNTIF(A$23:A547,"&gt;0")+1)</f>
        <v/>
      </c>
      <c r="B548" s="1022" t="s">
        <v>115</v>
      </c>
      <c r="C548" s="1023"/>
      <c r="D548" s="910" t="s">
        <v>1176</v>
      </c>
      <c r="E548" s="911"/>
      <c r="F548" s="911"/>
      <c r="G548" s="911"/>
      <c r="H548" s="934" t="s">
        <v>1181</v>
      </c>
      <c r="I548" s="932"/>
      <c r="J548" s="932"/>
      <c r="K548" s="932"/>
      <c r="L548" s="932"/>
      <c r="M548" s="932"/>
      <c r="N548" s="932"/>
      <c r="O548" s="933"/>
      <c r="P548" s="541"/>
      <c r="Q548" s="541"/>
      <c r="R548" s="541"/>
      <c r="S548" s="541"/>
      <c r="T548" s="541"/>
      <c r="U548" s="541"/>
      <c r="V548" s="541"/>
      <c r="W548" s="541"/>
      <c r="X548" s="541"/>
    </row>
    <row r="549" spans="1:24" ht="9" customHeight="1" thickBot="1" x14ac:dyDescent="0.3">
      <c r="A549" s="121" t="str">
        <f>IF(S549=0,"",COUNTIF(A$23:A548,"&gt;0")+1)</f>
        <v/>
      </c>
      <c r="B549" s="957" t="s">
        <v>210</v>
      </c>
      <c r="C549" s="958"/>
      <c r="D549" s="926"/>
      <c r="E549" s="927"/>
      <c r="F549" s="927"/>
      <c r="G549" s="927"/>
      <c r="H549" s="935"/>
      <c r="I549" s="311" t="s">
        <v>114</v>
      </c>
      <c r="J549" s="309"/>
      <c r="K549" s="310"/>
      <c r="L549" s="310"/>
      <c r="M549" s="311"/>
      <c r="N549" s="310"/>
      <c r="O549" s="312" t="s">
        <v>41</v>
      </c>
      <c r="P549" s="541"/>
      <c r="Q549" s="541"/>
      <c r="R549" s="541"/>
      <c r="S549" s="541"/>
      <c r="T549" s="541"/>
      <c r="U549" s="541"/>
      <c r="V549" s="541"/>
      <c r="W549" s="541"/>
      <c r="X549" s="541"/>
    </row>
    <row r="550" spans="1:24" ht="11.25" customHeight="1" x14ac:dyDescent="0.25">
      <c r="A550" s="121" t="str">
        <f>IF(S550=0,"",COUNTIF(A$23:A549,"&gt;0")+1)</f>
        <v/>
      </c>
      <c r="B550" s="556"/>
      <c r="C550" s="557" t="str">
        <f t="shared" ref="C550:C560" si="237">T550</f>
        <v>x1</v>
      </c>
      <c r="D550" s="558" t="str">
        <f>A!C423</f>
        <v>8L Standard Planted Contour</v>
      </c>
      <c r="E550" s="559"/>
      <c r="F550" s="559"/>
      <c r="G550" s="776">
        <v>5021353000221</v>
      </c>
      <c r="H550" s="561" t="str">
        <f>A!Q423</f>
        <v>large finished product planted with at least 3 x different marginal varieties</v>
      </c>
      <c r="I550" s="566">
        <f>A!M423</f>
        <v>1</v>
      </c>
      <c r="J550" s="563">
        <f>A!P423</f>
        <v>0</v>
      </c>
      <c r="K550" s="564">
        <f>IF(A!G423="y",1,0)</f>
        <v>1</v>
      </c>
      <c r="L550" s="564">
        <f>IF(A!H423="y",1,0)</f>
        <v>1</v>
      </c>
      <c r="M550" s="565" t="str">
        <f>IF(A!F423="y","NEW","")</f>
        <v/>
      </c>
      <c r="N550" s="600">
        <f>A!I423</f>
        <v>0</v>
      </c>
      <c r="O550" s="567">
        <f>A!O423</f>
        <v>3</v>
      </c>
      <c r="P550" s="541"/>
      <c r="Q550" s="541" t="str">
        <f>A!E423</f>
        <v>y</v>
      </c>
      <c r="R550" s="541" t="s">
        <v>742</v>
      </c>
      <c r="S550" s="541">
        <f t="shared" ref="S550:S561" si="238">B550</f>
        <v>0</v>
      </c>
      <c r="T550" s="541" t="str">
        <f>A!R423</f>
        <v>x1</v>
      </c>
      <c r="U550" s="541">
        <f>A!S423</f>
        <v>45</v>
      </c>
      <c r="V550" s="541">
        <f>A!T423</f>
        <v>0.125</v>
      </c>
      <c r="W550" s="541">
        <f t="shared" ref="W550:W553" si="239">V550*B550</f>
        <v>0</v>
      </c>
      <c r="X550" s="541"/>
    </row>
    <row r="551" spans="1:24" ht="11.25" customHeight="1" thickBot="1" x14ac:dyDescent="0.3">
      <c r="A551" s="121" t="str">
        <f>IF(S551=0,"",COUNTIF(A$23:A550,"&gt;0")+1)</f>
        <v/>
      </c>
      <c r="B551" s="568"/>
      <c r="C551" s="569" t="str">
        <f t="shared" si="237"/>
        <v>x1</v>
      </c>
      <c r="D551" s="570" t="str">
        <f>A!C424</f>
        <v>8L Oxygenator Planted Contour</v>
      </c>
      <c r="E551" s="571"/>
      <c r="F551" s="571"/>
      <c r="G551" s="777">
        <v>5021353012200</v>
      </c>
      <c r="H551" s="573" t="str">
        <f>A!Q424</f>
        <v>a finished product with at least 4x different oxygenating marginals</v>
      </c>
      <c r="I551" s="574">
        <f>A!M424</f>
        <v>1</v>
      </c>
      <c r="J551" s="575">
        <f>A!P424</f>
        <v>0</v>
      </c>
      <c r="K551" s="576">
        <f>IF(A!G424="y",1,0)</f>
        <v>1</v>
      </c>
      <c r="L551" s="576">
        <f>IF(A!H424="y",1,0)</f>
        <v>0</v>
      </c>
      <c r="M551" s="577" t="str">
        <f>IF(A!F424="y","NEW","")</f>
        <v/>
      </c>
      <c r="N551" s="578">
        <f>A!I424</f>
        <v>0</v>
      </c>
      <c r="O551" s="579">
        <f>A!O424</f>
        <v>3</v>
      </c>
      <c r="P551" s="541"/>
      <c r="Q551" s="541" t="str">
        <f>A!E424</f>
        <v>y</v>
      </c>
      <c r="R551" s="541" t="s">
        <v>742</v>
      </c>
      <c r="S551" s="541">
        <f t="shared" si="238"/>
        <v>0</v>
      </c>
      <c r="T551" s="541" t="str">
        <f>A!R424</f>
        <v>x1</v>
      </c>
      <c r="U551" s="541">
        <f>A!S424</f>
        <v>45</v>
      </c>
      <c r="V551" s="541">
        <f>A!T424</f>
        <v>0.125</v>
      </c>
      <c r="W551" s="541">
        <f t="shared" si="239"/>
        <v>0</v>
      </c>
      <c r="X551" s="541"/>
    </row>
    <row r="552" spans="1:24" ht="11.25" hidden="1" customHeight="1" thickBot="1" x14ac:dyDescent="0.3">
      <c r="A552" s="121" t="str">
        <f>IF(S552=0,"",COUNTIF(A$23:A551,"&gt;0")+1)</f>
        <v/>
      </c>
      <c r="B552" s="568"/>
      <c r="C552" s="569" t="str">
        <f t="shared" si="237"/>
        <v>x1</v>
      </c>
      <c r="D552" s="570" t="str">
        <f>A!C425</f>
        <v>8L Scented Planted Contour</v>
      </c>
      <c r="E552" s="571"/>
      <c r="F552" s="571"/>
      <c r="G552" s="777">
        <v>5021353010138</v>
      </c>
      <c r="H552" s="573" t="str">
        <f>A!Q425</f>
        <v>a finished product with at least 4x different scented marginals</v>
      </c>
      <c r="I552" s="574">
        <f>A!M425</f>
        <v>2</v>
      </c>
      <c r="J552" s="575">
        <f>A!P425</f>
        <v>0</v>
      </c>
      <c r="K552" s="576">
        <f>IF(A!G425="y",1,0)</f>
        <v>0</v>
      </c>
      <c r="L552" s="576">
        <f>IF(A!H425="y",1,0)</f>
        <v>0</v>
      </c>
      <c r="M552" s="577" t="str">
        <f>IF(A!F425="y","NEW","")</f>
        <v/>
      </c>
      <c r="N552" s="578">
        <f>A!I425</f>
        <v>0</v>
      </c>
      <c r="O552" s="579">
        <f>A!O425</f>
        <v>3</v>
      </c>
      <c r="P552" s="541"/>
      <c r="Q552" s="541">
        <f>A!E425</f>
        <v>0</v>
      </c>
      <c r="R552" s="541" t="s">
        <v>742</v>
      </c>
      <c r="S552" s="541">
        <f t="shared" si="238"/>
        <v>0</v>
      </c>
      <c r="T552" s="541" t="str">
        <f>A!R425</f>
        <v>x1</v>
      </c>
      <c r="U552" s="541">
        <f>A!S425</f>
        <v>45</v>
      </c>
      <c r="V552" s="541">
        <f>A!T425</f>
        <v>0.125</v>
      </c>
      <c r="W552" s="541">
        <f t="shared" si="239"/>
        <v>0</v>
      </c>
      <c r="X552" s="541"/>
    </row>
    <row r="553" spans="1:24" ht="11.25" hidden="1" customHeight="1" thickBot="1" x14ac:dyDescent="0.3">
      <c r="A553" s="121" t="str">
        <f>IF(S553=0,"",COUNTIF(A$23:A552,"&gt;0")+1)</f>
        <v/>
      </c>
      <c r="B553" s="568"/>
      <c r="C553" s="569" t="str">
        <f t="shared" si="237"/>
        <v>x1</v>
      </c>
      <c r="D553" s="570" t="str">
        <f>A!C426</f>
        <v>8L Native Planted Contour</v>
      </c>
      <c r="E553" s="571"/>
      <c r="F553" s="571"/>
      <c r="G553" s="777">
        <v>5021353010121</v>
      </c>
      <c r="H553" s="573" t="str">
        <f>A!Q426</f>
        <v>a finished product with at least 4x different British marginals</v>
      </c>
      <c r="I553" s="574">
        <f>A!M426</f>
        <v>2</v>
      </c>
      <c r="J553" s="575" t="str">
        <f>A!P426</f>
        <v>Yes</v>
      </c>
      <c r="K553" s="576">
        <f>IF(A!G426="y",1,0)</f>
        <v>0</v>
      </c>
      <c r="L553" s="576">
        <f>IF(A!H426="y",1,0)</f>
        <v>0</v>
      </c>
      <c r="M553" s="577" t="str">
        <f>IF(A!F426="y","NEW","")</f>
        <v/>
      </c>
      <c r="N553" s="578">
        <f>A!I426</f>
        <v>0</v>
      </c>
      <c r="O553" s="579">
        <f>A!O426</f>
        <v>3</v>
      </c>
      <c r="P553" s="541"/>
      <c r="Q553" s="541">
        <f>A!E426</f>
        <v>0</v>
      </c>
      <c r="R553" s="541" t="s">
        <v>742</v>
      </c>
      <c r="S553" s="541">
        <f t="shared" si="238"/>
        <v>0</v>
      </c>
      <c r="T553" s="541" t="str">
        <f>A!R426</f>
        <v>x1</v>
      </c>
      <c r="U553" s="541">
        <f>A!S426</f>
        <v>45</v>
      </c>
      <c r="V553" s="541">
        <f>A!T426</f>
        <v>0.125</v>
      </c>
      <c r="W553" s="541">
        <f t="shared" si="239"/>
        <v>0</v>
      </c>
      <c r="X553" s="541"/>
    </row>
    <row r="554" spans="1:24" ht="12" hidden="1" customHeight="1" x14ac:dyDescent="0.25">
      <c r="A554" s="121" t="str">
        <f>IF(S554=0,"",COUNTIF(A$23:A553,"&gt;0")+1)</f>
        <v/>
      </c>
      <c r="B554" s="118"/>
      <c r="C554" s="128" t="str">
        <f t="shared" si="237"/>
        <v>x1</v>
      </c>
      <c r="D554" s="119" t="str">
        <f>A!C427</f>
        <v>Hippuris Contour</v>
      </c>
      <c r="E554" s="113"/>
      <c r="F554" s="113"/>
      <c r="G554" s="278"/>
      <c r="H554" s="129" t="str">
        <f>A!Q427</f>
        <v>a real tough plant, now a 1st choice oxy</v>
      </c>
      <c r="I554" s="130">
        <f>A!M427</f>
        <v>2</v>
      </c>
      <c r="J554" s="203" t="str">
        <f>A!P427</f>
        <v>Yes</v>
      </c>
      <c r="K554" s="131">
        <f>IF(A!G427="y",1,0)</f>
        <v>0</v>
      </c>
      <c r="L554" s="131">
        <f>IF(A!H427="y",1,0)</f>
        <v>0</v>
      </c>
      <c r="M554" s="132" t="str">
        <f>IF(A!F427="y","NEW","")</f>
        <v/>
      </c>
      <c r="N554" s="133">
        <f>A!I427</f>
        <v>0</v>
      </c>
      <c r="O554" s="134" t="str">
        <f>A!O427</f>
        <v>2,3</v>
      </c>
      <c r="P554" s="541"/>
      <c r="Q554" s="541">
        <f>A!E427</f>
        <v>0</v>
      </c>
      <c r="R554" s="541" t="s">
        <v>742</v>
      </c>
      <c r="S554" s="541">
        <f t="shared" si="238"/>
        <v>0</v>
      </c>
      <c r="T554" s="541" t="str">
        <f>A!R427</f>
        <v>x1</v>
      </c>
      <c r="U554" s="541">
        <f>A!S427</f>
        <v>45</v>
      </c>
      <c r="V554" s="541">
        <f>A!T427</f>
        <v>0.125</v>
      </c>
      <c r="W554" s="541"/>
      <c r="X554" s="541"/>
    </row>
    <row r="555" spans="1:24" ht="12" hidden="1" customHeight="1" x14ac:dyDescent="0.25">
      <c r="A555" s="121" t="str">
        <f>IF(S555=0,"",COUNTIF(A$23:A554,"&gt;0")+1)</f>
        <v/>
      </c>
      <c r="B555" s="75"/>
      <c r="C555" s="76" t="str">
        <f t="shared" si="237"/>
        <v>x1</v>
      </c>
      <c r="D555" s="98" t="str">
        <f>A!C428</f>
        <v>Houttuynia Variegata Contour</v>
      </c>
      <c r="E555" s="78"/>
      <c r="F555" s="78"/>
      <c r="G555" s="125"/>
      <c r="H555" s="89" t="str">
        <f>A!Q428</f>
        <v>scented, multi coloured foliage, smelling of orange peel</v>
      </c>
      <c r="I555" s="69">
        <f>A!M428</f>
        <v>2</v>
      </c>
      <c r="J555" s="202">
        <f>A!P428</f>
        <v>0</v>
      </c>
      <c r="K555" s="83">
        <f>IF(A!G428="y",1,0)</f>
        <v>0</v>
      </c>
      <c r="L555" s="83">
        <f>IF(A!H428="y",1,0)</f>
        <v>0</v>
      </c>
      <c r="M555" s="84" t="str">
        <f>IF(A!F428="y","NEW","")</f>
        <v/>
      </c>
      <c r="N555" s="85">
        <f>A!I428</f>
        <v>0</v>
      </c>
      <c r="O555" s="82">
        <f>A!O428</f>
        <v>3</v>
      </c>
      <c r="P555" s="541"/>
      <c r="Q555" s="541">
        <f>A!E428</f>
        <v>0</v>
      </c>
      <c r="R555" s="541" t="s">
        <v>742</v>
      </c>
      <c r="S555" s="541">
        <f t="shared" si="238"/>
        <v>0</v>
      </c>
      <c r="T555" s="541" t="str">
        <f>A!R428</f>
        <v>x1</v>
      </c>
      <c r="U555" s="541">
        <f>A!S428</f>
        <v>45</v>
      </c>
      <c r="V555" s="541">
        <f>A!T428</f>
        <v>0.125</v>
      </c>
      <c r="W555" s="541"/>
      <c r="X555" s="541"/>
    </row>
    <row r="556" spans="1:24" ht="12" hidden="1" customHeight="1" x14ac:dyDescent="0.25">
      <c r="A556" s="121" t="str">
        <f>IF(S556=0,"",COUNTIF(A$23:A555,"&gt;0")+1)</f>
        <v/>
      </c>
      <c r="B556" s="75"/>
      <c r="C556" s="76" t="str">
        <f t="shared" si="237"/>
        <v>x1</v>
      </c>
      <c r="D556" s="98" t="str">
        <f>A!C429</f>
        <v>Hypericum Elodes Contour</v>
      </c>
      <c r="E556" s="78"/>
      <c r="F556" s="78"/>
      <c r="G556" s="125"/>
      <c r="H556" s="89" t="str">
        <f>A!Q429</f>
        <v>mat-forming native with yellow flowers</v>
      </c>
      <c r="I556" s="69">
        <f>A!M429</f>
        <v>2</v>
      </c>
      <c r="J556" s="202">
        <f>A!P429</f>
        <v>0</v>
      </c>
      <c r="K556" s="83">
        <f>IF(A!G429="y",1,0)</f>
        <v>0</v>
      </c>
      <c r="L556" s="83">
        <f>IF(A!H429="y",1,0)</f>
        <v>0</v>
      </c>
      <c r="M556" s="84" t="str">
        <f>IF(A!F429="y","NEW","")</f>
        <v/>
      </c>
      <c r="N556" s="85">
        <f>A!I429</f>
        <v>0</v>
      </c>
      <c r="O556" s="82">
        <f>A!O429</f>
        <v>3</v>
      </c>
      <c r="P556" s="541"/>
      <c r="Q556" s="541">
        <f>A!E429</f>
        <v>0</v>
      </c>
      <c r="R556" s="541" t="s">
        <v>742</v>
      </c>
      <c r="S556" s="541">
        <f t="shared" si="238"/>
        <v>0</v>
      </c>
      <c r="T556" s="541" t="str">
        <f>A!R429</f>
        <v>x1</v>
      </c>
      <c r="U556" s="541">
        <f>A!S429</f>
        <v>45</v>
      </c>
      <c r="V556" s="541">
        <f>A!T429</f>
        <v>0.125</v>
      </c>
      <c r="W556" s="541"/>
      <c r="X556" s="541"/>
    </row>
    <row r="557" spans="1:24" ht="12" hidden="1" customHeight="1" x14ac:dyDescent="0.25">
      <c r="A557" s="121" t="str">
        <f>IF(S557=0,"",COUNTIF(A$23:A556,"&gt;0")+1)</f>
        <v/>
      </c>
      <c r="B557" s="75"/>
      <c r="C557" s="76" t="str">
        <f t="shared" si="237"/>
        <v>x1</v>
      </c>
      <c r="D557" s="98" t="str">
        <f>A!C430</f>
        <v>Lobelia Queen Victoria Contour</v>
      </c>
      <c r="E557" s="78"/>
      <c r="F557" s="78"/>
      <c r="G557" s="125"/>
      <c r="H557" s="89" t="str">
        <f>A!Q430</f>
        <v>scarlet red flowers over stunning crimson foliage</v>
      </c>
      <c r="I557" s="69">
        <f>A!M430</f>
        <v>1</v>
      </c>
      <c r="J557" s="202">
        <f>A!P430</f>
        <v>0</v>
      </c>
      <c r="K557" s="83">
        <f>IF(A!G430="y",1,0)</f>
        <v>0</v>
      </c>
      <c r="L557" s="83">
        <f>IF(A!H430="y",1,0)</f>
        <v>0</v>
      </c>
      <c r="M557" s="84" t="str">
        <f>IF(A!F430="y","NEW","")</f>
        <v/>
      </c>
      <c r="N557" s="85">
        <f>A!I430</f>
        <v>0</v>
      </c>
      <c r="O557" s="82">
        <f>A!O430</f>
        <v>3</v>
      </c>
      <c r="P557" s="541"/>
      <c r="Q557" s="541">
        <f>A!E430</f>
        <v>0</v>
      </c>
      <c r="R557" s="541" t="s">
        <v>742</v>
      </c>
      <c r="S557" s="541">
        <f t="shared" si="238"/>
        <v>0</v>
      </c>
      <c r="T557" s="541" t="str">
        <f>A!R430</f>
        <v>x1</v>
      </c>
      <c r="U557" s="541">
        <f>A!S430</f>
        <v>45</v>
      </c>
      <c r="V557" s="541">
        <f>A!T430</f>
        <v>0.125</v>
      </c>
      <c r="W557" s="541"/>
      <c r="X557" s="541"/>
    </row>
    <row r="558" spans="1:24" ht="11.25" hidden="1" customHeight="1" x14ac:dyDescent="0.25">
      <c r="A558" s="121" t="str">
        <f>IF(S558=0,"",COUNTIF(A$23:A557,"&gt;0")+1)</f>
        <v/>
      </c>
      <c r="B558" s="75"/>
      <c r="C558" s="76" t="str">
        <f t="shared" si="237"/>
        <v>x1</v>
      </c>
      <c r="D558" s="98" t="str">
        <f>A!C431</f>
        <v>Myosotis Palustris Contour</v>
      </c>
      <c r="E558" s="78"/>
      <c r="F558" s="78"/>
      <c r="G558" s="125"/>
      <c r="H558" s="89" t="str">
        <f>A!Q431</f>
        <v>must have for every pond, small blue flowers</v>
      </c>
      <c r="I558" s="69">
        <f>A!M431</f>
        <v>2</v>
      </c>
      <c r="J558" s="202">
        <f>A!P431</f>
        <v>0</v>
      </c>
      <c r="K558" s="83">
        <f>IF(A!G431="y",1,0)</f>
        <v>0</v>
      </c>
      <c r="L558" s="83">
        <f>IF(A!H431="y",1,0)</f>
        <v>0</v>
      </c>
      <c r="M558" s="84" t="str">
        <f>IF(A!F431="y","NEW","")</f>
        <v/>
      </c>
      <c r="N558" s="85">
        <f>A!I431</f>
        <v>0</v>
      </c>
      <c r="O558" s="82">
        <f>A!O431</f>
        <v>3</v>
      </c>
      <c r="P558" s="541"/>
      <c r="Q558" s="541">
        <f>A!E431</f>
        <v>0</v>
      </c>
      <c r="R558" s="541" t="s">
        <v>742</v>
      </c>
      <c r="S558" s="541">
        <f t="shared" si="238"/>
        <v>0</v>
      </c>
      <c r="T558" s="541" t="str">
        <f>A!R431</f>
        <v>x1</v>
      </c>
      <c r="U558" s="541">
        <f>A!S431</f>
        <v>45</v>
      </c>
      <c r="V558" s="541">
        <f>A!T431</f>
        <v>0.125</v>
      </c>
      <c r="W558" s="541"/>
      <c r="X558" s="541"/>
    </row>
    <row r="559" spans="1:24" ht="11.25" hidden="1" customHeight="1" x14ac:dyDescent="0.25">
      <c r="A559" s="121" t="str">
        <f>IF(S559=0,"",COUNTIF(A$23:A558,"&gt;0")+1)</f>
        <v/>
      </c>
      <c r="B559" s="75"/>
      <c r="C559" s="76" t="str">
        <f t="shared" si="237"/>
        <v>x1</v>
      </c>
      <c r="D559" s="98" t="str">
        <f>A!C432</f>
        <v>Nasturtium Aquaticum Contour</v>
      </c>
      <c r="E559" s="78"/>
      <c r="F559" s="78"/>
      <c r="G559" s="125"/>
      <c r="H559" s="89" t="str">
        <f>A!Q432</f>
        <v>the natural way to keep green algae at bay</v>
      </c>
      <c r="I559" s="69">
        <f>A!M432</f>
        <v>2</v>
      </c>
      <c r="J559" s="202">
        <f>A!P432</f>
        <v>0</v>
      </c>
      <c r="K559" s="83">
        <f>IF(A!G432="y",1,0)</f>
        <v>0</v>
      </c>
      <c r="L559" s="83">
        <f>IF(A!H432="y",1,0)</f>
        <v>0</v>
      </c>
      <c r="M559" s="84" t="str">
        <f>IF(A!F432="y","NEW","")</f>
        <v/>
      </c>
      <c r="N559" s="85">
        <f>A!I432</f>
        <v>0</v>
      </c>
      <c r="O559" s="82">
        <f>A!O432</f>
        <v>3</v>
      </c>
      <c r="P559" s="541"/>
      <c r="Q559" s="541">
        <f>A!E432</f>
        <v>0</v>
      </c>
      <c r="R559" s="541" t="s">
        <v>742</v>
      </c>
      <c r="S559" s="541">
        <f t="shared" si="238"/>
        <v>0</v>
      </c>
      <c r="T559" s="541" t="str">
        <f>A!R432</f>
        <v>x1</v>
      </c>
      <c r="U559" s="541">
        <f>A!S432</f>
        <v>45</v>
      </c>
      <c r="V559" s="541">
        <f>A!T432</f>
        <v>0.125</v>
      </c>
      <c r="W559" s="541"/>
      <c r="X559" s="541"/>
    </row>
    <row r="560" spans="1:24" ht="12" hidden="1" customHeight="1" x14ac:dyDescent="0.25">
      <c r="A560" s="121" t="str">
        <f>IF(S560=0,"",COUNTIF(A$23:A559,"&gt;0")+1)</f>
        <v/>
      </c>
      <c r="B560" s="126"/>
      <c r="C560" s="91" t="str">
        <f t="shared" si="237"/>
        <v>x1</v>
      </c>
      <c r="D560" s="98" t="str">
        <f>A!C433</f>
        <v>Veronica Contour</v>
      </c>
      <c r="E560" s="78"/>
      <c r="F560" s="78"/>
      <c r="G560" s="125"/>
      <c r="H560" s="89" t="str">
        <f>A!Q433</f>
        <v>a real functional native, great for all ponds</v>
      </c>
      <c r="I560" s="69">
        <f>A!M433</f>
        <v>2</v>
      </c>
      <c r="J560" s="202">
        <f>A!P433</f>
        <v>0</v>
      </c>
      <c r="K560" s="83">
        <f>IF(A!G433="y",1,0)</f>
        <v>0</v>
      </c>
      <c r="L560" s="83">
        <f>IF(A!H433="y",1,0)</f>
        <v>0</v>
      </c>
      <c r="M560" s="84" t="str">
        <f>IF(A!F433="y","NEW","")</f>
        <v/>
      </c>
      <c r="N560" s="85">
        <f>A!I433</f>
        <v>0</v>
      </c>
      <c r="O560" s="82">
        <f>A!O433</f>
        <v>3</v>
      </c>
      <c r="P560" s="541"/>
      <c r="Q560" s="541">
        <f>A!E433</f>
        <v>0</v>
      </c>
      <c r="R560" s="541" t="s">
        <v>742</v>
      </c>
      <c r="S560" s="541">
        <f t="shared" si="238"/>
        <v>0</v>
      </c>
      <c r="T560" s="541" t="str">
        <f>A!R433</f>
        <v>x1</v>
      </c>
      <c r="U560" s="541">
        <f>A!S433</f>
        <v>45</v>
      </c>
      <c r="V560" s="541">
        <f>A!T433</f>
        <v>0.125</v>
      </c>
      <c r="W560" s="541"/>
      <c r="X560" s="541"/>
    </row>
    <row r="561" spans="1:24" ht="13.5" customHeight="1" x14ac:dyDescent="0.25">
      <c r="A561" s="121" t="str">
        <f>IF(S561=0,"",COUNTIF(A$23:A560,"&gt;0")+1)</f>
        <v/>
      </c>
      <c r="B561" s="124">
        <f>SUM(B550:B560)</f>
        <v>0</v>
      </c>
      <c r="C561" s="124"/>
      <c r="D561" s="93" t="s">
        <v>1361</v>
      </c>
      <c r="E561" s="56"/>
      <c r="F561" s="56"/>
      <c r="G561" s="56"/>
      <c r="H561" s="56"/>
      <c r="I561" s="56"/>
      <c r="J561" s="200"/>
      <c r="K561" s="56"/>
      <c r="L561" s="56"/>
      <c r="M561" s="58"/>
      <c r="N561" s="56"/>
      <c r="O561" s="96"/>
      <c r="P561" s="541"/>
      <c r="Q561" s="540"/>
      <c r="R561" s="541" t="s">
        <v>742</v>
      </c>
      <c r="S561" s="541">
        <f t="shared" si="238"/>
        <v>0</v>
      </c>
      <c r="T561" s="541" t="s">
        <v>548</v>
      </c>
      <c r="U561" s="541"/>
      <c r="V561" s="541"/>
      <c r="W561" s="541"/>
      <c r="X561" s="541"/>
    </row>
    <row r="562" spans="1:24" ht="6.75" hidden="1" customHeight="1" thickBot="1" x14ac:dyDescent="0.3">
      <c r="A562" s="121" t="str">
        <f>IF(S562=0,"",COUNTIF(A$23:A561,"&gt;0")+1)</f>
        <v/>
      </c>
      <c r="P562" s="541"/>
      <c r="Q562" s="541"/>
      <c r="R562" s="541"/>
      <c r="S562" s="541"/>
      <c r="T562" s="541"/>
      <c r="U562" s="541"/>
      <c r="V562" s="541"/>
      <c r="W562" s="541"/>
      <c r="X562" s="541"/>
    </row>
    <row r="563" spans="1:24" ht="11.25" hidden="1" customHeight="1" x14ac:dyDescent="0.25">
      <c r="A563" s="121" t="str">
        <f>IF(S563=0,"",COUNTIF(A$23:A562,"&gt;0")+1)</f>
        <v/>
      </c>
      <c r="B563" s="1017" t="s">
        <v>115</v>
      </c>
      <c r="C563" s="1018"/>
      <c r="D563" s="981" t="s">
        <v>1118</v>
      </c>
      <c r="E563" s="982"/>
      <c r="F563" s="982"/>
      <c r="G563" s="982"/>
      <c r="H563" s="985" t="s">
        <v>1182</v>
      </c>
      <c r="I563" s="878" t="s">
        <v>1281</v>
      </c>
      <c r="J563" s="878"/>
      <c r="K563" s="878"/>
      <c r="L563" s="878"/>
      <c r="M563" s="878"/>
      <c r="N563" s="878"/>
      <c r="O563" s="879"/>
      <c r="P563" s="541"/>
      <c r="Q563" s="541"/>
      <c r="R563" s="541"/>
      <c r="S563" s="541"/>
      <c r="T563" s="541"/>
      <c r="U563" s="541"/>
      <c r="V563" s="541"/>
      <c r="W563" s="541"/>
      <c r="X563" s="541"/>
    </row>
    <row r="564" spans="1:24" ht="10.5" hidden="1" customHeight="1" thickBot="1" x14ac:dyDescent="0.3">
      <c r="A564" s="121" t="str">
        <f>IF(S564=0,"",COUNTIF(A$23:A563,"&gt;0")+1)</f>
        <v/>
      </c>
      <c r="B564" s="876" t="s">
        <v>1188</v>
      </c>
      <c r="C564" s="877"/>
      <c r="D564" s="983"/>
      <c r="E564" s="984"/>
      <c r="F564" s="984"/>
      <c r="G564" s="984"/>
      <c r="H564" s="986"/>
      <c r="I564" s="355"/>
      <c r="J564" s="356"/>
      <c r="K564" s="357"/>
      <c r="L564" s="357"/>
      <c r="M564" s="355"/>
      <c r="N564" s="357"/>
      <c r="O564" s="358" t="s">
        <v>41</v>
      </c>
      <c r="P564" s="541"/>
      <c r="Q564" s="541"/>
      <c r="R564" s="541"/>
      <c r="S564" s="541"/>
      <c r="T564" s="541"/>
      <c r="U564" s="541"/>
      <c r="V564" s="541"/>
      <c r="W564" s="541"/>
      <c r="X564" s="541"/>
    </row>
    <row r="565" spans="1:24" ht="10.5" hidden="1" customHeight="1" x14ac:dyDescent="0.25">
      <c r="A565" s="121" t="str">
        <f>IF(S565=0,"",COUNTIF(A$23:A564,"&gt;0")+1)</f>
        <v/>
      </c>
      <c r="B565" s="359"/>
      <c r="C565" s="128" t="str">
        <f>T565</f>
        <v>x12</v>
      </c>
      <c r="D565" s="119" t="str">
        <f>A!C860</f>
        <v>9cm Ferns Assorted</v>
      </c>
      <c r="E565" s="113"/>
      <c r="F565" s="113"/>
      <c r="G565" s="197" t="str">
        <f>A!N860</f>
        <v>Mixed Ferns</v>
      </c>
      <c r="H565" s="129" t="str">
        <f>A!Q860</f>
        <v>Our choice, best selection</v>
      </c>
      <c r="I565" s="130"/>
      <c r="J565" s="203">
        <f>A!P860</f>
        <v>0</v>
      </c>
      <c r="K565" s="131">
        <f>IF(A!G860="y",1,0)</f>
        <v>0</v>
      </c>
      <c r="L565" s="131">
        <f>IF(A!H860="y",1,0)</f>
        <v>0</v>
      </c>
      <c r="M565" s="132" t="str">
        <f>IF(A!F860="y","NEW","")</f>
        <v/>
      </c>
      <c r="N565" s="133">
        <f>A!I860</f>
        <v>0</v>
      </c>
      <c r="O565" s="360">
        <f>A!O860</f>
        <v>1</v>
      </c>
      <c r="P565" s="541"/>
      <c r="Q565" s="541">
        <f>A!E860</f>
        <v>0</v>
      </c>
      <c r="R565" s="541" t="s">
        <v>1090</v>
      </c>
      <c r="S565" s="541">
        <f>B565</f>
        <v>0</v>
      </c>
      <c r="T565" s="541" t="str">
        <f>A!R860</f>
        <v>x12</v>
      </c>
      <c r="U565" s="541">
        <f>A!S860</f>
        <v>30</v>
      </c>
      <c r="V565" s="541">
        <f>A!T860</f>
        <v>0.16666666666666666</v>
      </c>
      <c r="W565" s="541">
        <f t="shared" ref="W565:W576" si="240">V565*B565</f>
        <v>0</v>
      </c>
      <c r="X565" s="541"/>
    </row>
    <row r="566" spans="1:24" ht="10.5" hidden="1" customHeight="1" x14ac:dyDescent="0.25">
      <c r="A566" s="121" t="str">
        <f>IF(S566=0,"",COUNTIF(A$23:A565,"&gt;0")+1)</f>
        <v/>
      </c>
      <c r="B566" s="361"/>
      <c r="C566" s="128" t="str">
        <f t="shared" ref="C566:C576" si="241">T566</f>
        <v>x12</v>
      </c>
      <c r="D566" s="119" t="str">
        <f>A!C861</f>
        <v>Asplenium scolopendrium</v>
      </c>
      <c r="E566" s="113"/>
      <c r="F566" s="113"/>
      <c r="G566" s="197" t="str">
        <f>A!N861</f>
        <v>Harts Tongue Fern</v>
      </c>
      <c r="H566" s="129" t="str">
        <f>A!Q861</f>
        <v>eyecatching , un-fernlike,versatile and native</v>
      </c>
      <c r="I566" s="130"/>
      <c r="J566" s="203" t="str">
        <f>A!P861</f>
        <v>Yes</v>
      </c>
      <c r="K566" s="131">
        <f>IF(A!G861="y",1,0)</f>
        <v>0</v>
      </c>
      <c r="L566" s="131">
        <f>IF(A!H861="y",1,0)</f>
        <v>0</v>
      </c>
      <c r="M566" s="132" t="str">
        <f>IF(A!F861="y","NEW","")</f>
        <v/>
      </c>
      <c r="N566" s="133">
        <f>A!I861</f>
        <v>0</v>
      </c>
      <c r="O566" s="360">
        <f>A!O861</f>
        <v>1</v>
      </c>
      <c r="P566" s="541"/>
      <c r="Q566" s="541">
        <f>A!E861</f>
        <v>0</v>
      </c>
      <c r="R566" s="541" t="s">
        <v>1090</v>
      </c>
      <c r="S566" s="541">
        <f t="shared" ref="S566:S577" si="242">B566</f>
        <v>0</v>
      </c>
      <c r="T566" s="541" t="str">
        <f>A!R861</f>
        <v>x12</v>
      </c>
      <c r="U566" s="541">
        <f>A!S861</f>
        <v>30</v>
      </c>
      <c r="V566" s="541">
        <f>A!T861</f>
        <v>0.16666666666666666</v>
      </c>
      <c r="W566" s="541">
        <f t="shared" si="240"/>
        <v>0</v>
      </c>
      <c r="X566" s="541"/>
    </row>
    <row r="567" spans="1:24" ht="10.5" hidden="1" customHeight="1" x14ac:dyDescent="0.25">
      <c r="A567" s="121" t="str">
        <f>IF(S567=0,"",COUNTIF(A$23:A566,"&gt;0")+1)</f>
        <v/>
      </c>
      <c r="B567" s="361"/>
      <c r="C567" s="128" t="str">
        <f t="shared" si="241"/>
        <v>x12</v>
      </c>
      <c r="D567" s="119" t="str">
        <f>A!C862</f>
        <v>Athyrium felix femina</v>
      </c>
      <c r="E567" s="113"/>
      <c r="F567" s="113"/>
      <c r="G567" s="197" t="str">
        <f>A!N862</f>
        <v>Lady Fern</v>
      </c>
      <c r="H567" s="129" t="str">
        <f>A!Q862</f>
        <v>graceful, bright green, filigree-like foliage</v>
      </c>
      <c r="I567" s="130"/>
      <c r="J567" s="203" t="str">
        <f>A!P862</f>
        <v>Yes</v>
      </c>
      <c r="K567" s="131">
        <f>IF(A!G862="y",1,0)</f>
        <v>0</v>
      </c>
      <c r="L567" s="131">
        <f>IF(A!H862="y",1,0)</f>
        <v>0</v>
      </c>
      <c r="M567" s="132" t="str">
        <f>IF(A!F862="y","NEW","")</f>
        <v/>
      </c>
      <c r="N567" s="133">
        <f>A!I862</f>
        <v>0</v>
      </c>
      <c r="O567" s="360">
        <f>A!O862</f>
        <v>1</v>
      </c>
      <c r="P567" s="541"/>
      <c r="Q567" s="541">
        <f>A!E862</f>
        <v>0</v>
      </c>
      <c r="R567" s="541" t="s">
        <v>1090</v>
      </c>
      <c r="S567" s="541">
        <f t="shared" si="242"/>
        <v>0</v>
      </c>
      <c r="T567" s="541" t="str">
        <f>A!R862</f>
        <v>x12</v>
      </c>
      <c r="U567" s="541">
        <f>A!S862</f>
        <v>30</v>
      </c>
      <c r="V567" s="541">
        <f>A!T862</f>
        <v>0.16666666666666666</v>
      </c>
      <c r="W567" s="541">
        <f t="shared" si="240"/>
        <v>0</v>
      </c>
      <c r="X567" s="541"/>
    </row>
    <row r="568" spans="1:24" ht="10.5" hidden="1" customHeight="1" x14ac:dyDescent="0.25">
      <c r="A568" s="121" t="str">
        <f>IF(S568=0,"",COUNTIF(A$23:A567,"&gt;0")+1)</f>
        <v/>
      </c>
      <c r="B568" s="361"/>
      <c r="C568" s="128" t="str">
        <f t="shared" si="241"/>
        <v>x12</v>
      </c>
      <c r="D568" s="119" t="str">
        <f>A!C863</f>
        <v>Athyrium nipponicum pictum</v>
      </c>
      <c r="E568" s="113"/>
      <c r="F568" s="113"/>
      <c r="G568" s="197" t="str">
        <f>A!N863</f>
        <v>Painted Fern</v>
      </c>
      <c r="H568" s="129" t="str">
        <f>A!Q863</f>
        <v>one of the most colourful ferns</v>
      </c>
      <c r="I568" s="130"/>
      <c r="J568" s="203">
        <f>A!P863</f>
        <v>0</v>
      </c>
      <c r="K568" s="131">
        <f>IF(A!G863="y",1,0)</f>
        <v>0</v>
      </c>
      <c r="L568" s="131">
        <f>IF(A!H863="y",1,0)</f>
        <v>0</v>
      </c>
      <c r="M568" s="132" t="str">
        <f>IF(A!F863="y","NEW","")</f>
        <v/>
      </c>
      <c r="N568" s="133">
        <f>A!I863</f>
        <v>0</v>
      </c>
      <c r="O568" s="360">
        <f>A!O863</f>
        <v>1</v>
      </c>
      <c r="P568" s="541"/>
      <c r="Q568" s="541">
        <f>A!E863</f>
        <v>0</v>
      </c>
      <c r="R568" s="541" t="s">
        <v>1090</v>
      </c>
      <c r="S568" s="541">
        <f t="shared" si="242"/>
        <v>0</v>
      </c>
      <c r="T568" s="541" t="str">
        <f>A!R863</f>
        <v>x12</v>
      </c>
      <c r="U568" s="541">
        <f>A!S863</f>
        <v>30</v>
      </c>
      <c r="V568" s="541">
        <f>A!T863</f>
        <v>0.16666666666666666</v>
      </c>
      <c r="W568" s="541">
        <f t="shared" si="240"/>
        <v>0</v>
      </c>
      <c r="X568" s="541"/>
    </row>
    <row r="569" spans="1:24" ht="10.5" hidden="1" customHeight="1" x14ac:dyDescent="0.25">
      <c r="A569" s="121" t="str">
        <f>IF(S569=0,"",COUNTIF(A$23:A568,"&gt;0")+1)</f>
        <v/>
      </c>
      <c r="B569" s="361"/>
      <c r="C569" s="128" t="str">
        <f t="shared" si="241"/>
        <v>x12</v>
      </c>
      <c r="D569" s="119" t="str">
        <f>A!C864</f>
        <v>Blechnum spicant</v>
      </c>
      <c r="E569" s="113"/>
      <c r="F569" s="113"/>
      <c r="G569" s="197" t="str">
        <f>A!N864</f>
        <v>Hard Fern</v>
      </c>
      <c r="H569" s="129" t="str">
        <f>A!Q864</f>
        <v>curious sword fern-like foliage, hardy and native</v>
      </c>
      <c r="I569" s="130"/>
      <c r="J569" s="203" t="str">
        <f>A!P864</f>
        <v>Yes</v>
      </c>
      <c r="K569" s="131">
        <f>IF(A!G864="y",1,0)</f>
        <v>0</v>
      </c>
      <c r="L569" s="131">
        <f>IF(A!H864="y",1,0)</f>
        <v>0</v>
      </c>
      <c r="M569" s="132" t="str">
        <f>IF(A!F864="y","NEW","")</f>
        <v/>
      </c>
      <c r="N569" s="133">
        <f>A!I864</f>
        <v>0</v>
      </c>
      <c r="O569" s="360">
        <f>A!O864</f>
        <v>1</v>
      </c>
      <c r="P569" s="541"/>
      <c r="Q569" s="541">
        <f>A!E864</f>
        <v>0</v>
      </c>
      <c r="R569" s="541" t="s">
        <v>1090</v>
      </c>
      <c r="S569" s="541">
        <f t="shared" si="242"/>
        <v>0</v>
      </c>
      <c r="T569" s="541" t="str">
        <f>A!R864</f>
        <v>x12</v>
      </c>
      <c r="U569" s="541">
        <f>A!S864</f>
        <v>30</v>
      </c>
      <c r="V569" s="541">
        <f>A!T864</f>
        <v>0.16666666666666666</v>
      </c>
      <c r="W569" s="541">
        <f t="shared" si="240"/>
        <v>0</v>
      </c>
      <c r="X569" s="541"/>
    </row>
    <row r="570" spans="1:24" ht="10.5" hidden="1" customHeight="1" x14ac:dyDescent="0.25">
      <c r="A570" s="121" t="str">
        <f>IF(S570=0,"",COUNTIF(A$23:A569,"&gt;0")+1)</f>
        <v/>
      </c>
      <c r="B570" s="361"/>
      <c r="C570" s="128" t="str">
        <f t="shared" si="241"/>
        <v>x12</v>
      </c>
      <c r="D570" s="119" t="str">
        <f>A!C865</f>
        <v>Dryopteris affinis</v>
      </c>
      <c r="E570" s="113"/>
      <c r="F570" s="113"/>
      <c r="G570" s="197" t="str">
        <f>A!N865</f>
        <v>Scaly Male Fern</v>
      </c>
      <c r="H570" s="129" t="str">
        <f>A!Q865</f>
        <v>handsome shuttlecock-type fern</v>
      </c>
      <c r="I570" s="130"/>
      <c r="J570" s="203">
        <f>A!P865</f>
        <v>0</v>
      </c>
      <c r="K570" s="131">
        <f>IF(A!G865="y",1,0)</f>
        <v>0</v>
      </c>
      <c r="L570" s="131">
        <f>IF(A!H865="y",1,0)</f>
        <v>0</v>
      </c>
      <c r="M570" s="132" t="str">
        <f>IF(A!F865="y","NEW","")</f>
        <v/>
      </c>
      <c r="N570" s="133">
        <f>A!I865</f>
        <v>0</v>
      </c>
      <c r="O570" s="360">
        <f>A!O865</f>
        <v>1</v>
      </c>
      <c r="P570" s="541"/>
      <c r="Q570" s="541">
        <f>A!E865</f>
        <v>0</v>
      </c>
      <c r="R570" s="541" t="s">
        <v>1090</v>
      </c>
      <c r="S570" s="541">
        <f t="shared" si="242"/>
        <v>0</v>
      </c>
      <c r="T570" s="541" t="str">
        <f>A!R865</f>
        <v>x12</v>
      </c>
      <c r="U570" s="541">
        <f>A!S865</f>
        <v>30</v>
      </c>
      <c r="V570" s="541">
        <f>A!T865</f>
        <v>0.16666666666666666</v>
      </c>
      <c r="W570" s="541">
        <f t="shared" si="240"/>
        <v>0</v>
      </c>
      <c r="X570" s="541"/>
    </row>
    <row r="571" spans="1:24" ht="10.5" hidden="1" customHeight="1" x14ac:dyDescent="0.25">
      <c r="A571" s="121" t="str">
        <f>IF(S571=0,"",COUNTIF(A$23:A570,"&gt;0")+1)</f>
        <v/>
      </c>
      <c r="B571" s="361"/>
      <c r="C571" s="128" t="str">
        <f t="shared" si="241"/>
        <v>x12</v>
      </c>
      <c r="D571" s="119" t="str">
        <f>A!C866</f>
        <v>Dryopteris erythrosora</v>
      </c>
      <c r="E571" s="113"/>
      <c r="F571" s="113"/>
      <c r="G571" s="197" t="str">
        <f>A!N866</f>
        <v>Autumn Fern</v>
      </c>
      <c r="H571" s="129" t="str">
        <f>A!Q866</f>
        <v>evergreen Asian fern with bipinnate red/green fronds</v>
      </c>
      <c r="I571" s="130"/>
      <c r="J571" s="203">
        <f>A!P866</f>
        <v>0</v>
      </c>
      <c r="K571" s="131">
        <f>IF(A!G866="y",1,0)</f>
        <v>0</v>
      </c>
      <c r="L571" s="131">
        <f>IF(A!H866="y",1,0)</f>
        <v>0</v>
      </c>
      <c r="M571" s="132" t="str">
        <f>IF(A!F866="y","NEW","")</f>
        <v/>
      </c>
      <c r="N571" s="133">
        <f>A!I866</f>
        <v>0</v>
      </c>
      <c r="O571" s="360">
        <f>A!O866</f>
        <v>1</v>
      </c>
      <c r="P571" s="541"/>
      <c r="Q571" s="541">
        <f>A!E866</f>
        <v>0</v>
      </c>
      <c r="R571" s="541" t="s">
        <v>1090</v>
      </c>
      <c r="S571" s="541">
        <f t="shared" si="242"/>
        <v>0</v>
      </c>
      <c r="T571" s="541" t="str">
        <f>A!R866</f>
        <v>x12</v>
      </c>
      <c r="U571" s="541">
        <f>A!S866</f>
        <v>30</v>
      </c>
      <c r="V571" s="541">
        <f>A!T866</f>
        <v>0.16666666666666666</v>
      </c>
      <c r="W571" s="541">
        <f t="shared" si="240"/>
        <v>0</v>
      </c>
      <c r="X571" s="541"/>
    </row>
    <row r="572" spans="1:24" ht="10.5" hidden="1" customHeight="1" x14ac:dyDescent="0.25">
      <c r="A572" s="121" t="str">
        <f>IF(S572=0,"",COUNTIF(A$23:A571,"&gt;0")+1)</f>
        <v/>
      </c>
      <c r="B572" s="361"/>
      <c r="C572" s="128" t="str">
        <f t="shared" si="241"/>
        <v>x12</v>
      </c>
      <c r="D572" s="119" t="str">
        <f>A!C867</f>
        <v>Dryopteris felix mas</v>
      </c>
      <c r="E572" s="113"/>
      <c r="F572" s="113"/>
      <c r="G572" s="197" t="str">
        <f>A!N867</f>
        <v>Male Fern</v>
      </c>
      <c r="H572" s="129" t="str">
        <f>A!Q867</f>
        <v>deciduous with shuttlecock-like fronds</v>
      </c>
      <c r="I572" s="130"/>
      <c r="J572" s="203" t="str">
        <f>A!P867</f>
        <v>Yes</v>
      </c>
      <c r="K572" s="131">
        <f>IF(A!G867="y",1,0)</f>
        <v>0</v>
      </c>
      <c r="L572" s="131">
        <f>IF(A!H867="y",1,0)</f>
        <v>0</v>
      </c>
      <c r="M572" s="132" t="str">
        <f>IF(A!F867="y","NEW","")</f>
        <v/>
      </c>
      <c r="N572" s="133">
        <f>A!I867</f>
        <v>0</v>
      </c>
      <c r="O572" s="360">
        <f>A!O867</f>
        <v>1</v>
      </c>
      <c r="P572" s="541"/>
      <c r="Q572" s="541">
        <f>A!E867</f>
        <v>0</v>
      </c>
      <c r="R572" s="541" t="s">
        <v>1090</v>
      </c>
      <c r="S572" s="541">
        <f t="shared" si="242"/>
        <v>0</v>
      </c>
      <c r="T572" s="541" t="str">
        <f>A!R867</f>
        <v>x12</v>
      </c>
      <c r="U572" s="541">
        <f>A!S867</f>
        <v>30</v>
      </c>
      <c r="V572" s="541">
        <f>A!T867</f>
        <v>0.16666666666666666</v>
      </c>
      <c r="W572" s="541">
        <f t="shared" si="240"/>
        <v>0</v>
      </c>
      <c r="X572" s="541"/>
    </row>
    <row r="573" spans="1:24" ht="10.5" hidden="1" customHeight="1" x14ac:dyDescent="0.25">
      <c r="A573" s="121" t="str">
        <f>IF(S573=0,"",COUNTIF(A$23:A572,"&gt;0")+1)</f>
        <v/>
      </c>
      <c r="B573" s="361"/>
      <c r="C573" s="128" t="str">
        <f t="shared" si="241"/>
        <v>x12</v>
      </c>
      <c r="D573" s="119" t="str">
        <f>A!C868</f>
        <v>Matteuccia struthiopteris</v>
      </c>
      <c r="E573" s="113"/>
      <c r="F573" s="113"/>
      <c r="G573" s="197" t="str">
        <f>A!N868</f>
        <v>Ostrich fern</v>
      </c>
      <c r="H573" s="129" t="str">
        <f>A!Q868</f>
        <v>large specimen, pale green, lacy fronds</v>
      </c>
      <c r="I573" s="130"/>
      <c r="J573" s="203" t="str">
        <f>A!P868</f>
        <v>Yes</v>
      </c>
      <c r="K573" s="131">
        <f>IF(A!G868="y",1,0)</f>
        <v>0</v>
      </c>
      <c r="L573" s="131">
        <f>IF(A!H868="y",1,0)</f>
        <v>0</v>
      </c>
      <c r="M573" s="132" t="str">
        <f>IF(A!F868="y","NEW","")</f>
        <v/>
      </c>
      <c r="N573" s="133">
        <f>A!I868</f>
        <v>0</v>
      </c>
      <c r="O573" s="360">
        <f>A!O868</f>
        <v>1</v>
      </c>
      <c r="P573" s="541"/>
      <c r="Q573" s="541">
        <f>A!E868</f>
        <v>0</v>
      </c>
      <c r="R573" s="541" t="s">
        <v>1090</v>
      </c>
      <c r="S573" s="541">
        <f t="shared" si="242"/>
        <v>0</v>
      </c>
      <c r="T573" s="541" t="str">
        <f>A!R868</f>
        <v>x12</v>
      </c>
      <c r="U573" s="541">
        <f>A!S868</f>
        <v>30</v>
      </c>
      <c r="V573" s="541">
        <f>A!T868</f>
        <v>0.16666666666666666</v>
      </c>
      <c r="W573" s="541">
        <f t="shared" si="240"/>
        <v>0</v>
      </c>
      <c r="X573" s="541"/>
    </row>
    <row r="574" spans="1:24" ht="10.5" hidden="1" customHeight="1" x14ac:dyDescent="0.25">
      <c r="A574" s="121" t="str">
        <f>IF(S574=0,"",COUNTIF(A$23:A573,"&gt;0")+1)</f>
        <v/>
      </c>
      <c r="B574" s="361"/>
      <c r="C574" s="128" t="str">
        <f t="shared" si="241"/>
        <v>x12</v>
      </c>
      <c r="D574" s="119" t="str">
        <f>A!C869</f>
        <v>Polystichum setiferum</v>
      </c>
      <c r="E574" s="113"/>
      <c r="F574" s="113"/>
      <c r="G574" s="197" t="str">
        <f>A!N869</f>
        <v>Soft Shield Fern</v>
      </c>
      <c r="H574" s="129" t="str">
        <f>A!Q869</f>
        <v>large evergreen fronds, native to the UK</v>
      </c>
      <c r="I574" s="130"/>
      <c r="J574" s="203" t="str">
        <f>A!P869</f>
        <v>Yes</v>
      </c>
      <c r="K574" s="131">
        <f>IF(A!G869="y",1,0)</f>
        <v>0</v>
      </c>
      <c r="L574" s="131">
        <f>IF(A!H869="y",1,0)</f>
        <v>0</v>
      </c>
      <c r="M574" s="132" t="str">
        <f>IF(A!F869="y","NEW","")</f>
        <v/>
      </c>
      <c r="N574" s="133">
        <f>A!I869</f>
        <v>0</v>
      </c>
      <c r="O574" s="360">
        <f>A!O869</f>
        <v>1</v>
      </c>
      <c r="P574" s="541"/>
      <c r="Q574" s="541">
        <f>A!E869</f>
        <v>0</v>
      </c>
      <c r="R574" s="541" t="s">
        <v>1090</v>
      </c>
      <c r="S574" s="541">
        <f t="shared" si="242"/>
        <v>0</v>
      </c>
      <c r="T574" s="541" t="str">
        <f>A!R869</f>
        <v>x12</v>
      </c>
      <c r="U574" s="541">
        <f>A!S869</f>
        <v>30</v>
      </c>
      <c r="V574" s="541">
        <f>A!T869</f>
        <v>0.16666666666666666</v>
      </c>
      <c r="W574" s="541">
        <f t="shared" si="240"/>
        <v>0</v>
      </c>
      <c r="X574" s="541"/>
    </row>
    <row r="575" spans="1:24" ht="10.5" hidden="1" customHeight="1" x14ac:dyDescent="0.25">
      <c r="A575" s="121" t="str">
        <f>IF(S575=0,"",COUNTIF(A$23:A574,"&gt;0")+1)</f>
        <v/>
      </c>
      <c r="B575" s="361"/>
      <c r="C575" s="128" t="str">
        <f t="shared" si="241"/>
        <v>x12</v>
      </c>
      <c r="D575" s="119" t="str">
        <f>A!C870</f>
        <v>Polystichum setiferum Herrenhausen</v>
      </c>
      <c r="E575" s="113"/>
      <c r="F575" s="113"/>
      <c r="G575" s="197" t="str">
        <f>A!N870</f>
        <v>Soft Shield Fern</v>
      </c>
      <c r="H575" s="129" t="str">
        <f>A!Q870</f>
        <v xml:space="preserve"> rosette of exquisite lacy fronds</v>
      </c>
      <c r="I575" s="130"/>
      <c r="J575" s="203">
        <f>A!P870</f>
        <v>0</v>
      </c>
      <c r="K575" s="131">
        <f>IF(A!G870="y",1,0)</f>
        <v>0</v>
      </c>
      <c r="L575" s="131">
        <f>IF(A!H870="y",1,0)</f>
        <v>0</v>
      </c>
      <c r="M575" s="132" t="str">
        <f>IF(A!F870="y","NEW","")</f>
        <v/>
      </c>
      <c r="N575" s="133">
        <f>A!I870</f>
        <v>0</v>
      </c>
      <c r="O575" s="360">
        <f>A!O870</f>
        <v>1</v>
      </c>
      <c r="P575" s="541"/>
      <c r="Q575" s="541">
        <f>A!E870</f>
        <v>0</v>
      </c>
      <c r="R575" s="541" t="s">
        <v>1090</v>
      </c>
      <c r="S575" s="541">
        <f t="shared" si="242"/>
        <v>0</v>
      </c>
      <c r="T575" s="541" t="str">
        <f>A!R870</f>
        <v>x12</v>
      </c>
      <c r="U575" s="541">
        <f>A!S870</f>
        <v>30</v>
      </c>
      <c r="V575" s="541">
        <f>A!T870</f>
        <v>0.16666666666666666</v>
      </c>
      <c r="W575" s="541">
        <f t="shared" si="240"/>
        <v>0</v>
      </c>
      <c r="X575" s="541"/>
    </row>
    <row r="576" spans="1:24" ht="10.5" hidden="1" customHeight="1" thickBot="1" x14ac:dyDescent="0.3">
      <c r="A576" s="121" t="str">
        <f>IF(S576=0,"",COUNTIF(A$23:A575,"&gt;0")+1)</f>
        <v/>
      </c>
      <c r="B576" s="362"/>
      <c r="C576" s="363" t="str">
        <f t="shared" si="241"/>
        <v>x12</v>
      </c>
      <c r="D576" s="364" t="str">
        <f>A!C871</f>
        <v>Polystichum polyblepharum</v>
      </c>
      <c r="E576" s="365"/>
      <c r="F576" s="365"/>
      <c r="G576" s="366" t="str">
        <f>A!N871</f>
        <v>Tassel Fern</v>
      </c>
      <c r="H576" s="367" t="str">
        <f>A!Q871</f>
        <v>hardy evergreen Asian fern</v>
      </c>
      <c r="I576" s="368"/>
      <c r="J576" s="369">
        <f>A!P871</f>
        <v>0</v>
      </c>
      <c r="K576" s="370">
        <f>IF(A!G871="y",1,0)</f>
        <v>0</v>
      </c>
      <c r="L576" s="370">
        <f>IF(A!H871="y",1,0)</f>
        <v>0</v>
      </c>
      <c r="M576" s="371" t="str">
        <f>IF(A!F871="y","NEW","")</f>
        <v/>
      </c>
      <c r="N576" s="372">
        <f>A!I871</f>
        <v>0</v>
      </c>
      <c r="O576" s="373">
        <f>A!O871</f>
        <v>1</v>
      </c>
      <c r="P576" s="541"/>
      <c r="Q576" s="541">
        <f>A!E871</f>
        <v>0</v>
      </c>
      <c r="R576" s="541" t="s">
        <v>1090</v>
      </c>
      <c r="S576" s="541">
        <f t="shared" si="242"/>
        <v>0</v>
      </c>
      <c r="T576" s="541" t="str">
        <f>A!R871</f>
        <v>x12</v>
      </c>
      <c r="U576" s="541">
        <f>A!S871</f>
        <v>30</v>
      </c>
      <c r="V576" s="541">
        <f>A!T871</f>
        <v>0.16666666666666666</v>
      </c>
      <c r="W576" s="541">
        <f t="shared" si="240"/>
        <v>0</v>
      </c>
      <c r="X576" s="541"/>
    </row>
    <row r="577" spans="1:24" ht="12.75" hidden="1" customHeight="1" x14ac:dyDescent="0.25">
      <c r="A577" s="121" t="str">
        <f>IF(S577=0,"",COUNTIF(A$23:A576,"&gt;0")+1)</f>
        <v/>
      </c>
      <c r="B577" s="101">
        <f>SUM(B565:B576)</f>
        <v>0</v>
      </c>
      <c r="C577" s="101"/>
      <c r="D577" s="285" t="s">
        <v>1122</v>
      </c>
      <c r="O577" s="343"/>
      <c r="P577" s="541"/>
      <c r="Q577" s="540"/>
      <c r="R577" s="541" t="s">
        <v>1090</v>
      </c>
      <c r="S577" s="541">
        <f t="shared" si="242"/>
        <v>0</v>
      </c>
      <c r="T577" s="541" t="s">
        <v>1112</v>
      </c>
      <c r="U577" s="541"/>
      <c r="V577" s="541"/>
      <c r="W577" s="541"/>
      <c r="X577" s="541"/>
    </row>
    <row r="578" spans="1:24" ht="6.75" customHeight="1" thickBot="1" x14ac:dyDescent="0.3">
      <c r="A578" s="121" t="str">
        <f>IF(S578=0,"",COUNTIF(A$23:A577,"&gt;0")+1)</f>
        <v/>
      </c>
      <c r="P578" s="541"/>
      <c r="Q578" s="541"/>
      <c r="R578" s="541"/>
      <c r="S578" s="541"/>
      <c r="T578" s="541"/>
      <c r="U578" s="541"/>
      <c r="V578" s="541"/>
      <c r="W578" s="541"/>
      <c r="X578" s="541"/>
    </row>
    <row r="579" spans="1:24" ht="8.25" customHeight="1" x14ac:dyDescent="0.25">
      <c r="A579" s="121" t="str">
        <f>IF(S579=0,"",COUNTIF(A$23:A578,"&gt;0")+1)</f>
        <v/>
      </c>
      <c r="B579" s="1024" t="s">
        <v>115</v>
      </c>
      <c r="C579" s="1025"/>
      <c r="D579" s="928" t="s">
        <v>1447</v>
      </c>
      <c r="E579" s="929"/>
      <c r="F579" s="929"/>
      <c r="G579" s="929"/>
      <c r="H579" s="938" t="s">
        <v>1437</v>
      </c>
      <c r="I579" s="471"/>
      <c r="J579" s="471"/>
      <c r="K579" s="1101" t="s">
        <v>1129</v>
      </c>
      <c r="L579" s="1101"/>
      <c r="M579" s="1101"/>
      <c r="N579" s="1101"/>
      <c r="O579" s="1102"/>
      <c r="P579" s="541"/>
      <c r="Q579" s="541"/>
      <c r="R579" s="541"/>
      <c r="S579" s="541"/>
      <c r="T579" s="541"/>
      <c r="U579" s="541"/>
      <c r="V579" s="541"/>
      <c r="W579" s="541"/>
      <c r="X579" s="541"/>
    </row>
    <row r="580" spans="1:24" ht="10.5" customHeight="1" thickBot="1" x14ac:dyDescent="0.3">
      <c r="A580" s="121" t="str">
        <f>IF(S580=0,"",COUNTIF(A$23:A579,"&gt;0")+1)</f>
        <v/>
      </c>
      <c r="B580" s="987" t="s">
        <v>210</v>
      </c>
      <c r="C580" s="988"/>
      <c r="D580" s="930"/>
      <c r="E580" s="931"/>
      <c r="F580" s="931"/>
      <c r="G580" s="931"/>
      <c r="H580" s="939"/>
      <c r="I580" s="620" t="s">
        <v>114</v>
      </c>
      <c r="J580" s="621"/>
      <c r="K580" s="1103"/>
      <c r="L580" s="1103"/>
      <c r="M580" s="1103"/>
      <c r="N580" s="1103"/>
      <c r="O580" s="1104"/>
      <c r="P580" s="541"/>
      <c r="Q580" s="540" t="s">
        <v>113</v>
      </c>
      <c r="R580" s="541"/>
      <c r="S580" s="541"/>
      <c r="T580" s="541"/>
      <c r="U580" s="541"/>
      <c r="V580" s="541"/>
      <c r="W580" s="541"/>
      <c r="X580" s="541"/>
    </row>
    <row r="581" spans="1:24" ht="10.5" customHeight="1" thickBot="1" x14ac:dyDescent="0.3">
      <c r="A581" s="121" t="str">
        <f>IF(S581=0,"",COUNTIF(A$23:A580,"&gt;0")+1)</f>
        <v/>
      </c>
      <c r="B581" s="658"/>
      <c r="C581" s="943" t="s">
        <v>1135</v>
      </c>
      <c r="D581" s="943"/>
      <c r="E581" s="943"/>
      <c r="F581" s="943"/>
      <c r="G581" s="943"/>
      <c r="H581" s="943"/>
      <c r="I581" s="943"/>
      <c r="J581" s="943"/>
      <c r="K581" s="943"/>
      <c r="L581" s="943"/>
      <c r="M581" s="943"/>
      <c r="N581" s="659"/>
      <c r="O581" s="660"/>
      <c r="P581" s="541"/>
      <c r="Q581" s="541"/>
      <c r="R581" s="541"/>
      <c r="S581" s="541"/>
      <c r="T581" s="541"/>
      <c r="U581" s="541"/>
      <c r="V581" s="541"/>
      <c r="W581" s="541"/>
      <c r="X581" s="541"/>
    </row>
    <row r="582" spans="1:24" ht="9" hidden="1" customHeight="1" x14ac:dyDescent="0.25">
      <c r="A582" s="121" t="str">
        <f>IF(S582=0,"",COUNTIF(A$23:A581,"&gt;0")+1)</f>
        <v/>
      </c>
      <c r="B582" s="622" t="s">
        <v>676</v>
      </c>
      <c r="C582" s="623"/>
      <c r="D582" s="624"/>
      <c r="E582" s="624"/>
      <c r="F582" s="624"/>
      <c r="G582" s="624"/>
      <c r="H582" s="625"/>
      <c r="I582" s="623"/>
      <c r="J582" s="624"/>
      <c r="K582" s="626"/>
      <c r="L582" s="626"/>
      <c r="M582" s="626"/>
      <c r="N582" s="626"/>
      <c r="O582" s="627"/>
      <c r="P582" s="541"/>
      <c r="Q582" s="540"/>
      <c r="R582" s="541"/>
      <c r="S582" s="541"/>
      <c r="T582" s="541"/>
      <c r="U582" s="541"/>
      <c r="V582" s="541"/>
      <c r="W582" s="541"/>
      <c r="X582" s="541"/>
    </row>
    <row r="583" spans="1:24" ht="8.25" hidden="1" customHeight="1" x14ac:dyDescent="0.25">
      <c r="A583" s="121" t="str">
        <f>IF(S583=0,"",COUNTIF(A$23:A582,"&gt;0")+1)</f>
        <v/>
      </c>
      <c r="B583" s="664"/>
      <c r="C583" s="665" t="str">
        <f t="shared" ref="C583" si="243">T583</f>
        <v>x8</v>
      </c>
      <c r="D583" s="666" t="str">
        <f>A!C808</f>
        <v>3x Snails &amp; 1x Oxy Plant</v>
      </c>
      <c r="E583" s="667"/>
      <c r="F583" s="668"/>
      <c r="G583" s="669" t="s">
        <v>1349</v>
      </c>
      <c r="H583" s="670" t="s">
        <v>1350</v>
      </c>
      <c r="I583" s="671">
        <f>A!M808</f>
        <v>1</v>
      </c>
      <c r="J583" s="672" t="str">
        <f>A!P808</f>
        <v>Yes</v>
      </c>
      <c r="K583" s="940">
        <v>5021353015218</v>
      </c>
      <c r="L583" s="941"/>
      <c r="M583" s="941"/>
      <c r="N583" s="941"/>
      <c r="O583" s="942"/>
      <c r="P583" s="541"/>
      <c r="Q583" s="541">
        <f>A!E808</f>
        <v>0</v>
      </c>
      <c r="R583" s="541" t="s">
        <v>669</v>
      </c>
      <c r="S583" s="541">
        <f t="shared" ref="S583" si="244">B583</f>
        <v>0</v>
      </c>
      <c r="T583" s="541" t="str">
        <f>A!R808</f>
        <v>x8</v>
      </c>
      <c r="U583" s="541">
        <f>A!S799</f>
        <v>25</v>
      </c>
      <c r="V583" s="541">
        <f>A!T799</f>
        <v>0.2</v>
      </c>
      <c r="W583" s="541">
        <f>V583*B583</f>
        <v>0</v>
      </c>
      <c r="X583" s="541"/>
    </row>
    <row r="584" spans="1:24" ht="12" hidden="1" customHeight="1" thickBot="1" x14ac:dyDescent="0.3">
      <c r="A584" s="121" t="str">
        <f>IF(S584=0,"",COUNTIF(A$23:A583,"&gt;0")+1)</f>
        <v/>
      </c>
      <c r="B584" s="674">
        <f>ROUNDDOWN(SUM(B583)/4,0)</f>
        <v>0</v>
      </c>
      <c r="C584" s="661" t="str">
        <f t="shared" ref="C584" si="245">T584</f>
        <v>x8</v>
      </c>
      <c r="D584" s="662" t="str">
        <f>A!C809</f>
        <v xml:space="preserve">* FOC 3x Snail &amp; 1x Oxy Plant </v>
      </c>
      <c r="E584" s="640"/>
      <c r="F584" s="492"/>
      <c r="G584" s="673" t="s">
        <v>992</v>
      </c>
      <c r="H584" s="663" t="s">
        <v>1350</v>
      </c>
      <c r="I584" s="643">
        <f>A!M809</f>
        <v>1</v>
      </c>
      <c r="J584" s="644" t="str">
        <f>A!P809</f>
        <v>Yes</v>
      </c>
      <c r="K584" s="944">
        <v>5021353015218</v>
      </c>
      <c r="L584" s="945"/>
      <c r="M584" s="945"/>
      <c r="N584" s="945"/>
      <c r="O584" s="946"/>
      <c r="P584" s="541"/>
      <c r="Q584" s="541">
        <f>A!E809</f>
        <v>0</v>
      </c>
      <c r="R584" s="541" t="s">
        <v>669</v>
      </c>
      <c r="S584" s="541">
        <f t="shared" ref="S584" si="246">B584</f>
        <v>0</v>
      </c>
      <c r="T584" s="541" t="str">
        <f>A!R809</f>
        <v>x8</v>
      </c>
      <c r="U584" s="541">
        <f>A!S800</f>
        <v>25</v>
      </c>
      <c r="V584" s="541">
        <f>A!T800</f>
        <v>0.2</v>
      </c>
      <c r="W584" s="541">
        <f>V584*B584</f>
        <v>0</v>
      </c>
      <c r="X584" s="541"/>
    </row>
    <row r="585" spans="1:24" ht="12" customHeight="1" x14ac:dyDescent="0.25">
      <c r="A585" s="121" t="str">
        <f>IF(S585=0,"",COUNTIF(A$23:A584,"&gt;0")+1)</f>
        <v/>
      </c>
      <c r="B585" s="466" t="s">
        <v>669</v>
      </c>
      <c r="C585" s="460"/>
      <c r="D585" s="461"/>
      <c r="E585" s="461"/>
      <c r="F585" s="461"/>
      <c r="G585" s="461"/>
      <c r="H585" s="462"/>
      <c r="I585" s="463"/>
      <c r="J585" s="461"/>
      <c r="K585" s="464"/>
      <c r="L585" s="464"/>
      <c r="M585" s="464"/>
      <c r="N585" s="464"/>
      <c r="O585" s="465"/>
      <c r="P585" s="541"/>
      <c r="Q585" s="540"/>
      <c r="R585" s="541"/>
      <c r="S585" s="541"/>
      <c r="T585" s="541"/>
      <c r="U585" s="541"/>
      <c r="V585" s="541"/>
      <c r="W585" s="541"/>
      <c r="X585" s="541"/>
    </row>
    <row r="586" spans="1:24" ht="10.5" customHeight="1" thickBot="1" x14ac:dyDescent="0.3">
      <c r="A586" s="121" t="str">
        <f>IF(S586=0,"",COUNTIF(A$23:A585,"&gt;0")+1)</f>
        <v/>
      </c>
      <c r="B586" s="815"/>
      <c r="C586" s="484" t="str">
        <f t="shared" ref="C586" si="247">T586</f>
        <v>x1</v>
      </c>
      <c r="D586" s="485" t="str">
        <f>A!C797</f>
        <v>Large Blue Pot- Pistia stratiotes</v>
      </c>
      <c r="E586" s="486"/>
      <c r="F586" s="486"/>
      <c r="G586" s="487" t="str">
        <f>A!N797</f>
        <v>water lettuce</v>
      </c>
      <c r="H586" s="488" t="str">
        <f>A!Q797</f>
        <v xml:space="preserve">Large Pot @ £2.49 </v>
      </c>
      <c r="I586" s="489">
        <f>A!M797</f>
        <v>1</v>
      </c>
      <c r="J586" s="489">
        <f>A!P797</f>
        <v>0</v>
      </c>
      <c r="K586" s="992">
        <v>5021353014617</v>
      </c>
      <c r="L586" s="992"/>
      <c r="M586" s="992"/>
      <c r="N586" s="992"/>
      <c r="O586" s="993"/>
      <c r="P586" s="541"/>
      <c r="Q586" s="541" t="str">
        <f>A!E797</f>
        <v>y</v>
      </c>
      <c r="R586" s="541" t="s">
        <v>669</v>
      </c>
      <c r="S586" s="541">
        <f t="shared" ref="S586" si="248">B586</f>
        <v>0</v>
      </c>
      <c r="T586" s="541" t="str">
        <f>A!R797</f>
        <v>x1</v>
      </c>
      <c r="U586" s="541">
        <f>A!S792</f>
        <v>0</v>
      </c>
      <c r="V586" s="541">
        <f>A!T792</f>
        <v>0</v>
      </c>
      <c r="W586" s="541">
        <f t="shared" ref="W586" si="249">V586*B586</f>
        <v>0</v>
      </c>
      <c r="X586" s="541"/>
    </row>
    <row r="587" spans="1:24" ht="11.25" customHeight="1" x14ac:dyDescent="0.25">
      <c r="A587" s="121" t="str">
        <f>IF(S587=0,"",COUNTIF(A$23:A586,"&gt;0")+1)</f>
        <v/>
      </c>
      <c r="B587" s="816"/>
      <c r="C587" s="817" t="str">
        <f t="shared" ref="C587" si="250">T587</f>
        <v>x8</v>
      </c>
      <c r="D587" s="819" t="str">
        <f>A!C794</f>
        <v>Blue Pot Pistia Stratiotes</v>
      </c>
      <c r="E587" s="820"/>
      <c r="F587" s="820"/>
      <c r="G587" s="821" t="str">
        <f>A!N794</f>
        <v>water lettuce</v>
      </c>
      <c r="H587" s="822" t="str">
        <f>A!Q794</f>
        <v>Tubbed @ £1.38 - Tray of 8</v>
      </c>
      <c r="I587" s="823">
        <f>A!M794</f>
        <v>1</v>
      </c>
      <c r="J587" s="823">
        <f>A!P794</f>
        <v>0</v>
      </c>
      <c r="K587" s="994"/>
      <c r="L587" s="994"/>
      <c r="M587" s="994"/>
      <c r="N587" s="994"/>
      <c r="O587" s="995"/>
      <c r="P587" s="541"/>
      <c r="Q587" s="541" t="str">
        <f>A!E794</f>
        <v>y</v>
      </c>
      <c r="R587" s="541" t="s">
        <v>669</v>
      </c>
      <c r="S587" s="541">
        <f>B587</f>
        <v>0</v>
      </c>
      <c r="T587" s="541" t="str">
        <f>A!R794</f>
        <v>x8</v>
      </c>
      <c r="U587" s="541">
        <f>A!S794</f>
        <v>25</v>
      </c>
      <c r="V587" s="541">
        <f>A!T794</f>
        <v>0.2</v>
      </c>
      <c r="W587" s="541">
        <f>V587*B587</f>
        <v>0</v>
      </c>
      <c r="X587" s="541"/>
    </row>
    <row r="588" spans="1:24" ht="11.25" customHeight="1" x14ac:dyDescent="0.25">
      <c r="A588" s="121" t="str">
        <f>IF(S588=0,"",COUNTIF(A$23:A587,"&gt;0")+1)</f>
        <v/>
      </c>
      <c r="B588" s="818"/>
      <c r="C588" s="478" t="str">
        <f t="shared" ref="C588" si="251">T588</f>
        <v>x8</v>
      </c>
      <c r="D588" s="479" t="str">
        <f>A!C798</f>
        <v>Blue Pot Hydrocharis morsus ranae</v>
      </c>
      <c r="E588" s="480"/>
      <c r="F588" s="480"/>
      <c r="G588" s="481" t="str">
        <f>A!N798</f>
        <v>frogbit</v>
      </c>
      <c r="H588" s="482" t="str">
        <f>A!Q798</f>
        <v>Blue Pot @ £1.57 - Tray of 8</v>
      </c>
      <c r="I588" s="483">
        <f>A!M798</f>
        <v>2</v>
      </c>
      <c r="J588" s="483" t="str">
        <f>A!P798</f>
        <v>Yes</v>
      </c>
      <c r="K588" s="994">
        <v>5021353015300</v>
      </c>
      <c r="L588" s="994"/>
      <c r="M588" s="994"/>
      <c r="N588" s="994"/>
      <c r="O588" s="995"/>
      <c r="P588" s="541"/>
      <c r="Q588" s="541" t="str">
        <f>A!E798</f>
        <v>Y</v>
      </c>
      <c r="R588" s="541" t="s">
        <v>669</v>
      </c>
      <c r="S588" s="541">
        <f t="shared" ref="S588" si="252">B588</f>
        <v>0</v>
      </c>
      <c r="T588" s="541" t="str">
        <f>A!R798</f>
        <v>x8</v>
      </c>
      <c r="U588" s="541">
        <f>A!S793</f>
        <v>25</v>
      </c>
      <c r="V588" s="541">
        <f>A!T793</f>
        <v>0.2</v>
      </c>
      <c r="W588" s="541">
        <f t="shared" ref="W588" si="253">V588*B588</f>
        <v>0</v>
      </c>
      <c r="X588" s="541"/>
    </row>
    <row r="589" spans="1:24" ht="11.25" hidden="1" customHeight="1" x14ac:dyDescent="0.25">
      <c r="A589" s="121" t="str">
        <f>IF(S589=0,"",COUNTIF(A$23:A588,"&gt;0")+1)</f>
        <v/>
      </c>
      <c r="B589" s="452"/>
      <c r="C589" s="472" t="str">
        <f t="shared" ref="C589:C591" si="254">T589</f>
        <v>x8</v>
      </c>
      <c r="D589" s="473" t="str">
        <f>A!C799</f>
        <v>Blue Pot Salvinia Natans</v>
      </c>
      <c r="E589" s="474"/>
      <c r="F589" s="474"/>
      <c r="G589" s="475" t="str">
        <f>A!N799</f>
        <v>water butterfly wings</v>
      </c>
      <c r="H589" s="476" t="str">
        <f>A!Q799</f>
        <v>Blue Pot @ £1.57 - Tray of 8</v>
      </c>
      <c r="I589" s="477">
        <f>A!M799</f>
        <v>2</v>
      </c>
      <c r="J589" s="477">
        <f>A!P799</f>
        <v>0</v>
      </c>
      <c r="K589" s="891">
        <v>5021353015270</v>
      </c>
      <c r="L589" s="892"/>
      <c r="M589" s="892"/>
      <c r="N589" s="892"/>
      <c r="O589" s="893"/>
      <c r="P589" s="541"/>
      <c r="Q589" s="541">
        <f>A!E799</f>
        <v>0</v>
      </c>
      <c r="R589" s="541" t="s">
        <v>669</v>
      </c>
      <c r="S589" s="541">
        <f t="shared" ref="S589:S591" si="255">B589</f>
        <v>0</v>
      </c>
      <c r="T589" s="541" t="str">
        <f>A!R799</f>
        <v>x8</v>
      </c>
      <c r="U589" s="541">
        <f>A!S794</f>
        <v>25</v>
      </c>
      <c r="V589" s="541">
        <f>A!T794</f>
        <v>0.2</v>
      </c>
      <c r="W589" s="541">
        <f t="shared" ref="W589:W590" si="256">V589*B589</f>
        <v>0</v>
      </c>
      <c r="X589" s="541"/>
    </row>
    <row r="590" spans="1:24" ht="11.25" hidden="1" customHeight="1" x14ac:dyDescent="0.25">
      <c r="A590" s="121" t="str">
        <f>IF(S590=0,"",COUNTIF(A$23:A589,"&gt;0")+1)</f>
        <v/>
      </c>
      <c r="B590" s="452"/>
      <c r="C590" s="472" t="str">
        <f t="shared" si="254"/>
        <v>x8</v>
      </c>
      <c r="D590" s="473" t="str">
        <f>A!C800</f>
        <v>Blue Pot Stratiotes Aloides</v>
      </c>
      <c r="E590" s="474"/>
      <c r="F590" s="474"/>
      <c r="G590" s="475" t="str">
        <f>A!N800</f>
        <v>water soldiers</v>
      </c>
      <c r="H590" s="476" t="str">
        <f>A!Q800</f>
        <v>Blue Pot @ £1.57 - Tray of 8</v>
      </c>
      <c r="I590" s="477">
        <f>A!M800</f>
        <v>1</v>
      </c>
      <c r="J590" s="477" t="str">
        <f>A!P800</f>
        <v>Yes</v>
      </c>
      <c r="K590" s="917">
        <v>5021353015232</v>
      </c>
      <c r="L590" s="918"/>
      <c r="M590" s="918"/>
      <c r="N590" s="918"/>
      <c r="O590" s="919"/>
      <c r="P590" s="541"/>
      <c r="Q590" s="541">
        <f>A!E800</f>
        <v>0</v>
      </c>
      <c r="R590" s="541" t="s">
        <v>669</v>
      </c>
      <c r="S590" s="541">
        <f t="shared" si="255"/>
        <v>0</v>
      </c>
      <c r="T590" s="541" t="str">
        <f>A!R800</f>
        <v>x8</v>
      </c>
      <c r="U590" s="541">
        <f>A!S795</f>
        <v>25</v>
      </c>
      <c r="V590" s="541">
        <f>A!T795</f>
        <v>0.2</v>
      </c>
      <c r="W590" s="541">
        <f t="shared" si="256"/>
        <v>0</v>
      </c>
      <c r="X590" s="541"/>
    </row>
    <row r="591" spans="1:24" ht="11.25" hidden="1" customHeight="1" x14ac:dyDescent="0.25">
      <c r="A591" s="121" t="str">
        <f>IF(S591=0,"",COUNTIF(A$23:A590,"&gt;0")+1)</f>
        <v/>
      </c>
      <c r="B591" s="592"/>
      <c r="C591" s="593" t="str">
        <f t="shared" si="254"/>
        <v>x8</v>
      </c>
      <c r="D591" s="594" t="str">
        <f>A!C801</f>
        <v>Blue Pot Trapa bispinosa</v>
      </c>
      <c r="E591" s="595"/>
      <c r="F591" s="595"/>
      <c r="G591" s="596" t="str">
        <f>A!N801</f>
        <v>water chestnut</v>
      </c>
      <c r="H591" s="597" t="str">
        <f>A!Q801</f>
        <v>Blue Pot @ £1.57 - Tray of 8</v>
      </c>
      <c r="I591" s="598">
        <f>A!M801</f>
        <v>1</v>
      </c>
      <c r="J591" s="598">
        <f>A!P801</f>
        <v>0</v>
      </c>
      <c r="K591" s="914">
        <v>5021353014983</v>
      </c>
      <c r="L591" s="915"/>
      <c r="M591" s="915"/>
      <c r="N591" s="915"/>
      <c r="O591" s="916"/>
      <c r="P591" s="541"/>
      <c r="Q591" s="541">
        <f>A!E801</f>
        <v>0</v>
      </c>
      <c r="R591" s="541" t="s">
        <v>669</v>
      </c>
      <c r="S591" s="541">
        <f t="shared" si="255"/>
        <v>0</v>
      </c>
      <c r="T591" s="541" t="str">
        <f>A!R801</f>
        <v>x8</v>
      </c>
      <c r="U591" s="541">
        <f>A!S799</f>
        <v>25</v>
      </c>
      <c r="V591" s="541">
        <f>A!T799</f>
        <v>0.2</v>
      </c>
      <c r="W591" s="541">
        <f>V591*B591</f>
        <v>0</v>
      </c>
      <c r="X591" s="541"/>
    </row>
    <row r="592" spans="1:24" ht="11.25" customHeight="1" thickBot="1" x14ac:dyDescent="0.3">
      <c r="A592" s="121" t="str">
        <f>IF(S592=0,"",COUNTIF(A$23:A591,"&gt;0")+1)</f>
        <v/>
      </c>
      <c r="B592" s="551"/>
      <c r="C592" s="478" t="str">
        <f t="shared" ref="C592:C600" si="257">T592</f>
        <v>x8</v>
      </c>
      <c r="D592" s="479" t="str">
        <f>A!C802</f>
        <v>Blue Pot Nymphoides peltata</v>
      </c>
      <c r="E592" s="480"/>
      <c r="F592" s="480"/>
      <c r="G592" s="481" t="str">
        <f>A!N802</f>
        <v>fringed waterlily</v>
      </c>
      <c r="H592" s="482" t="str">
        <f>A!Q802</f>
        <v>Blue Pot @ £1.57 - Tray of 8</v>
      </c>
      <c r="I592" s="483">
        <f>A!M802</f>
        <v>1</v>
      </c>
      <c r="J592" s="483" t="str">
        <f>A!P802</f>
        <v>Yes</v>
      </c>
      <c r="K592" s="891">
        <v>5021353015287</v>
      </c>
      <c r="L592" s="892"/>
      <c r="M592" s="892"/>
      <c r="N592" s="892"/>
      <c r="O592" s="893"/>
      <c r="P592" s="541"/>
      <c r="Q592" s="541" t="str">
        <f>A!E802</f>
        <v>y</v>
      </c>
      <c r="R592" s="541" t="s">
        <v>669</v>
      </c>
      <c r="S592" s="543">
        <f t="shared" ref="S592:S601" si="258">B592</f>
        <v>0</v>
      </c>
      <c r="T592" s="541" t="str">
        <f>A!R802</f>
        <v>x8</v>
      </c>
      <c r="U592" s="541">
        <f>A!S800</f>
        <v>25</v>
      </c>
      <c r="V592" s="541">
        <f>A!T800</f>
        <v>0.2</v>
      </c>
      <c r="W592" s="541">
        <f t="shared" ref="W592:W598" si="259">V592*B592</f>
        <v>0</v>
      </c>
      <c r="X592" s="541"/>
    </row>
    <row r="593" spans="1:24" ht="8.25" customHeight="1" x14ac:dyDescent="0.25">
      <c r="A593" s="121" t="str">
        <f>IF(S593=0,"",COUNTIF(A$23:A592,"&gt;0")+1)</f>
        <v/>
      </c>
      <c r="B593" s="467" t="s">
        <v>1282</v>
      </c>
      <c r="C593" s="453"/>
      <c r="D593" s="454"/>
      <c r="E593" s="455"/>
      <c r="F593" s="455"/>
      <c r="G593" s="455"/>
      <c r="H593" s="456"/>
      <c r="I593" s="457"/>
      <c r="J593" s="455"/>
      <c r="K593" s="458"/>
      <c r="L593" s="458"/>
      <c r="M593" s="458"/>
      <c r="N593" s="458"/>
      <c r="O593" s="459"/>
      <c r="P593" s="541"/>
      <c r="Q593" s="540"/>
      <c r="R593" s="541"/>
      <c r="S593" s="541"/>
      <c r="T593" s="541"/>
      <c r="U593" s="541"/>
      <c r="V593" s="541"/>
      <c r="W593" s="541"/>
      <c r="X593" s="541"/>
    </row>
    <row r="594" spans="1:24" ht="11.25" customHeight="1" x14ac:dyDescent="0.25">
      <c r="A594" s="121" t="str">
        <f>IF(S594=0,"",COUNTIF(A$23:A593,"&gt;0")+1)</f>
        <v/>
      </c>
      <c r="B594" s="468"/>
      <c r="C594" s="478" t="str">
        <f t="shared" si="257"/>
        <v>x8</v>
      </c>
      <c r="D594" s="479" t="str">
        <f>A!C803</f>
        <v>Blue Pot Ceratophyllum demersum</v>
      </c>
      <c r="E594" s="480"/>
      <c r="F594" s="480"/>
      <c r="G594" s="481" t="str">
        <f>A!N803</f>
        <v>hornwort</v>
      </c>
      <c r="H594" s="482" t="str">
        <f>A!Q803</f>
        <v>Blue Pot @ £1.57 - Tray of 8</v>
      </c>
      <c r="I594" s="483">
        <f>A!M803</f>
        <v>1</v>
      </c>
      <c r="J594" s="483" t="str">
        <f>A!P803</f>
        <v>Yes</v>
      </c>
      <c r="K594" s="891">
        <v>5021353015356</v>
      </c>
      <c r="L594" s="892"/>
      <c r="M594" s="892"/>
      <c r="N594" s="892"/>
      <c r="O594" s="893"/>
      <c r="P594" s="541"/>
      <c r="Q594" s="541" t="str">
        <f>A!E803</f>
        <v>Y</v>
      </c>
      <c r="R594" s="541" t="s">
        <v>669</v>
      </c>
      <c r="S594" s="541">
        <f t="shared" si="258"/>
        <v>0</v>
      </c>
      <c r="T594" s="541" t="str">
        <f>A!R803</f>
        <v>x8</v>
      </c>
      <c r="U594" s="541">
        <f>A!S801</f>
        <v>25</v>
      </c>
      <c r="V594" s="541">
        <f>A!T801</f>
        <v>0.2</v>
      </c>
      <c r="W594" s="541">
        <f t="shared" si="259"/>
        <v>0</v>
      </c>
      <c r="X594" s="541"/>
    </row>
    <row r="595" spans="1:24" ht="11.25" hidden="1" customHeight="1" x14ac:dyDescent="0.25">
      <c r="A595" s="121" t="str">
        <f>IF(S595=0,"",COUNTIF(A$23:A594,"&gt;0")+1)</f>
        <v/>
      </c>
      <c r="B595" s="469"/>
      <c r="C595" s="472" t="str">
        <f t="shared" si="257"/>
        <v>x8</v>
      </c>
      <c r="D595" s="473" t="str">
        <f>A!C804</f>
        <v>Blue Pot Potamogeton natans</v>
      </c>
      <c r="E595" s="474"/>
      <c r="F595" s="474"/>
      <c r="G595" s="475" t="str">
        <f>A!N804</f>
        <v>broad-leaved pondweed</v>
      </c>
      <c r="H595" s="476" t="str">
        <f>A!Q804</f>
        <v>Blue Pot @ £1.57 - Tray of 8</v>
      </c>
      <c r="I595" s="477">
        <f>A!M804</f>
        <v>1</v>
      </c>
      <c r="J595" s="477" t="str">
        <f>A!P804</f>
        <v>Yes</v>
      </c>
      <c r="K595" s="917">
        <v>5021353015225</v>
      </c>
      <c r="L595" s="918"/>
      <c r="M595" s="918"/>
      <c r="N595" s="918"/>
      <c r="O595" s="919"/>
      <c r="P595" s="541"/>
      <c r="Q595" s="541">
        <f>A!E804</f>
        <v>0</v>
      </c>
      <c r="R595" s="541" t="s">
        <v>669</v>
      </c>
      <c r="S595" s="541">
        <f t="shared" si="258"/>
        <v>0</v>
      </c>
      <c r="T595" s="541" t="str">
        <f>A!R804</f>
        <v>x8</v>
      </c>
      <c r="U595" s="541">
        <f>A!S802</f>
        <v>25</v>
      </c>
      <c r="V595" s="541">
        <f>A!T802</f>
        <v>0.2</v>
      </c>
      <c r="W595" s="541">
        <f t="shared" si="259"/>
        <v>0</v>
      </c>
      <c r="X595" s="541"/>
    </row>
    <row r="596" spans="1:24" ht="11.25" hidden="1" customHeight="1" x14ac:dyDescent="0.25">
      <c r="A596" s="121" t="str">
        <f>IF(S596=0,"",COUNTIF(A$23:A595,"&gt;0")+1)</f>
        <v/>
      </c>
      <c r="B596" s="469"/>
      <c r="C596" s="472" t="str">
        <f t="shared" si="257"/>
        <v>x8</v>
      </c>
      <c r="D596" s="473" t="str">
        <f>A!C805</f>
        <v>Blue Pot Fontinalis</v>
      </c>
      <c r="E596" s="474"/>
      <c r="F596" s="474"/>
      <c r="G596" s="475" t="str">
        <f>A!N805</f>
        <v>water moss</v>
      </c>
      <c r="H596" s="476" t="str">
        <f>A!Q805</f>
        <v>Blue Pot @ £1.57 - Tray of 8</v>
      </c>
      <c r="I596" s="477">
        <f>A!M805</f>
        <v>1</v>
      </c>
      <c r="J596" s="477" t="str">
        <f>A!P805</f>
        <v>Yes</v>
      </c>
      <c r="K596" s="917">
        <v>5021353015317</v>
      </c>
      <c r="L596" s="918"/>
      <c r="M596" s="918"/>
      <c r="N596" s="918"/>
      <c r="O596" s="919"/>
      <c r="P596" s="541"/>
      <c r="Q596" s="541">
        <f>A!E805</f>
        <v>0</v>
      </c>
      <c r="R596" s="541" t="s">
        <v>669</v>
      </c>
      <c r="S596" s="541">
        <f t="shared" si="258"/>
        <v>0</v>
      </c>
      <c r="T596" s="541" t="str">
        <f>A!R805</f>
        <v>x8</v>
      </c>
      <c r="U596" s="541">
        <f>A!S803</f>
        <v>25</v>
      </c>
      <c r="V596" s="541">
        <f>A!T803</f>
        <v>0.2</v>
      </c>
      <c r="W596" s="541">
        <f t="shared" si="259"/>
        <v>0</v>
      </c>
      <c r="X596" s="541"/>
    </row>
    <row r="597" spans="1:24" ht="11.25" hidden="1" customHeight="1" x14ac:dyDescent="0.25">
      <c r="A597" s="121" t="str">
        <f>IF(S597=0,"",COUNTIF(A$23:A596,"&gt;0")+1)</f>
        <v/>
      </c>
      <c r="B597" s="469"/>
      <c r="C597" s="472" t="str">
        <f t="shared" si="257"/>
        <v>x8</v>
      </c>
      <c r="D597" s="473" t="str">
        <f>A!C806</f>
        <v>Blue Pots Callitriche</v>
      </c>
      <c r="E597" s="474"/>
      <c r="F597" s="474"/>
      <c r="G597" s="475" t="str">
        <f>A!N806</f>
        <v>water starwort</v>
      </c>
      <c r="H597" s="476" t="str">
        <f>A!Q806</f>
        <v>Blue Pot @ £1.57 - Tray of 8</v>
      </c>
      <c r="I597" s="477">
        <f>A!M806</f>
        <v>1</v>
      </c>
      <c r="J597" s="477" t="str">
        <f>A!P806</f>
        <v>Yes</v>
      </c>
      <c r="K597" s="917">
        <v>5021353015324</v>
      </c>
      <c r="L597" s="918"/>
      <c r="M597" s="918"/>
      <c r="N597" s="918"/>
      <c r="O597" s="919"/>
      <c r="P597" s="541"/>
      <c r="Q597" s="541">
        <f>A!E806</f>
        <v>0</v>
      </c>
      <c r="R597" s="541" t="s">
        <v>669</v>
      </c>
      <c r="S597" s="541">
        <f t="shared" si="258"/>
        <v>0</v>
      </c>
      <c r="T597" s="541" t="str">
        <f>A!R806</f>
        <v>x8</v>
      </c>
      <c r="U597" s="541">
        <f>A!S804</f>
        <v>25</v>
      </c>
      <c r="V597" s="541">
        <f>A!T804</f>
        <v>0.2</v>
      </c>
      <c r="W597" s="541">
        <f t="shared" si="259"/>
        <v>0</v>
      </c>
      <c r="X597" s="541"/>
    </row>
    <row r="598" spans="1:24" ht="11.25" customHeight="1" thickBot="1" x14ac:dyDescent="0.3">
      <c r="A598" s="121" t="str">
        <f>IF(S598=0,"",COUNTIF(A$23:A597,"&gt;0")+1)</f>
        <v/>
      </c>
      <c r="B598" s="470"/>
      <c r="C598" s="484" t="str">
        <f t="shared" si="257"/>
        <v>x8</v>
      </c>
      <c r="D598" s="485" t="str">
        <f>A!C807</f>
        <v>Blue Pots Hottonia palustris</v>
      </c>
      <c r="E598" s="486"/>
      <c r="F598" s="486"/>
      <c r="G598" s="487" t="str">
        <f>A!N807</f>
        <v>water violet</v>
      </c>
      <c r="H598" s="488" t="str">
        <f>A!Q807</f>
        <v>Blue Pot @ £1.57 - Tray of 8</v>
      </c>
      <c r="I598" s="489">
        <f>A!M807</f>
        <v>1</v>
      </c>
      <c r="J598" s="489" t="str">
        <f>A!P807</f>
        <v>Yes</v>
      </c>
      <c r="K598" s="989">
        <v>5021353015263</v>
      </c>
      <c r="L598" s="990"/>
      <c r="M598" s="990"/>
      <c r="N598" s="990"/>
      <c r="O598" s="991"/>
      <c r="P598" s="541"/>
      <c r="Q598" s="541" t="str">
        <f>A!E807</f>
        <v>Y</v>
      </c>
      <c r="R598" s="541" t="s">
        <v>669</v>
      </c>
      <c r="S598" s="541">
        <f t="shared" si="258"/>
        <v>0</v>
      </c>
      <c r="T598" s="541" t="str">
        <f>A!R807</f>
        <v>x8</v>
      </c>
      <c r="U598" s="541">
        <f>A!S805</f>
        <v>25</v>
      </c>
      <c r="V598" s="541">
        <f>A!T805</f>
        <v>0.2</v>
      </c>
      <c r="W598" s="541">
        <f t="shared" si="259"/>
        <v>0</v>
      </c>
      <c r="X598" s="541"/>
    </row>
    <row r="599" spans="1:24" ht="12" hidden="1" customHeight="1" x14ac:dyDescent="0.25">
      <c r="A599" s="121" t="str">
        <f>IF(S599=0,"",COUNTIF(A$23:A598,"&gt;0")+1)</f>
        <v/>
      </c>
      <c r="B599" s="439"/>
      <c r="C599" s="440" t="str">
        <f t="shared" si="257"/>
        <v>x1</v>
      </c>
      <c r="D599" s="441" t="str">
        <f>A!C810</f>
        <v>Blue Bucket Pistia</v>
      </c>
      <c r="E599" s="442"/>
      <c r="F599" s="442"/>
      <c r="G599" s="443" t="str">
        <f>A!N810</f>
        <v>water lettuce</v>
      </c>
      <c r="H599" s="444" t="str">
        <f>A!Q810</f>
        <v>a blue pot absolutely full of water lettuce</v>
      </c>
      <c r="I599" s="445">
        <f>A!M810</f>
        <v>1</v>
      </c>
      <c r="J599" s="446">
        <f>A!P810</f>
        <v>0</v>
      </c>
      <c r="K599" s="447">
        <f>IF(A!G810="y",1,0)</f>
        <v>0</v>
      </c>
      <c r="L599" s="448">
        <f>IF(A!H810="y",1,0)</f>
        <v>0</v>
      </c>
      <c r="M599" s="449" t="str">
        <f>IF(A!F810="y","NEW","")</f>
        <v/>
      </c>
      <c r="N599" s="450">
        <f>A!I810</f>
        <v>0</v>
      </c>
      <c r="O599" s="451">
        <f>A!O810</f>
        <v>5</v>
      </c>
      <c r="P599" s="541"/>
      <c r="Q599" s="541">
        <f>A!E810</f>
        <v>0</v>
      </c>
      <c r="R599" s="541" t="s">
        <v>669</v>
      </c>
      <c r="S599" s="541">
        <f t="shared" si="258"/>
        <v>0</v>
      </c>
      <c r="T599" s="541" t="str">
        <f>A!R810</f>
        <v>x1</v>
      </c>
      <c r="U599" s="541">
        <f>A!S800</f>
        <v>25</v>
      </c>
      <c r="V599" s="541">
        <f>A!T800</f>
        <v>0.2</v>
      </c>
      <c r="W599" s="541"/>
      <c r="X599" s="541"/>
    </row>
    <row r="600" spans="1:24" ht="12" hidden="1" customHeight="1" thickBot="1" x14ac:dyDescent="0.3">
      <c r="A600" s="121" t="str">
        <f>IF(S600=0,"",COUNTIF(A$23:A599,"&gt;0")+1)</f>
        <v/>
      </c>
      <c r="B600" s="426"/>
      <c r="C600" s="427" t="str">
        <f t="shared" si="257"/>
        <v>x1</v>
      </c>
      <c r="D600" s="428" t="str">
        <f>A!C811</f>
        <v>Blue Bucket Pistia FREE</v>
      </c>
      <c r="E600" s="429"/>
      <c r="F600" s="429"/>
      <c r="G600" s="430" t="str">
        <f>A!N811</f>
        <v>water lettuce</v>
      </c>
      <c r="H600" s="431" t="str">
        <f>A!Q811</f>
        <v>BUY 4 GET ANOTHER 1 FREE</v>
      </c>
      <c r="I600" s="432">
        <f>A!M811</f>
        <v>1</v>
      </c>
      <c r="J600" s="433">
        <f>A!P811</f>
        <v>0</v>
      </c>
      <c r="K600" s="434">
        <f>IF(A!G811="y",1,0)</f>
        <v>0</v>
      </c>
      <c r="L600" s="435">
        <f>IF(A!H811="y",1,0)</f>
        <v>0</v>
      </c>
      <c r="M600" s="436" t="str">
        <f>IF(A!F811="y","NEW","")</f>
        <v/>
      </c>
      <c r="N600" s="437">
        <f>A!I811</f>
        <v>0</v>
      </c>
      <c r="O600" s="438">
        <f>A!O811</f>
        <v>5</v>
      </c>
      <c r="P600" s="541"/>
      <c r="Q600" s="541">
        <f>A!E811</f>
        <v>0</v>
      </c>
      <c r="R600" s="541" t="s">
        <v>669</v>
      </c>
      <c r="S600" s="541">
        <f t="shared" si="258"/>
        <v>0</v>
      </c>
      <c r="T600" s="541" t="str">
        <f>A!R811</f>
        <v>x1</v>
      </c>
      <c r="U600" s="541">
        <f>A!S801</f>
        <v>25</v>
      </c>
      <c r="V600" s="541">
        <f>A!T801</f>
        <v>0.2</v>
      </c>
      <c r="W600" s="541"/>
      <c r="X600" s="541"/>
    </row>
    <row r="601" spans="1:24" x14ac:dyDescent="0.25">
      <c r="A601" s="121" t="str">
        <f>IF(S601=0,"",COUNTIF(A$23:A600,"&gt;0")+1)</f>
        <v/>
      </c>
      <c r="B601" s="619">
        <f>SUM(B587:B598)*8+B586</f>
        <v>0</v>
      </c>
      <c r="C601" s="101"/>
      <c r="D601" s="285" t="s">
        <v>1446</v>
      </c>
      <c r="K601" s="60"/>
      <c r="O601" s="105"/>
      <c r="P601" s="541"/>
      <c r="Q601" s="540"/>
      <c r="R601" s="541" t="s">
        <v>669</v>
      </c>
      <c r="S601" s="541">
        <f t="shared" si="258"/>
        <v>0</v>
      </c>
      <c r="T601" s="541" t="s">
        <v>548</v>
      </c>
      <c r="U601" s="541"/>
      <c r="V601" s="541"/>
      <c r="W601" s="541"/>
      <c r="X601" s="541"/>
    </row>
    <row r="602" spans="1:24" ht="6" customHeight="1" thickBot="1" x14ac:dyDescent="0.3">
      <c r="A602" s="121" t="str">
        <f>IF(S602=0,"",COUNTIF(A$23:A601,"&gt;0")+1)</f>
        <v/>
      </c>
      <c r="P602" s="541"/>
      <c r="Q602" s="541"/>
      <c r="R602" s="541"/>
      <c r="S602" s="541"/>
      <c r="T602" s="541"/>
      <c r="U602" s="541"/>
      <c r="V602" s="541"/>
      <c r="W602" s="541"/>
      <c r="X602" s="541"/>
    </row>
    <row r="603" spans="1:24" ht="8.25" customHeight="1" x14ac:dyDescent="0.25">
      <c r="A603" s="121" t="str">
        <f>IF(S603=0,"",COUNTIF(A$23:A602,"&gt;0")+1)</f>
        <v/>
      </c>
      <c r="B603" s="996" t="s">
        <v>115</v>
      </c>
      <c r="C603" s="997"/>
      <c r="D603" s="965" t="s">
        <v>1312</v>
      </c>
      <c r="E603" s="966"/>
      <c r="F603" s="966"/>
      <c r="G603" s="966"/>
      <c r="H603" s="902" t="s">
        <v>1392</v>
      </c>
      <c r="I603" s="902"/>
      <c r="J603" s="902"/>
      <c r="K603" s="902"/>
      <c r="L603" s="902"/>
      <c r="M603" s="902"/>
      <c r="N603" s="902"/>
      <c r="O603" s="903"/>
      <c r="P603" s="541"/>
      <c r="Q603" s="541"/>
      <c r="R603" s="541"/>
      <c r="S603" s="541"/>
      <c r="T603" s="541"/>
      <c r="U603" s="541"/>
      <c r="V603" s="541"/>
      <c r="W603" s="541"/>
      <c r="X603" s="541"/>
    </row>
    <row r="604" spans="1:24" ht="9.75" customHeight="1" thickBot="1" x14ac:dyDescent="0.3">
      <c r="A604" s="121" t="str">
        <f>IF(S604=0,"",COUNTIF(A$23:A603,"&gt;0")+1)</f>
        <v/>
      </c>
      <c r="B604" s="998"/>
      <c r="C604" s="999"/>
      <c r="D604" s="967"/>
      <c r="E604" s="968"/>
      <c r="F604" s="968"/>
      <c r="G604" s="968"/>
      <c r="H604" s="904"/>
      <c r="I604" s="904"/>
      <c r="J604" s="904"/>
      <c r="K604" s="904"/>
      <c r="L604" s="904"/>
      <c r="M604" s="904"/>
      <c r="N604" s="904"/>
      <c r="O604" s="905"/>
      <c r="P604" s="541"/>
      <c r="Q604" s="540" t="s">
        <v>113</v>
      </c>
      <c r="R604" s="541"/>
      <c r="S604" s="541"/>
      <c r="T604" s="541"/>
      <c r="U604" s="541"/>
      <c r="V604" s="541"/>
      <c r="W604" s="541"/>
      <c r="X604" s="541"/>
    </row>
    <row r="605" spans="1:24" ht="9.75" customHeight="1" x14ac:dyDescent="0.25">
      <c r="A605" s="121" t="str">
        <f>IF(S605=0,"",COUNTIF(A$23:A604,"&gt;0")+1)</f>
        <v/>
      </c>
      <c r="B605" s="825"/>
      <c r="C605" s="826" t="str">
        <f t="shared" ref="C605" si="260">T605</f>
        <v>x10</v>
      </c>
      <c r="D605" s="827" t="str">
        <f>"Loose Pistia Stratiotes"&amp;IF(B605&gt;1,"- Special Price £0.70","")</f>
        <v>Loose Pistia Stratiotes</v>
      </c>
      <c r="E605" s="828"/>
      <c r="F605" s="828"/>
      <c r="G605" s="829"/>
      <c r="H605" s="830" t="str">
        <f>A!Q785</f>
        <v>Loose @ £1.04 - Pack of 10</v>
      </c>
      <c r="I605" s="831">
        <f>A!M785</f>
        <v>1</v>
      </c>
      <c r="J605" s="831">
        <f>A!P785</f>
        <v>0</v>
      </c>
      <c r="K605" s="832"/>
      <c r="L605" s="832"/>
      <c r="M605" s="832"/>
      <c r="N605" s="832"/>
      <c r="O605" s="833" t="s">
        <v>1433</v>
      </c>
      <c r="P605" s="541"/>
      <c r="Q605" s="541" t="str">
        <f>A!E785</f>
        <v>y</v>
      </c>
      <c r="R605" s="543" t="s">
        <v>669</v>
      </c>
      <c r="S605" s="541">
        <f t="shared" ref="S605" si="261">B605</f>
        <v>0</v>
      </c>
      <c r="T605" s="541" t="str">
        <f>A!R785</f>
        <v>x10</v>
      </c>
      <c r="U605" s="541">
        <f>A!S810</f>
        <v>0</v>
      </c>
      <c r="V605" s="541">
        <f>A!T810</f>
        <v>0</v>
      </c>
      <c r="W605" s="541">
        <f t="shared" ref="W605" si="262">V605*B605</f>
        <v>0</v>
      </c>
      <c r="X605" s="541"/>
    </row>
    <row r="606" spans="1:24" ht="9.75" hidden="1" customHeight="1" x14ac:dyDescent="0.25">
      <c r="A606" s="121" t="str">
        <f>IF(S606=0,"",COUNTIF(A$23:A605,"&gt;0")+1)</f>
        <v/>
      </c>
      <c r="B606" s="733"/>
      <c r="C606" s="588" t="str">
        <f t="shared" ref="C606:C607" si="263">T606</f>
        <v>x25</v>
      </c>
      <c r="D606" s="589" t="str">
        <f>A!C786</f>
        <v>*Loose FOC Pistia Stratiotes</v>
      </c>
      <c r="E606" s="590"/>
      <c r="F606" s="590"/>
      <c r="G606" s="732"/>
      <c r="H606" s="591" t="str">
        <f>A!Q786</f>
        <v>BUY 2 GET ANOTHER FREE</v>
      </c>
      <c r="I606" s="513">
        <f>A!M786</f>
        <v>1</v>
      </c>
      <c r="J606" s="513">
        <f>A!P786</f>
        <v>0</v>
      </c>
      <c r="K606" s="731"/>
      <c r="L606" s="731"/>
      <c r="M606" s="731"/>
      <c r="N606" s="731"/>
      <c r="O606" s="768"/>
      <c r="P606" s="541"/>
      <c r="Q606" s="541">
        <f>A!E786</f>
        <v>0</v>
      </c>
      <c r="R606" s="543" t="s">
        <v>669</v>
      </c>
      <c r="S606" s="541">
        <f t="shared" ref="S606:S607" si="264">B606</f>
        <v>0</v>
      </c>
      <c r="T606" s="541" t="str">
        <f>A!R786</f>
        <v>x25</v>
      </c>
      <c r="U606" s="541">
        <f>A!S811</f>
        <v>0</v>
      </c>
      <c r="V606" s="541">
        <f>A!T811</f>
        <v>0</v>
      </c>
      <c r="W606" s="541">
        <f t="shared" ref="W606:W607" si="265">V606*B606</f>
        <v>0</v>
      </c>
      <c r="X606" s="541"/>
    </row>
    <row r="607" spans="1:24" ht="9.75" customHeight="1" x14ac:dyDescent="0.25">
      <c r="A607" s="121" t="str">
        <f>IF(S607=0,"",COUNTIF(A$23:A606,"&gt;0")+1)</f>
        <v/>
      </c>
      <c r="B607" s="838"/>
      <c r="C607" s="585" t="str">
        <f t="shared" si="263"/>
        <v>x25</v>
      </c>
      <c r="D607" s="839" t="str">
        <f>"Loose Hydrocharis M. Ranae"&amp;IF(B607&gt;1,"- Special Price £0.50","")</f>
        <v>Loose Hydrocharis M. Ranae</v>
      </c>
      <c r="E607" s="586"/>
      <c r="F607" s="586"/>
      <c r="G607" s="840"/>
      <c r="H607" s="587" t="str">
        <f>A!Q787</f>
        <v>Loose @ £0.68 - Pack of 25</v>
      </c>
      <c r="I607" s="85">
        <f>A!M787</f>
        <v>2</v>
      </c>
      <c r="J607" s="85">
        <f>A!P787</f>
        <v>0</v>
      </c>
      <c r="K607" s="731"/>
      <c r="L607" s="731"/>
      <c r="M607" s="731"/>
      <c r="N607" s="731"/>
      <c r="O607" s="841" t="s">
        <v>1434</v>
      </c>
      <c r="P607" s="541"/>
      <c r="Q607" s="541" t="str">
        <f>A!E787</f>
        <v>y</v>
      </c>
      <c r="R607" s="543" t="s">
        <v>669</v>
      </c>
      <c r="S607" s="541">
        <f t="shared" si="264"/>
        <v>0</v>
      </c>
      <c r="T607" s="541" t="str">
        <f>A!R787</f>
        <v>x25</v>
      </c>
      <c r="U607" s="541">
        <f>A!S811</f>
        <v>0</v>
      </c>
      <c r="V607" s="541">
        <f>A!T811</f>
        <v>0</v>
      </c>
      <c r="W607" s="541">
        <f t="shared" si="265"/>
        <v>0</v>
      </c>
      <c r="X607" s="541"/>
    </row>
    <row r="608" spans="1:24" ht="9.75" hidden="1" customHeight="1" x14ac:dyDescent="0.25">
      <c r="A608" s="121" t="str">
        <f>IF(S608=0,"",COUNTIF(A$23:A607,"&gt;0")+1)</f>
        <v/>
      </c>
      <c r="B608" s="745"/>
      <c r="C608" s="734" t="str">
        <f t="shared" ref="C608" si="266">T608</f>
        <v>x25</v>
      </c>
      <c r="D608" s="735" t="str">
        <f>A!C788</f>
        <v>Loose Salvinia Natans</v>
      </c>
      <c r="E608" s="736"/>
      <c r="F608" s="736"/>
      <c r="G608" s="492"/>
      <c r="H608" s="737" t="str">
        <f>A!Q788</f>
        <v>Loose @ £0.68 - Pack of 25</v>
      </c>
      <c r="I608" s="133">
        <f>A!M788</f>
        <v>2</v>
      </c>
      <c r="J608" s="133">
        <f>A!P788</f>
        <v>0</v>
      </c>
      <c r="K608" s="738"/>
      <c r="L608" s="738"/>
      <c r="M608" s="738"/>
      <c r="N608" s="738"/>
      <c r="O608" s="834" t="str">
        <f>A!N788</f>
        <v>water butterfly wings</v>
      </c>
      <c r="P608" s="541"/>
      <c r="Q608" s="541">
        <f>A!E788</f>
        <v>0</v>
      </c>
      <c r="R608" s="543" t="s">
        <v>669</v>
      </c>
      <c r="S608" s="541">
        <f t="shared" ref="S608" si="267">B608</f>
        <v>0</v>
      </c>
      <c r="T608" s="541" t="str">
        <f>A!R788</f>
        <v>x25</v>
      </c>
      <c r="U608" s="541">
        <f>A!S812</f>
        <v>0</v>
      </c>
      <c r="V608" s="541">
        <f>A!T812</f>
        <v>0</v>
      </c>
      <c r="W608" s="541">
        <f t="shared" ref="W608" si="268">V608*B608</f>
        <v>0</v>
      </c>
      <c r="X608" s="541"/>
    </row>
    <row r="609" spans="1:24" ht="10.5" customHeight="1" thickBot="1" x14ac:dyDescent="0.3">
      <c r="A609" s="121" t="str">
        <f>IF(S609=0,"",COUNTIF(A$23:A608,"&gt;0")+1)</f>
        <v/>
      </c>
      <c r="B609" s="739"/>
      <c r="C609" s="740" t="str">
        <f t="shared" ref="C609" si="269">T609</f>
        <v>x10</v>
      </c>
      <c r="D609" s="835" t="str">
        <f>A!C789</f>
        <v>Loose Stratiotes Aloides</v>
      </c>
      <c r="E609" s="741"/>
      <c r="F609" s="741"/>
      <c r="G609" s="836"/>
      <c r="H609" s="742" t="str">
        <f>A!Q789</f>
        <v>Loose @ £1.04 - Pack of 10</v>
      </c>
      <c r="I609" s="743">
        <f>A!M789</f>
        <v>1</v>
      </c>
      <c r="J609" s="743" t="str">
        <f>A!P789</f>
        <v>Yes</v>
      </c>
      <c r="K609" s="744"/>
      <c r="L609" s="744"/>
      <c r="M609" s="744"/>
      <c r="N609" s="744"/>
      <c r="O609" s="837" t="str">
        <f>A!N789</f>
        <v>water soldiers</v>
      </c>
      <c r="P609" s="541"/>
      <c r="Q609" s="541" t="str">
        <f>A!E789</f>
        <v>Y</v>
      </c>
      <c r="R609" s="543" t="s">
        <v>669</v>
      </c>
      <c r="S609" s="541">
        <f t="shared" ref="S609" si="270">B609</f>
        <v>0</v>
      </c>
      <c r="T609" s="541" t="str">
        <f>A!R789</f>
        <v>x10</v>
      </c>
      <c r="U609" s="541">
        <f>A!S813</f>
        <v>0</v>
      </c>
      <c r="V609" s="541">
        <f>A!T813</f>
        <v>0</v>
      </c>
      <c r="W609" s="541">
        <f t="shared" ref="W609" si="271">V609*B609</f>
        <v>0</v>
      </c>
      <c r="X609" s="541"/>
    </row>
    <row r="610" spans="1:24" ht="10.5" hidden="1" customHeight="1" thickBot="1" x14ac:dyDescent="0.3">
      <c r="A610" s="121" t="str">
        <f>IF(S610=0,"",COUNTIF(A$23:A609,"&gt;0")+1)</f>
        <v/>
      </c>
      <c r="B610" s="534"/>
      <c r="C610" s="535" t="str">
        <f t="shared" ref="C610" si="272">T610</f>
        <v>x25</v>
      </c>
      <c r="D610" s="536" t="str">
        <f>A!C790</f>
        <v>Loose Stratiotes 'Rubrifolia'</v>
      </c>
      <c r="E610" s="537"/>
      <c r="F610" s="537"/>
      <c r="G610" s="537"/>
      <c r="H610" s="539" t="str">
        <f>A!Q790</f>
        <v>Loose @ £1.25 - Pack of 25</v>
      </c>
      <c r="I610" s="423">
        <f>A!M790</f>
        <v>1</v>
      </c>
      <c r="J610" s="423">
        <f>A!P790</f>
        <v>0</v>
      </c>
      <c r="K610" s="824"/>
      <c r="L610" s="824"/>
      <c r="M610" s="824"/>
      <c r="N610" s="824"/>
      <c r="O610" s="538" t="str">
        <f>A!N790</f>
        <v>red water soldiers</v>
      </c>
      <c r="P610" s="541"/>
      <c r="Q610" s="541">
        <f>A!E790</f>
        <v>0</v>
      </c>
      <c r="R610" s="543" t="s">
        <v>669</v>
      </c>
      <c r="S610" s="541">
        <f t="shared" ref="S610" si="273">B610</f>
        <v>0</v>
      </c>
      <c r="T610" s="541" t="str">
        <f>A!R790</f>
        <v>x25</v>
      </c>
      <c r="U610" s="541">
        <f>A!S814</f>
        <v>0</v>
      </c>
      <c r="V610" s="541">
        <f>A!T814</f>
        <v>0</v>
      </c>
      <c r="W610" s="541">
        <f t="shared" ref="W610" si="274">V610*B610</f>
        <v>0</v>
      </c>
      <c r="X610" s="541"/>
    </row>
    <row r="611" spans="1:24" x14ac:dyDescent="0.25">
      <c r="A611" s="121" t="str">
        <f>IF(S611=0,"",COUNTIF(A$23:A610,"&gt;0")+1)</f>
        <v/>
      </c>
      <c r="B611" s="101">
        <f>B605*10+B607*25+B609*10</f>
        <v>0</v>
      </c>
      <c r="C611" s="101"/>
      <c r="D611" s="285" t="s">
        <v>1450</v>
      </c>
      <c r="F611" s="529"/>
      <c r="G611" s="530"/>
      <c r="H611" s="531"/>
      <c r="I611" s="532"/>
      <c r="J611" s="532"/>
      <c r="K611" s="533"/>
      <c r="L611" s="533"/>
      <c r="M611" s="533"/>
      <c r="N611" s="533"/>
      <c r="O611" s="533"/>
      <c r="P611" s="541"/>
      <c r="Q611" s="541"/>
      <c r="R611" s="543"/>
      <c r="S611" s="541">
        <f>B611</f>
        <v>0</v>
      </c>
      <c r="T611" s="541" t="s">
        <v>548</v>
      </c>
      <c r="U611" s="541"/>
      <c r="V611" s="541"/>
      <c r="W611" s="541"/>
      <c r="X611" s="541"/>
    </row>
    <row r="612" spans="1:24" ht="6" hidden="1" customHeight="1" thickBot="1" x14ac:dyDescent="0.3">
      <c r="A612" s="121" t="str">
        <f>IF(S612=0,"",COUNTIF(A$23:A611,"&gt;0")+1)</f>
        <v/>
      </c>
      <c r="P612" s="541"/>
      <c r="Q612" s="541"/>
      <c r="R612" s="541"/>
      <c r="S612" s="541"/>
      <c r="T612" s="541"/>
      <c r="U612" s="541"/>
      <c r="V612" s="541"/>
      <c r="W612" s="541"/>
      <c r="X612" s="541"/>
    </row>
    <row r="613" spans="1:24" ht="8.25" hidden="1" customHeight="1" x14ac:dyDescent="0.25">
      <c r="A613" s="121" t="str">
        <f>IF(S613=0,"",COUNTIF(A$23:A612,"&gt;0")+1)</f>
        <v/>
      </c>
      <c r="B613" s="894" t="s">
        <v>115</v>
      </c>
      <c r="C613" s="895"/>
      <c r="D613" s="1083" t="s">
        <v>1235</v>
      </c>
      <c r="E613" s="1084"/>
      <c r="F613" s="1084"/>
      <c r="G613" s="1084"/>
      <c r="H613" s="1084"/>
      <c r="I613" s="1011" t="s">
        <v>1183</v>
      </c>
      <c r="J613" s="1011"/>
      <c r="K613" s="1011"/>
      <c r="L613" s="1011"/>
      <c r="M613" s="1011"/>
      <c r="N613" s="374"/>
      <c r="O613" s="375"/>
      <c r="P613" s="541"/>
      <c r="Q613" s="541"/>
      <c r="R613" s="541"/>
      <c r="S613" s="541"/>
      <c r="T613" s="541"/>
      <c r="U613" s="541"/>
      <c r="V613" s="541"/>
      <c r="W613" s="541"/>
      <c r="X613" s="541"/>
    </row>
    <row r="614" spans="1:24" ht="9.75" hidden="1" customHeight="1" x14ac:dyDescent="0.25">
      <c r="A614" s="121" t="str">
        <f>IF(S614=0,"",COUNTIF(A$23:A613,"&gt;0")+1)</f>
        <v/>
      </c>
      <c r="B614" s="1019" t="s">
        <v>1187</v>
      </c>
      <c r="C614" s="1014"/>
      <c r="D614" s="1085"/>
      <c r="E614" s="1086"/>
      <c r="F614" s="1086"/>
      <c r="G614" s="1086"/>
      <c r="H614" s="1086"/>
      <c r="I614" s="909"/>
      <c r="J614" s="909"/>
      <c r="K614" s="909"/>
      <c r="L614" s="909"/>
      <c r="M614" s="909"/>
      <c r="N614" s="63"/>
      <c r="O614" s="376" t="s">
        <v>41</v>
      </c>
      <c r="P614" s="541"/>
      <c r="Q614" s="541"/>
      <c r="R614" s="541"/>
      <c r="S614" s="541"/>
      <c r="T614" s="541"/>
      <c r="U614" s="541"/>
      <c r="V614" s="541"/>
      <c r="W614" s="541"/>
      <c r="X614" s="541"/>
    </row>
    <row r="615" spans="1:24" ht="9" hidden="1" customHeight="1" thickBot="1" x14ac:dyDescent="0.3">
      <c r="A615" s="121" t="str">
        <f>IF(S615=0,"",COUNTIF(A$23:A614,"&gt;0")+1)</f>
        <v/>
      </c>
      <c r="B615" s="391" t="s">
        <v>1135</v>
      </c>
      <c r="C615" s="392"/>
      <c r="D615" s="393"/>
      <c r="E615" s="392"/>
      <c r="F615" s="392"/>
      <c r="G615" s="394" t="s">
        <v>1244</v>
      </c>
      <c r="H615" s="1112" t="s">
        <v>1382</v>
      </c>
      <c r="I615" s="1113"/>
      <c r="J615" s="880" t="s">
        <v>1236</v>
      </c>
      <c r="K615" s="881"/>
      <c r="L615" s="881"/>
      <c r="M615" s="881"/>
      <c r="N615" s="882"/>
      <c r="O615" s="395"/>
      <c r="P615" s="541"/>
      <c r="Q615" s="541"/>
      <c r="R615" s="541"/>
      <c r="S615" s="541"/>
      <c r="T615" s="541"/>
      <c r="U615" s="541"/>
      <c r="V615" s="541"/>
      <c r="W615" s="541"/>
      <c r="X615" s="541"/>
    </row>
    <row r="616" spans="1:24" ht="11.25" hidden="1" customHeight="1" x14ac:dyDescent="0.25">
      <c r="A616" s="121" t="str">
        <f>IF(S616=0,"",COUNTIF(A$23:A615,"&gt;0")+1)</f>
        <v/>
      </c>
      <c r="B616" s="377"/>
      <c r="C616" s="128" t="str">
        <f t="shared" ref="C616:C623" si="275">T616</f>
        <v>x4</v>
      </c>
      <c r="D616" s="119" t="str">
        <f>A!C873</f>
        <v>1L Assorted Oxy Carrypack</v>
      </c>
      <c r="E616" s="113"/>
      <c r="F616" s="278"/>
      <c r="G616" s="260">
        <v>3.25</v>
      </c>
      <c r="H616" s="129" t="str">
        <f>A!Q873</f>
        <v>take the worry out of ordering, best plants available</v>
      </c>
      <c r="I616" s="276"/>
      <c r="J616" s="883">
        <v>5021353015195</v>
      </c>
      <c r="K616" s="884"/>
      <c r="L616" s="884"/>
      <c r="M616" s="884"/>
      <c r="N616" s="885"/>
      <c r="O616" s="378" t="str">
        <f>A!O873</f>
        <v>2,3</v>
      </c>
      <c r="P616" s="541"/>
      <c r="Q616" s="541">
        <f>A!E873</f>
        <v>0</v>
      </c>
      <c r="R616" s="541" t="s">
        <v>1134</v>
      </c>
      <c r="S616" s="541">
        <f t="shared" ref="S616:S623" si="276">B616</f>
        <v>0</v>
      </c>
      <c r="T616" s="541" t="str">
        <f>A!R873</f>
        <v>x4</v>
      </c>
      <c r="U616" s="541">
        <f>A!S873</f>
        <v>35</v>
      </c>
      <c r="V616" s="541">
        <f>A!T873</f>
        <v>0.125</v>
      </c>
      <c r="W616" s="541">
        <f t="shared" ref="W616:W623" si="277">V616*B616</f>
        <v>0</v>
      </c>
      <c r="X616" s="541"/>
    </row>
    <row r="617" spans="1:24" ht="11.25" hidden="1" customHeight="1" x14ac:dyDescent="0.25">
      <c r="A617" s="121" t="str">
        <f>IF(S617=0,"",COUNTIF(A$23:A616,"&gt;0")+1)</f>
        <v/>
      </c>
      <c r="B617" s="377"/>
      <c r="C617" s="128" t="str">
        <f t="shared" si="275"/>
        <v>x4</v>
      </c>
      <c r="D617" s="119" t="str">
        <f>A!C874</f>
        <v>1L Oxy Hippuris vulgaris Carrypack</v>
      </c>
      <c r="E617" s="113"/>
      <c r="F617" s="278"/>
      <c r="G617" s="260">
        <v>3.25</v>
      </c>
      <c r="H617" s="129" t="str">
        <f>A!Q874</f>
        <v>a real tough plant, now a 1st choice oxy</v>
      </c>
      <c r="I617" s="276"/>
      <c r="J617" s="886">
        <v>5021353015195</v>
      </c>
      <c r="K617" s="887"/>
      <c r="L617" s="887"/>
      <c r="M617" s="887"/>
      <c r="N617" s="888"/>
      <c r="O617" s="378" t="str">
        <f>A!O874</f>
        <v>2,3</v>
      </c>
      <c r="P617" s="541"/>
      <c r="Q617" s="541">
        <f>A!E874</f>
        <v>0</v>
      </c>
      <c r="R617" s="541" t="s">
        <v>1134</v>
      </c>
      <c r="S617" s="541">
        <f t="shared" si="276"/>
        <v>0</v>
      </c>
      <c r="T617" s="541" t="str">
        <f>A!R874</f>
        <v>x4</v>
      </c>
      <c r="U617" s="541">
        <f>A!S874</f>
        <v>35</v>
      </c>
      <c r="V617" s="541">
        <f>A!T874</f>
        <v>0.125</v>
      </c>
      <c r="W617" s="541">
        <f t="shared" si="277"/>
        <v>0</v>
      </c>
      <c r="X617" s="541"/>
    </row>
    <row r="618" spans="1:24" ht="11.25" hidden="1" customHeight="1" x14ac:dyDescent="0.25">
      <c r="A618" s="121" t="str">
        <f>IF(S618=0,"",COUNTIF(A$23:A617,"&gt;0")+1)</f>
        <v/>
      </c>
      <c r="B618" s="377"/>
      <c r="C618" s="128" t="str">
        <f t="shared" ref="C618" si="278">T618</f>
        <v>x4</v>
      </c>
      <c r="D618" s="119" t="str">
        <f>A!C875</f>
        <v>1L Oxy Hottonia Palustris</v>
      </c>
      <c r="E618" s="113"/>
      <c r="F618" s="278"/>
      <c r="G618" s="260">
        <v>3.25</v>
      </c>
      <c r="H618" s="129" t="str">
        <f>A!Q875</f>
        <v>soft lilac-pink flowers throughout summer</v>
      </c>
      <c r="I618" s="276"/>
      <c r="J618" s="886">
        <v>5021353015196</v>
      </c>
      <c r="K618" s="887"/>
      <c r="L618" s="887"/>
      <c r="M618" s="887"/>
      <c r="N618" s="888"/>
      <c r="O618" s="378" t="str">
        <f>A!O875</f>
        <v>2,3</v>
      </c>
      <c r="P618" s="541"/>
      <c r="Q618" s="541">
        <f>A!E875</f>
        <v>0</v>
      </c>
      <c r="R618" s="541" t="s">
        <v>1134</v>
      </c>
      <c r="S618" s="541">
        <f t="shared" ref="S618" si="279">B618</f>
        <v>0</v>
      </c>
      <c r="T618" s="541" t="str">
        <f>A!R875</f>
        <v>x4</v>
      </c>
      <c r="U618" s="541">
        <f>A!S875</f>
        <v>35</v>
      </c>
      <c r="V618" s="636">
        <f>A!T875</f>
        <v>0.13</v>
      </c>
      <c r="W618" s="541">
        <f t="shared" ref="W618" si="280">V618*B618</f>
        <v>0</v>
      </c>
      <c r="X618" s="541"/>
    </row>
    <row r="619" spans="1:24" ht="11.25" hidden="1" customHeight="1" x14ac:dyDescent="0.25">
      <c r="A619" s="121" t="str">
        <f>IF(S619=0,"",COUNTIF(A$23:A618,"&gt;0")+1)</f>
        <v/>
      </c>
      <c r="B619" s="377"/>
      <c r="C619" s="128" t="str">
        <f t="shared" si="275"/>
        <v>x4</v>
      </c>
      <c r="D619" s="119" t="str">
        <f>A!C876</f>
        <v>1L Oxy Scirpus Cernuus Carrypack</v>
      </c>
      <c r="E619" s="113"/>
      <c r="F619" s="278"/>
      <c r="G619" s="260">
        <v>3.25</v>
      </c>
      <c r="H619" s="129" t="str">
        <f>A!Q876</f>
        <v>grass, with tiny flowers, almost fibre optic</v>
      </c>
      <c r="I619" s="276"/>
      <c r="J619" s="886">
        <v>5021353015195</v>
      </c>
      <c r="K619" s="887"/>
      <c r="L619" s="887"/>
      <c r="M619" s="887"/>
      <c r="N619" s="888"/>
      <c r="O619" s="378" t="str">
        <f>A!O876</f>
        <v>2,3</v>
      </c>
      <c r="P619" s="541"/>
      <c r="Q619" s="541">
        <f>A!E876</f>
        <v>0</v>
      </c>
      <c r="R619" s="541" t="s">
        <v>1134</v>
      </c>
      <c r="S619" s="541">
        <f t="shared" si="276"/>
        <v>0</v>
      </c>
      <c r="T619" s="541" t="str">
        <f>A!R876</f>
        <v>x4</v>
      </c>
      <c r="U619" s="541">
        <f>A!S876</f>
        <v>35</v>
      </c>
      <c r="V619" s="541">
        <f>A!T876</f>
        <v>0.125</v>
      </c>
      <c r="W619" s="541">
        <f t="shared" si="277"/>
        <v>0</v>
      </c>
      <c r="X619" s="541"/>
    </row>
    <row r="620" spans="1:24" ht="11.25" hidden="1" customHeight="1" x14ac:dyDescent="0.25">
      <c r="A620" s="121" t="str">
        <f>IF(S620=0,"",COUNTIF(A$23:A619,"&gt;0")+1)</f>
        <v/>
      </c>
      <c r="B620" s="377"/>
      <c r="C620" s="128" t="str">
        <f t="shared" si="275"/>
        <v>x4</v>
      </c>
      <c r="D620" s="119" t="str">
        <f>A!C877</f>
        <v>1L Assorted Deep Water Carrypack</v>
      </c>
      <c r="E620" s="113"/>
      <c r="F620" s="278"/>
      <c r="G620" s="260">
        <v>5.39</v>
      </c>
      <c r="H620" s="129" t="str">
        <f>A!Q877</f>
        <v>rooted in a recyclable plastic container</v>
      </c>
      <c r="I620" s="276"/>
      <c r="J620" s="886">
        <v>5021353015201</v>
      </c>
      <c r="K620" s="887"/>
      <c r="L620" s="887"/>
      <c r="M620" s="887"/>
      <c r="N620" s="888"/>
      <c r="O620" s="378">
        <f>A!O877</f>
        <v>4</v>
      </c>
      <c r="P620" s="541"/>
      <c r="Q620" s="541">
        <f>A!E877</f>
        <v>0</v>
      </c>
      <c r="R620" s="541" t="s">
        <v>1134</v>
      </c>
      <c r="S620" s="541">
        <f t="shared" si="276"/>
        <v>0</v>
      </c>
      <c r="T620" s="541" t="str">
        <f>A!R877</f>
        <v>x4</v>
      </c>
      <c r="U620" s="541">
        <f>A!S877</f>
        <v>35</v>
      </c>
      <c r="V620" s="541">
        <f>A!T877</f>
        <v>0.125</v>
      </c>
      <c r="W620" s="541">
        <f t="shared" si="277"/>
        <v>0</v>
      </c>
      <c r="X620" s="541"/>
    </row>
    <row r="621" spans="1:24" ht="11.25" hidden="1" customHeight="1" x14ac:dyDescent="0.25">
      <c r="A621" s="121" t="str">
        <f>IF(S621=0,"",COUNTIF(A$23:A620,"&gt;0")+1)</f>
        <v/>
      </c>
      <c r="B621" s="377"/>
      <c r="C621" s="128" t="str">
        <f t="shared" si="275"/>
        <v>x4</v>
      </c>
      <c r="D621" s="119" t="str">
        <f>A!C878</f>
        <v>1L DW Aponogeton Carrypack</v>
      </c>
      <c r="E621" s="113"/>
      <c r="F621" s="278"/>
      <c r="G621" s="260">
        <v>5.39</v>
      </c>
      <c r="H621" s="129" t="str">
        <f>A!Q878</f>
        <v>a wonderful sweetly scented deep marginal</v>
      </c>
      <c r="I621" s="276"/>
      <c r="J621" s="886">
        <v>5021353015201</v>
      </c>
      <c r="K621" s="887"/>
      <c r="L621" s="887"/>
      <c r="M621" s="887"/>
      <c r="N621" s="888"/>
      <c r="O621" s="378">
        <f>A!O878</f>
        <v>4</v>
      </c>
      <c r="P621" s="541"/>
      <c r="Q621" s="541">
        <f>A!E878</f>
        <v>0</v>
      </c>
      <c r="R621" s="541" t="s">
        <v>1134</v>
      </c>
      <c r="S621" s="541">
        <f t="shared" si="276"/>
        <v>0</v>
      </c>
      <c r="T621" s="541" t="str">
        <f>A!R878</f>
        <v>x4</v>
      </c>
      <c r="U621" s="541">
        <f>A!S878</f>
        <v>35</v>
      </c>
      <c r="V621" s="541">
        <f>A!T878</f>
        <v>0.125</v>
      </c>
      <c r="W621" s="541">
        <f t="shared" si="277"/>
        <v>0</v>
      </c>
      <c r="X621" s="541"/>
    </row>
    <row r="622" spans="1:24" ht="11.25" hidden="1" customHeight="1" x14ac:dyDescent="0.25">
      <c r="A622" s="121" t="str">
        <f>IF(S622=0,"",COUNTIF(A$23:A621,"&gt;0")+1)</f>
        <v/>
      </c>
      <c r="B622" s="377"/>
      <c r="C622" s="128" t="str">
        <f t="shared" si="275"/>
        <v>x4</v>
      </c>
      <c r="D622" s="119" t="str">
        <f>A!C879</f>
        <v>1L DW Nuphar luteum Carrypack</v>
      </c>
      <c r="E622" s="113"/>
      <c r="F622" s="278"/>
      <c r="G622" s="260">
        <v>5.39</v>
      </c>
      <c r="H622" s="129" t="str">
        <f>A!Q879</f>
        <v>this native plant is often referred to as 'poor mans lily'</v>
      </c>
      <c r="I622" s="276"/>
      <c r="J622" s="886">
        <v>5021353015201</v>
      </c>
      <c r="K622" s="887"/>
      <c r="L622" s="887"/>
      <c r="M622" s="887"/>
      <c r="N622" s="888"/>
      <c r="O622" s="378">
        <f>A!O879</f>
        <v>4</v>
      </c>
      <c r="P622" s="541"/>
      <c r="Q622" s="541">
        <f>A!E879</f>
        <v>0</v>
      </c>
      <c r="R622" s="541" t="s">
        <v>1134</v>
      </c>
      <c r="S622" s="541">
        <f t="shared" si="276"/>
        <v>0</v>
      </c>
      <c r="T622" s="541" t="str">
        <f>A!R879</f>
        <v>x4</v>
      </c>
      <c r="U622" s="541">
        <f>A!S879</f>
        <v>35</v>
      </c>
      <c r="V622" s="541">
        <f>A!T879</f>
        <v>0.125</v>
      </c>
      <c r="W622" s="541">
        <f t="shared" si="277"/>
        <v>0</v>
      </c>
      <c r="X622" s="541"/>
    </row>
    <row r="623" spans="1:24" ht="11.25" hidden="1" customHeight="1" x14ac:dyDescent="0.25">
      <c r="A623" s="121" t="str">
        <f>IF(S623=0,"",COUNTIF(A$23:A622,"&gt;0")+1)</f>
        <v/>
      </c>
      <c r="B623" s="377"/>
      <c r="C623" s="128" t="str">
        <f t="shared" si="275"/>
        <v>x4</v>
      </c>
      <c r="D623" s="119" t="str">
        <f>A!C880</f>
        <v>1L DW Orontium aquaticum Carrypack</v>
      </c>
      <c r="E623" s="113"/>
      <c r="F623" s="278"/>
      <c r="G623" s="260">
        <v>5.39</v>
      </c>
      <c r="H623" s="129" t="str">
        <f>A!Q880</f>
        <v>yellow/white pokers over lush velvety leaves</v>
      </c>
      <c r="I623" s="276"/>
      <c r="J623" s="886">
        <v>5021353015201</v>
      </c>
      <c r="K623" s="887"/>
      <c r="L623" s="887"/>
      <c r="M623" s="887"/>
      <c r="N623" s="888"/>
      <c r="O623" s="378">
        <f>A!O880</f>
        <v>4</v>
      </c>
      <c r="P623" s="541"/>
      <c r="Q623" s="541">
        <f>A!E880</f>
        <v>0</v>
      </c>
      <c r="R623" s="541" t="s">
        <v>1134</v>
      </c>
      <c r="S623" s="541">
        <f t="shared" si="276"/>
        <v>0</v>
      </c>
      <c r="T623" s="541" t="str">
        <f>A!R880</f>
        <v>x4</v>
      </c>
      <c r="U623" s="541">
        <f>A!S880</f>
        <v>35</v>
      </c>
      <c r="V623" s="541">
        <f>A!T880</f>
        <v>0.125</v>
      </c>
      <c r="W623" s="541">
        <f t="shared" si="277"/>
        <v>0</v>
      </c>
      <c r="X623" s="541"/>
    </row>
    <row r="624" spans="1:24" ht="11.25" hidden="1" customHeight="1" x14ac:dyDescent="0.25">
      <c r="A624" s="121" t="str">
        <f>IF(S624=0,"",COUNTIF(A$23:A623,"&gt;0")+1)</f>
        <v/>
      </c>
      <c r="B624" s="377"/>
      <c r="C624" s="128" t="str">
        <f>T624</f>
        <v>x4</v>
      </c>
      <c r="D624" s="119" t="str">
        <f>A!C881</f>
        <v>1L Assorted Waterlily Carrypack</v>
      </c>
      <c r="E624" s="113"/>
      <c r="F624" s="278"/>
      <c r="G624" s="260">
        <v>6.95</v>
      </c>
      <c r="H624" s="129" t="str">
        <f>A!Q881</f>
        <v>rooted hardy waterlily in a recyclable plastic container</v>
      </c>
      <c r="I624" s="276"/>
      <c r="J624" s="886">
        <v>5021353011203</v>
      </c>
      <c r="K624" s="887"/>
      <c r="L624" s="887"/>
      <c r="M624" s="887"/>
      <c r="N624" s="888"/>
      <c r="O624" s="378">
        <f>A!O881</f>
        <v>4</v>
      </c>
      <c r="P624" s="541"/>
      <c r="Q624" s="541">
        <f>A!E881</f>
        <v>0</v>
      </c>
      <c r="R624" s="541" t="s">
        <v>1134</v>
      </c>
      <c r="S624" s="541">
        <f>B624</f>
        <v>0</v>
      </c>
      <c r="T624" s="541" t="str">
        <f>A!R881</f>
        <v>x4</v>
      </c>
      <c r="U624" s="541">
        <f>A!S881</f>
        <v>35</v>
      </c>
      <c r="V624" s="541">
        <f>A!T881</f>
        <v>0.125</v>
      </c>
      <c r="W624" s="541">
        <f t="shared" ref="W624:W628" si="281">V624*B624</f>
        <v>0</v>
      </c>
      <c r="X624" s="541"/>
    </row>
    <row r="625" spans="1:24" ht="11.25" hidden="1" customHeight="1" x14ac:dyDescent="0.25">
      <c r="A625" s="121" t="str">
        <f>IF(S625=0,"",COUNTIF(A$23:A624,"&gt;0")+1)</f>
        <v/>
      </c>
      <c r="B625" s="379"/>
      <c r="C625" s="76" t="str">
        <f t="shared" ref="C625:C628" si="282">T625</f>
        <v>x4</v>
      </c>
      <c r="D625" s="98" t="str">
        <f>A!C882</f>
        <v>1L Pink Waterlily Carrypack</v>
      </c>
      <c r="E625" s="78"/>
      <c r="F625" s="125"/>
      <c r="G625" s="260">
        <v>6.95</v>
      </c>
      <c r="H625" s="89" t="str">
        <f>A!Q882</f>
        <v>rooted hardy pink in a recyclable plastic container</v>
      </c>
      <c r="I625" s="277"/>
      <c r="J625" s="886">
        <v>5021353011203</v>
      </c>
      <c r="K625" s="887"/>
      <c r="L625" s="887"/>
      <c r="M625" s="887"/>
      <c r="N625" s="888"/>
      <c r="O625" s="380">
        <f>A!O882</f>
        <v>4</v>
      </c>
      <c r="P625" s="541"/>
      <c r="Q625" s="541">
        <f>A!E882</f>
        <v>0</v>
      </c>
      <c r="R625" s="541" t="s">
        <v>1134</v>
      </c>
      <c r="S625" s="541">
        <f t="shared" ref="S625:S634" si="283">B625</f>
        <v>0</v>
      </c>
      <c r="T625" s="541" t="str">
        <f>A!R882</f>
        <v>x4</v>
      </c>
      <c r="U625" s="541">
        <f>A!S882</f>
        <v>35</v>
      </c>
      <c r="V625" s="541">
        <f>A!T882</f>
        <v>0.125</v>
      </c>
      <c r="W625" s="541">
        <f t="shared" si="281"/>
        <v>0</v>
      </c>
      <c r="X625" s="541"/>
    </row>
    <row r="626" spans="1:24" ht="11.25" hidden="1" customHeight="1" x14ac:dyDescent="0.25">
      <c r="A626" s="121" t="str">
        <f>IF(S626=0,"",COUNTIF(A$23:A625,"&gt;0")+1)</f>
        <v/>
      </c>
      <c r="B626" s="379"/>
      <c r="C626" s="76" t="str">
        <f t="shared" si="282"/>
        <v>x4</v>
      </c>
      <c r="D626" s="98" t="str">
        <f>A!C883</f>
        <v>1L Red Waterlily Carrypack</v>
      </c>
      <c r="E626" s="78"/>
      <c r="F626" s="125"/>
      <c r="G626" s="260">
        <v>6.95</v>
      </c>
      <c r="H626" s="89" t="str">
        <f>A!Q883</f>
        <v>Rooted hardy red in a recyclable plastic container</v>
      </c>
      <c r="I626" s="277"/>
      <c r="J626" s="886">
        <v>5021353011203</v>
      </c>
      <c r="K626" s="887"/>
      <c r="L626" s="887"/>
      <c r="M626" s="887"/>
      <c r="N626" s="888"/>
      <c r="O626" s="380">
        <f>A!O883</f>
        <v>4</v>
      </c>
      <c r="P626" s="541"/>
      <c r="Q626" s="541">
        <f>A!E883</f>
        <v>0</v>
      </c>
      <c r="R626" s="541" t="s">
        <v>1134</v>
      </c>
      <c r="S626" s="541">
        <f t="shared" si="283"/>
        <v>0</v>
      </c>
      <c r="T626" s="541" t="str">
        <f>A!R883</f>
        <v>x4</v>
      </c>
      <c r="U626" s="541">
        <f>A!S883</f>
        <v>35</v>
      </c>
      <c r="V626" s="541">
        <f>A!T883</f>
        <v>0.125</v>
      </c>
      <c r="W626" s="541">
        <f t="shared" si="281"/>
        <v>0</v>
      </c>
      <c r="X626" s="541"/>
    </row>
    <row r="627" spans="1:24" ht="11.25" hidden="1" customHeight="1" x14ac:dyDescent="0.25">
      <c r="A627" s="121" t="str">
        <f>IF(S627=0,"",COUNTIF(A$23:A626,"&gt;0")+1)</f>
        <v/>
      </c>
      <c r="B627" s="379"/>
      <c r="C627" s="76" t="str">
        <f t="shared" si="282"/>
        <v>x4</v>
      </c>
      <c r="D627" s="98" t="str">
        <f>A!C884</f>
        <v>1L White Waterlily Carrypack</v>
      </c>
      <c r="E627" s="78"/>
      <c r="F627" s="125"/>
      <c r="G627" s="260">
        <v>6.95</v>
      </c>
      <c r="H627" s="89" t="str">
        <f>A!Q884</f>
        <v>rooted hardy white in a recyclable plastic container</v>
      </c>
      <c r="I627" s="277"/>
      <c r="J627" s="886">
        <v>5021353011203</v>
      </c>
      <c r="K627" s="887"/>
      <c r="L627" s="887"/>
      <c r="M627" s="887"/>
      <c r="N627" s="888"/>
      <c r="O627" s="380">
        <f>A!O884</f>
        <v>4</v>
      </c>
      <c r="P627" s="541"/>
      <c r="Q627" s="541">
        <f>A!E884</f>
        <v>0</v>
      </c>
      <c r="R627" s="541" t="s">
        <v>1134</v>
      </c>
      <c r="S627" s="541">
        <f t="shared" si="283"/>
        <v>0</v>
      </c>
      <c r="T627" s="541" t="str">
        <f>A!R884</f>
        <v>x4</v>
      </c>
      <c r="U627" s="541">
        <f>A!S884</f>
        <v>35</v>
      </c>
      <c r="V627" s="541">
        <f>A!T884</f>
        <v>0.125</v>
      </c>
      <c r="W627" s="541">
        <f t="shared" si="281"/>
        <v>0</v>
      </c>
      <c r="X627" s="541"/>
    </row>
    <row r="628" spans="1:24" ht="11.25" hidden="1" customHeight="1" x14ac:dyDescent="0.25">
      <c r="A628" s="121" t="str">
        <f>IF(S628=0,"",COUNTIF(A$23:A627,"&gt;0")+1)</f>
        <v/>
      </c>
      <c r="B628" s="381"/>
      <c r="C628" s="76" t="str">
        <f t="shared" si="282"/>
        <v>x4</v>
      </c>
      <c r="D628" s="98" t="str">
        <f>A!C885</f>
        <v>1L Yellow Waterlily Carrypack</v>
      </c>
      <c r="E628" s="78"/>
      <c r="F628" s="125"/>
      <c r="G628" s="260">
        <v>6.95</v>
      </c>
      <c r="H628" s="89" t="str">
        <f>A!Q885</f>
        <v>rooted hardy yellow in a recyclable plastic container</v>
      </c>
      <c r="I628" s="277"/>
      <c r="J628" s="886">
        <v>5021353011203</v>
      </c>
      <c r="K628" s="887"/>
      <c r="L628" s="887"/>
      <c r="M628" s="887"/>
      <c r="N628" s="888"/>
      <c r="O628" s="380">
        <f>A!O885</f>
        <v>4</v>
      </c>
      <c r="P628" s="541"/>
      <c r="Q628" s="541">
        <f>A!E885</f>
        <v>0</v>
      </c>
      <c r="R628" s="541" t="s">
        <v>1134</v>
      </c>
      <c r="S628" s="541">
        <f t="shared" si="283"/>
        <v>0</v>
      </c>
      <c r="T628" s="541" t="str">
        <f>A!R885</f>
        <v>x4</v>
      </c>
      <c r="U628" s="541">
        <f>A!S885</f>
        <v>35</v>
      </c>
      <c r="V628" s="541">
        <f>A!T885</f>
        <v>0.125</v>
      </c>
      <c r="W628" s="541">
        <f t="shared" si="281"/>
        <v>0</v>
      </c>
      <c r="X628" s="541"/>
    </row>
    <row r="629" spans="1:24" ht="11.25" hidden="1" customHeight="1" x14ac:dyDescent="0.25">
      <c r="A629" s="121" t="str">
        <f>IF(S629=0,"",COUNTIF(A$23:A628,"&gt;0")+1)</f>
        <v/>
      </c>
      <c r="B629" s="381"/>
      <c r="C629" s="76" t="str">
        <f t="shared" ref="C629:C633" si="284">T629</f>
        <v>x4</v>
      </c>
      <c r="D629" s="98" t="str">
        <f>A!C886</f>
        <v>1L Assorted Small Carrypack</v>
      </c>
      <c r="E629" s="78"/>
      <c r="F629" s="125"/>
      <c r="G629" s="261">
        <v>8.99</v>
      </c>
      <c r="H629" s="89" t="str">
        <f>A!Q886</f>
        <v>rooted waterlily in a recyclable plastic container</v>
      </c>
      <c r="I629" s="277"/>
      <c r="J629" s="886">
        <v>5021353015188</v>
      </c>
      <c r="K629" s="887"/>
      <c r="L629" s="887"/>
      <c r="M629" s="887"/>
      <c r="N629" s="888"/>
      <c r="O629" s="380">
        <f>A!O886</f>
        <v>4</v>
      </c>
      <c r="P629" s="541"/>
      <c r="Q629" s="541">
        <f>A!E886</f>
        <v>0</v>
      </c>
      <c r="R629" s="541" t="s">
        <v>1134</v>
      </c>
      <c r="S629" s="541">
        <f t="shared" ref="S629:S633" si="285">B629</f>
        <v>0</v>
      </c>
      <c r="T629" s="541" t="str">
        <f>A!R886</f>
        <v>x4</v>
      </c>
      <c r="U629" s="541">
        <f>A!S886</f>
        <v>35</v>
      </c>
      <c r="V629" s="541">
        <f>A!T886</f>
        <v>0.125</v>
      </c>
      <c r="W629" s="541">
        <f t="shared" ref="W629:W633" si="286">V629*B629</f>
        <v>0</v>
      </c>
      <c r="X629" s="541"/>
    </row>
    <row r="630" spans="1:24" ht="11.25" hidden="1" customHeight="1" x14ac:dyDescent="0.25">
      <c r="A630" s="121" t="str">
        <f>IF(S630=0,"",COUNTIF(A$23:A629,"&gt;0")+1)</f>
        <v/>
      </c>
      <c r="B630" s="381"/>
      <c r="C630" s="76" t="str">
        <f t="shared" si="284"/>
        <v>x4</v>
      </c>
      <c r="D630" s="98" t="str">
        <f>A!C887</f>
        <v>1L Small White Carrypack</v>
      </c>
      <c r="E630" s="78"/>
      <c r="F630" s="125"/>
      <c r="G630" s="261">
        <v>8.99</v>
      </c>
      <c r="H630" s="89" t="str">
        <f>A!Q887</f>
        <v>this white flowering collection is very much suited to water features and small ponds</v>
      </c>
      <c r="I630" s="277"/>
      <c r="J630" s="886">
        <v>5021353015188</v>
      </c>
      <c r="K630" s="887"/>
      <c r="L630" s="887"/>
      <c r="M630" s="887"/>
      <c r="N630" s="888"/>
      <c r="O630" s="380">
        <f>A!O887</f>
        <v>4</v>
      </c>
      <c r="P630" s="541"/>
      <c r="Q630" s="541">
        <f>A!E887</f>
        <v>0</v>
      </c>
      <c r="R630" s="541" t="s">
        <v>1134</v>
      </c>
      <c r="S630" s="541">
        <f t="shared" si="285"/>
        <v>0</v>
      </c>
      <c r="T630" s="541" t="str">
        <f>A!R887</f>
        <v>x4</v>
      </c>
      <c r="U630" s="541">
        <f>A!S887</f>
        <v>35</v>
      </c>
      <c r="V630" s="541">
        <f>A!T887</f>
        <v>0.125</v>
      </c>
      <c r="W630" s="541">
        <f t="shared" si="286"/>
        <v>0</v>
      </c>
      <c r="X630" s="541"/>
    </row>
    <row r="631" spans="1:24" ht="11.25" hidden="1" customHeight="1" x14ac:dyDescent="0.25">
      <c r="A631" s="121" t="str">
        <f>IF(S631=0,"",COUNTIF(A$23:A630,"&gt;0")+1)</f>
        <v/>
      </c>
      <c r="B631" s="381"/>
      <c r="C631" s="76" t="str">
        <f t="shared" si="284"/>
        <v>x4</v>
      </c>
      <c r="D631" s="98" t="str">
        <f>A!C888</f>
        <v>1L Small Red Carrypack</v>
      </c>
      <c r="E631" s="78"/>
      <c r="F631" s="125"/>
      <c r="G631" s="261">
        <v>8.99</v>
      </c>
      <c r="H631" s="89" t="str">
        <f>A!Q888</f>
        <v>offering many shades of red flowers above small lily pads</v>
      </c>
      <c r="I631" s="277"/>
      <c r="J631" s="886">
        <v>5021353015188</v>
      </c>
      <c r="K631" s="887"/>
      <c r="L631" s="887"/>
      <c r="M631" s="887"/>
      <c r="N631" s="888"/>
      <c r="O631" s="380">
        <f>A!O888</f>
        <v>4</v>
      </c>
      <c r="P631" s="541"/>
      <c r="Q631" s="541">
        <f>A!E888</f>
        <v>0</v>
      </c>
      <c r="R631" s="541" t="s">
        <v>1134</v>
      </c>
      <c r="S631" s="541">
        <f t="shared" si="285"/>
        <v>0</v>
      </c>
      <c r="T631" s="541" t="str">
        <f>A!R888</f>
        <v>x4</v>
      </c>
      <c r="U631" s="541">
        <f>A!S888</f>
        <v>35</v>
      </c>
      <c r="V631" s="541">
        <f>A!T888</f>
        <v>0.125</v>
      </c>
      <c r="W631" s="541">
        <f t="shared" si="286"/>
        <v>0</v>
      </c>
      <c r="X631" s="541"/>
    </row>
    <row r="632" spans="1:24" ht="11.25" hidden="1" customHeight="1" x14ac:dyDescent="0.25">
      <c r="A632" s="121" t="str">
        <f>IF(S632=0,"",COUNTIF(A$23:A631,"&gt;0")+1)</f>
        <v/>
      </c>
      <c r="B632" s="381"/>
      <c r="C632" s="76" t="str">
        <f t="shared" si="284"/>
        <v>x4</v>
      </c>
      <c r="D632" s="98" t="str">
        <f>A!C889</f>
        <v>1L Small Pink Carrypack</v>
      </c>
      <c r="E632" s="78"/>
      <c r="F632" s="125"/>
      <c r="G632" s="261">
        <v>8.99</v>
      </c>
      <c r="H632" s="89" t="str">
        <f>A!Q889</f>
        <v>a collection of small waterlilies at home in smaller ponds, offering pink blooms</v>
      </c>
      <c r="I632" s="277"/>
      <c r="J632" s="886">
        <v>5021353015188</v>
      </c>
      <c r="K632" s="887"/>
      <c r="L632" s="887"/>
      <c r="M632" s="887"/>
      <c r="N632" s="888"/>
      <c r="O632" s="380">
        <f>A!O889</f>
        <v>4</v>
      </c>
      <c r="P632" s="541"/>
      <c r="Q632" s="541">
        <f>A!E889</f>
        <v>0</v>
      </c>
      <c r="R632" s="541" t="s">
        <v>1134</v>
      </c>
      <c r="S632" s="541">
        <f t="shared" si="285"/>
        <v>0</v>
      </c>
      <c r="T632" s="541" t="str">
        <f>A!R889</f>
        <v>x4</v>
      </c>
      <c r="U632" s="541">
        <f>A!S889</f>
        <v>35</v>
      </c>
      <c r="V632" s="541">
        <f>A!T889</f>
        <v>0.125</v>
      </c>
      <c r="W632" s="541">
        <f t="shared" si="286"/>
        <v>0</v>
      </c>
      <c r="X632" s="541"/>
    </row>
    <row r="633" spans="1:24" ht="11.25" hidden="1" customHeight="1" thickBot="1" x14ac:dyDescent="0.3">
      <c r="A633" s="121" t="str">
        <f>IF(S633=0,"",COUNTIF(A$23:A632,"&gt;0")+1)</f>
        <v/>
      </c>
      <c r="B633" s="382"/>
      <c r="C633" s="383" t="str">
        <f t="shared" si="284"/>
        <v>x4</v>
      </c>
      <c r="D633" s="384" t="str">
        <f>A!C890</f>
        <v>1L Small Yellow Carrypack</v>
      </c>
      <c r="E633" s="385"/>
      <c r="F633" s="386"/>
      <c r="G633" s="387">
        <v>8.99</v>
      </c>
      <c r="H633" s="388" t="str">
        <f>A!Q890</f>
        <v>wonderful small yellow blooms above small pads, yellow flowering</v>
      </c>
      <c r="I633" s="389"/>
      <c r="J633" s="1107">
        <v>5021353015188</v>
      </c>
      <c r="K633" s="1108"/>
      <c r="L633" s="1108"/>
      <c r="M633" s="1108"/>
      <c r="N633" s="1109"/>
      <c r="O633" s="390">
        <f>A!O890</f>
        <v>4</v>
      </c>
      <c r="P633" s="541"/>
      <c r="Q633" s="541">
        <f>A!E890</f>
        <v>0</v>
      </c>
      <c r="R633" s="541" t="s">
        <v>1134</v>
      </c>
      <c r="S633" s="541">
        <f t="shared" si="285"/>
        <v>0</v>
      </c>
      <c r="T633" s="541" t="str">
        <f>A!R890</f>
        <v>x4</v>
      </c>
      <c r="U633" s="541">
        <f>A!S890</f>
        <v>35</v>
      </c>
      <c r="V633" s="541">
        <f>A!T890</f>
        <v>0.125</v>
      </c>
      <c r="W633" s="541">
        <f t="shared" si="286"/>
        <v>0</v>
      </c>
      <c r="X633" s="541"/>
    </row>
    <row r="634" spans="1:24" hidden="1" x14ac:dyDescent="0.25">
      <c r="A634" s="121" t="str">
        <f>IF(S634=0,"",COUNTIF(A$23:A633,"&gt;0")+1)</f>
        <v/>
      </c>
      <c r="B634" s="104">
        <f>SUM(B616:B633)</f>
        <v>0</v>
      </c>
      <c r="C634" s="104"/>
      <c r="D634" s="285" t="s">
        <v>1283</v>
      </c>
      <c r="O634" s="105"/>
      <c r="P634" s="541"/>
      <c r="Q634" s="541"/>
      <c r="R634" s="541" t="s">
        <v>1134</v>
      </c>
      <c r="S634" s="541">
        <f t="shared" si="283"/>
        <v>0</v>
      </c>
      <c r="T634" s="541" t="s">
        <v>1142</v>
      </c>
      <c r="U634" s="541"/>
      <c r="V634" s="541"/>
      <c r="W634" s="541"/>
      <c r="X634" s="541"/>
    </row>
    <row r="635" spans="1:24" ht="6" customHeight="1" thickBot="1" x14ac:dyDescent="0.3">
      <c r="A635" s="121" t="str">
        <f>IF(S635=0,"",COUNTIF(A$23:A634,"&gt;0")+1)</f>
        <v/>
      </c>
      <c r="P635" s="541"/>
      <c r="Q635" s="541"/>
      <c r="R635" s="541"/>
      <c r="S635" s="541"/>
      <c r="T635" s="541"/>
      <c r="U635" s="541"/>
      <c r="V635" s="541"/>
      <c r="W635" s="541"/>
      <c r="X635" s="541"/>
    </row>
    <row r="636" spans="1:24" ht="7.5" customHeight="1" x14ac:dyDescent="0.25">
      <c r="A636" s="121" t="str">
        <f>IF(S636=0,"",COUNTIF(A$23:A635,"&gt;0")+1)</f>
        <v/>
      </c>
      <c r="B636" s="894" t="s">
        <v>115</v>
      </c>
      <c r="C636" s="895"/>
      <c r="D636" s="896" t="s">
        <v>1072</v>
      </c>
      <c r="E636" s="897"/>
      <c r="F636" s="897"/>
      <c r="G636" s="897"/>
      <c r="H636" s="1096"/>
      <c r="I636" s="906"/>
      <c r="J636" s="906"/>
      <c r="K636" s="906"/>
      <c r="L636" s="906"/>
      <c r="M636" s="906"/>
      <c r="N636" s="906"/>
      <c r="O636" s="907"/>
      <c r="P636" s="541"/>
      <c r="Q636" s="541"/>
      <c r="R636" s="541"/>
      <c r="S636" s="541"/>
      <c r="T636" s="541"/>
      <c r="U636" s="541"/>
      <c r="V636" s="541"/>
      <c r="W636" s="541"/>
      <c r="X636" s="541"/>
    </row>
    <row r="637" spans="1:24" ht="9.75" customHeight="1" thickBot="1" x14ac:dyDescent="0.3">
      <c r="A637" s="121" t="str">
        <f>IF(S637=0,"",COUNTIF(A$23:A636,"&gt;0")+1)</f>
        <v/>
      </c>
      <c r="B637" s="889" t="s">
        <v>761</v>
      </c>
      <c r="C637" s="890"/>
      <c r="D637" s="898"/>
      <c r="E637" s="899"/>
      <c r="F637" s="899"/>
      <c r="G637" s="899"/>
      <c r="H637" s="1097"/>
      <c r="I637" s="405"/>
      <c r="J637" s="406"/>
      <c r="K637" s="407"/>
      <c r="L637" s="407"/>
      <c r="M637" s="405"/>
      <c r="N637" s="407"/>
      <c r="O637" s="408" t="s">
        <v>41</v>
      </c>
      <c r="P637" s="541"/>
      <c r="Q637" s="748"/>
      <c r="R637" s="541"/>
      <c r="S637" s="541"/>
      <c r="T637" s="541"/>
      <c r="U637" s="541"/>
      <c r="V637" s="541"/>
      <c r="W637" s="541"/>
      <c r="X637" s="541"/>
    </row>
    <row r="638" spans="1:24" ht="11.25" customHeight="1" x14ac:dyDescent="0.25">
      <c r="A638" s="121" t="str">
        <f>IF(S638=0,"",COUNTIF(A$23:A637,"&gt;0")+1)</f>
        <v/>
      </c>
      <c r="B638" s="377"/>
      <c r="C638" s="128" t="str">
        <f t="shared" ref="C638:C644" si="287">T638</f>
        <v>x5</v>
      </c>
      <c r="D638" s="119" t="str">
        <f>A!C544</f>
        <v xml:space="preserve">Assorted Waterlilies </v>
      </c>
      <c r="E638" s="113"/>
      <c r="F638" s="113"/>
      <c r="G638" s="420" t="s">
        <v>1294</v>
      </c>
      <c r="H638" s="129" t="str">
        <f>A!Q544</f>
        <v>our best selection of small and medium sized lilies</v>
      </c>
      <c r="I638" s="397"/>
      <c r="J638" s="203"/>
      <c r="K638" s="131">
        <f>IF(A!G584="y",1,0)</f>
        <v>0</v>
      </c>
      <c r="L638" s="131">
        <f>IF(A!H584="y",1,0)</f>
        <v>0</v>
      </c>
      <c r="M638" s="399"/>
      <c r="N638" s="85">
        <f>A!I587</f>
        <v>0</v>
      </c>
      <c r="O638" s="378">
        <f>A!O544</f>
        <v>4</v>
      </c>
      <c r="P638" s="541"/>
      <c r="Q638" s="541" t="str">
        <f>A!E544</f>
        <v>y</v>
      </c>
      <c r="R638" s="541" t="s">
        <v>112</v>
      </c>
      <c r="S638" s="541">
        <f t="shared" ref="S638:S645" si="288">B638</f>
        <v>0</v>
      </c>
      <c r="T638" s="541" t="str">
        <f>A!R544</f>
        <v>x5</v>
      </c>
      <c r="U638" s="541">
        <f>A!S544</f>
        <v>25</v>
      </c>
      <c r="V638" s="541">
        <f>A!T544</f>
        <v>0.1</v>
      </c>
      <c r="W638" s="541">
        <f t="shared" ref="W638:W643" si="289">V638*B638</f>
        <v>0</v>
      </c>
      <c r="X638" s="541"/>
    </row>
    <row r="639" spans="1:24" ht="11.25" customHeight="1" x14ac:dyDescent="0.25">
      <c r="A639" s="121" t="str">
        <f>IF(S639=0,"",COUNTIF(A$23:A638,"&gt;0")+1)</f>
        <v/>
      </c>
      <c r="B639" s="379"/>
      <c r="C639" s="76" t="str">
        <f t="shared" si="287"/>
        <v>x5</v>
      </c>
      <c r="D639" s="98" t="str">
        <f>A!C545</f>
        <v>White Waterlily</v>
      </c>
      <c r="E639" s="78"/>
      <c r="F639" s="78"/>
      <c r="G639" s="284">
        <v>5021353014175</v>
      </c>
      <c r="H639" s="89" t="str">
        <f>A!Q545</f>
        <v>our best selection of small and medium sized lilies</v>
      </c>
      <c r="I639" s="69"/>
      <c r="J639" s="202">
        <f>A!P545</f>
        <v>0</v>
      </c>
      <c r="K639" s="83">
        <f>IF(A!G545="y",1,0)</f>
        <v>1</v>
      </c>
      <c r="L639" s="83">
        <f>IF(A!H545="y",1,0)</f>
        <v>0</v>
      </c>
      <c r="M639" s="84" t="str">
        <f>IF(A!F545="y","NEW","")</f>
        <v/>
      </c>
      <c r="N639" s="85"/>
      <c r="O639" s="380">
        <f>A!O545</f>
        <v>4</v>
      </c>
      <c r="P639" s="541"/>
      <c r="Q639" s="541" t="str">
        <f>A!E545</f>
        <v>y</v>
      </c>
      <c r="R639" s="541" t="s">
        <v>112</v>
      </c>
      <c r="S639" s="541">
        <f t="shared" si="288"/>
        <v>0</v>
      </c>
      <c r="T639" s="541" t="str">
        <f>A!R545</f>
        <v>x5</v>
      </c>
      <c r="U639" s="541">
        <f>A!S545</f>
        <v>25</v>
      </c>
      <c r="V639" s="541">
        <f>A!T545</f>
        <v>0.1</v>
      </c>
      <c r="W639" s="541">
        <f t="shared" si="289"/>
        <v>0</v>
      </c>
      <c r="X639" s="541"/>
    </row>
    <row r="640" spans="1:24" ht="11.25" customHeight="1" x14ac:dyDescent="0.25">
      <c r="A640" s="121" t="str">
        <f>IF(S640=0,"",COUNTIF(A$23:A639,"&gt;0")+1)</f>
        <v/>
      </c>
      <c r="B640" s="379"/>
      <c r="C640" s="76" t="str">
        <f t="shared" si="287"/>
        <v>x5</v>
      </c>
      <c r="D640" s="98" t="str">
        <f>A!C546</f>
        <v>Pink Waterlily</v>
      </c>
      <c r="E640" s="78"/>
      <c r="F640" s="78"/>
      <c r="G640" s="284">
        <v>5021353014221</v>
      </c>
      <c r="H640" s="89" t="str">
        <f>A!Q546</f>
        <v>our best selection of small and medium sized lilies</v>
      </c>
      <c r="I640" s="69"/>
      <c r="J640" s="202">
        <f>A!P546</f>
        <v>0</v>
      </c>
      <c r="K640" s="83">
        <f>IF(A!G546="y",1,0)</f>
        <v>1</v>
      </c>
      <c r="L640" s="83">
        <f>IF(A!H546="y",1,0)</f>
        <v>0</v>
      </c>
      <c r="M640" s="135" t="str">
        <f>IF(A!F546="y","NEW","")</f>
        <v/>
      </c>
      <c r="N640" s="85"/>
      <c r="O640" s="380">
        <f>A!O546</f>
        <v>4</v>
      </c>
      <c r="P640" s="541"/>
      <c r="Q640" s="541" t="str">
        <f>A!E546</f>
        <v>y</v>
      </c>
      <c r="R640" s="541" t="s">
        <v>112</v>
      </c>
      <c r="S640" s="541">
        <f t="shared" si="288"/>
        <v>0</v>
      </c>
      <c r="T640" s="541" t="str">
        <f>A!R546</f>
        <v>x5</v>
      </c>
      <c r="U640" s="541">
        <f>A!S546</f>
        <v>25</v>
      </c>
      <c r="V640" s="541">
        <f>A!T546</f>
        <v>0.1</v>
      </c>
      <c r="W640" s="541">
        <f t="shared" si="289"/>
        <v>0</v>
      </c>
      <c r="X640" s="541"/>
    </row>
    <row r="641" spans="1:24" ht="11.25" customHeight="1" x14ac:dyDescent="0.25">
      <c r="A641" s="121" t="str">
        <f>IF(S641=0,"",COUNTIF(A$23:A640,"&gt;0")+1)</f>
        <v/>
      </c>
      <c r="B641" s="379"/>
      <c r="C641" s="76" t="str">
        <f t="shared" si="287"/>
        <v>x5</v>
      </c>
      <c r="D641" s="98" t="str">
        <f>A!C547</f>
        <v>Red Waterlily</v>
      </c>
      <c r="E641" s="78"/>
      <c r="F641" s="78"/>
      <c r="G641" s="284">
        <v>5021353014204</v>
      </c>
      <c r="H641" s="89" t="str">
        <f>A!Q547</f>
        <v>our best selection of small and medium sized lilies</v>
      </c>
      <c r="I641" s="69"/>
      <c r="J641" s="202">
        <f>A!P547</f>
        <v>0</v>
      </c>
      <c r="K641" s="83">
        <f>IF(A!G547="y",1,0)</f>
        <v>1</v>
      </c>
      <c r="L641" s="83">
        <f>IF(A!H547="y",1,0)</f>
        <v>0</v>
      </c>
      <c r="M641" s="136" t="str">
        <f>IF(A!F547="y","NEW","")</f>
        <v/>
      </c>
      <c r="N641" s="85"/>
      <c r="O641" s="380">
        <f>A!O547</f>
        <v>4</v>
      </c>
      <c r="P641" s="541"/>
      <c r="Q641" s="541" t="str">
        <f>A!E547</f>
        <v>y</v>
      </c>
      <c r="R641" s="541" t="s">
        <v>112</v>
      </c>
      <c r="S641" s="541">
        <f t="shared" si="288"/>
        <v>0</v>
      </c>
      <c r="T641" s="541" t="str">
        <f>A!R547</f>
        <v>x5</v>
      </c>
      <c r="U641" s="541">
        <f>A!S547</f>
        <v>25</v>
      </c>
      <c r="V641" s="541">
        <f>A!T547</f>
        <v>0.1</v>
      </c>
      <c r="W641" s="541">
        <f t="shared" si="289"/>
        <v>0</v>
      </c>
      <c r="X641" s="541"/>
    </row>
    <row r="642" spans="1:24" ht="11.25" customHeight="1" x14ac:dyDescent="0.25">
      <c r="A642" s="121" t="str">
        <f>IF(S642=0,"",COUNTIF(A$23:A641,"&gt;0")+1)</f>
        <v/>
      </c>
      <c r="B642" s="379"/>
      <c r="C642" s="76" t="str">
        <f t="shared" si="287"/>
        <v>x5</v>
      </c>
      <c r="D642" s="98" t="str">
        <f>A!C548</f>
        <v>Yellow Waterlily</v>
      </c>
      <c r="E642" s="78"/>
      <c r="F642" s="78"/>
      <c r="G642" s="284">
        <v>5021353014198</v>
      </c>
      <c r="H642" s="87" t="str">
        <f>A!Q548</f>
        <v>our best selection of small and medium sized lilies</v>
      </c>
      <c r="I642" s="69"/>
      <c r="J642" s="202">
        <f>A!P548</f>
        <v>0</v>
      </c>
      <c r="K642" s="83">
        <f>IF(A!G548="y",1,0)</f>
        <v>1</v>
      </c>
      <c r="L642" s="83">
        <f>IF(A!H548="y",1,0)</f>
        <v>1</v>
      </c>
      <c r="M642" s="137" t="str">
        <f>IF(A!F548="y","NEW","")</f>
        <v/>
      </c>
      <c r="N642" s="163"/>
      <c r="O642" s="380">
        <f>A!O548</f>
        <v>4</v>
      </c>
      <c r="P642" s="541"/>
      <c r="Q642" s="541" t="str">
        <f>A!E548</f>
        <v>y</v>
      </c>
      <c r="R642" s="541" t="s">
        <v>112</v>
      </c>
      <c r="S642" s="541">
        <f t="shared" si="288"/>
        <v>0</v>
      </c>
      <c r="T642" s="541" t="str">
        <f>A!R548</f>
        <v>x5</v>
      </c>
      <c r="U642" s="541">
        <f>A!S548</f>
        <v>25</v>
      </c>
      <c r="V642" s="541">
        <f>A!T548</f>
        <v>0.1</v>
      </c>
      <c r="W642" s="541">
        <f t="shared" si="289"/>
        <v>0</v>
      </c>
      <c r="X642" s="541"/>
    </row>
    <row r="643" spans="1:24" ht="11.25" customHeight="1" thickBot="1" x14ac:dyDescent="0.3">
      <c r="A643" s="121" t="str">
        <f>IF(S643=0,"",COUNTIF(A$23:A642,"&gt;0")+1)</f>
        <v/>
      </c>
      <c r="B643" s="637"/>
      <c r="C643" s="638" t="str">
        <f t="shared" si="287"/>
        <v>x5</v>
      </c>
      <c r="D643" s="639" t="str">
        <f>A!C549</f>
        <v>Copper Waterlily</v>
      </c>
      <c r="E643" s="640"/>
      <c r="F643" s="640"/>
      <c r="G643" s="641">
        <v>5021353014211</v>
      </c>
      <c r="H643" s="642" t="str">
        <f>A!Q549</f>
        <v>our best selection of small and medium sized lilies</v>
      </c>
      <c r="I643" s="643"/>
      <c r="J643" s="644">
        <f>A!P549</f>
        <v>0</v>
      </c>
      <c r="K643" s="645">
        <f>IF(A!G549="y",1,0)</f>
        <v>1</v>
      </c>
      <c r="L643" s="645">
        <f>IF(A!H549="y",1,0)</f>
        <v>0</v>
      </c>
      <c r="M643" s="646" t="str">
        <f>IF(A!F549="y","NEW","")</f>
        <v/>
      </c>
      <c r="N643" s="647"/>
      <c r="O643" s="648">
        <f>A!O549</f>
        <v>4</v>
      </c>
      <c r="P643" s="541"/>
      <c r="Q643" s="541" t="str">
        <f>A!E549</f>
        <v>y</v>
      </c>
      <c r="R643" s="541" t="s">
        <v>112</v>
      </c>
      <c r="S643" s="541">
        <f t="shared" si="288"/>
        <v>0</v>
      </c>
      <c r="T643" s="541" t="str">
        <f>A!R549</f>
        <v>x5</v>
      </c>
      <c r="U643" s="541">
        <f>A!S549</f>
        <v>25</v>
      </c>
      <c r="V643" s="541">
        <f>A!T549</f>
        <v>0.1</v>
      </c>
      <c r="W643" s="541">
        <f t="shared" si="289"/>
        <v>0</v>
      </c>
      <c r="X643" s="541"/>
    </row>
    <row r="644" spans="1:24" ht="11.25" hidden="1" customHeight="1" x14ac:dyDescent="0.25">
      <c r="A644" s="121" t="str">
        <f>IF(S644=0,"",COUNTIF(A$23:A643,"&gt;0")+1)</f>
        <v/>
      </c>
      <c r="B644" s="396"/>
      <c r="C644" s="189" t="str">
        <f t="shared" si="287"/>
        <v>x5</v>
      </c>
      <c r="D644" s="119" t="str">
        <f>A!C550</f>
        <v>Tropical Waterlily</v>
      </c>
      <c r="E644" s="113"/>
      <c r="F644" s="113"/>
      <c r="G644" s="278"/>
      <c r="H644" s="129" t="str">
        <f>A!Q550</f>
        <v>our best selection of small and medium sized lilies</v>
      </c>
      <c r="I644" s="130"/>
      <c r="J644" s="203">
        <f>A!P550</f>
        <v>0</v>
      </c>
      <c r="K644" s="131">
        <f>IF(A!G550="y",1,0)</f>
        <v>0</v>
      </c>
      <c r="L644" s="131">
        <f>IF(A!H550="y",1,0)</f>
        <v>0</v>
      </c>
      <c r="M644" s="132" t="str">
        <f>IF(A!F550="y","NEW","")</f>
        <v/>
      </c>
      <c r="N644" s="133"/>
      <c r="O644" s="134">
        <f>A!O550</f>
        <v>4</v>
      </c>
      <c r="P644" s="541"/>
      <c r="Q644" s="541">
        <f>A!E550</f>
        <v>0</v>
      </c>
      <c r="R644" s="541" t="s">
        <v>112</v>
      </c>
      <c r="S644" s="541">
        <f t="shared" si="288"/>
        <v>0</v>
      </c>
      <c r="T644" s="541" t="str">
        <f>A!R550</f>
        <v>x5</v>
      </c>
      <c r="U644" s="541">
        <f>A!S550</f>
        <v>25</v>
      </c>
      <c r="V644" s="541">
        <f>A!T550</f>
        <v>0.1</v>
      </c>
      <c r="W644" s="541"/>
      <c r="X644" s="541"/>
    </row>
    <row r="645" spans="1:24" ht="12.75" customHeight="1" x14ac:dyDescent="0.25">
      <c r="A645" s="121" t="str">
        <f>IF(S645=0,"",COUNTIF(A$23:A644,"&gt;0")+1)</f>
        <v/>
      </c>
      <c r="B645" s="92">
        <f>SUM(B638:B644)</f>
        <v>0</v>
      </c>
      <c r="C645" s="92"/>
      <c r="D645" s="93" t="s">
        <v>1121</v>
      </c>
      <c r="E645" s="56"/>
      <c r="F645" s="56"/>
      <c r="G645" s="56"/>
      <c r="H645" s="56"/>
      <c r="I645" s="56"/>
      <c r="J645" s="200"/>
      <c r="K645" s="56"/>
      <c r="L645" s="56"/>
      <c r="M645" s="58"/>
      <c r="N645" s="56"/>
      <c r="O645" s="94"/>
      <c r="P645" s="541"/>
      <c r="Q645" s="540"/>
      <c r="R645" s="541" t="s">
        <v>112</v>
      </c>
      <c r="S645" s="541">
        <f t="shared" si="288"/>
        <v>0</v>
      </c>
      <c r="T645" s="541" t="s">
        <v>1119</v>
      </c>
      <c r="U645" s="541"/>
      <c r="V645" s="541"/>
      <c r="W645" s="541"/>
      <c r="X645" s="541"/>
    </row>
    <row r="646" spans="1:24" ht="8.25" customHeight="1" thickBot="1" x14ac:dyDescent="0.3">
      <c r="A646" s="121" t="str">
        <f>IF(S646=0,"",COUNTIF(A$23:A645,"&gt;0")+1)</f>
        <v/>
      </c>
      <c r="P646" s="541"/>
      <c r="Q646" s="541"/>
      <c r="R646" s="541"/>
      <c r="S646" s="541"/>
      <c r="T646" s="541"/>
      <c r="U646" s="541"/>
      <c r="V646" s="541"/>
      <c r="W646" s="541"/>
      <c r="X646" s="541"/>
    </row>
    <row r="647" spans="1:24" ht="8.25" customHeight="1" x14ac:dyDescent="0.25">
      <c r="A647" s="121" t="str">
        <f>IF(S647=0,"",COUNTIF(A$23:A646,"&gt;0")+1)</f>
        <v/>
      </c>
      <c r="B647" s="894" t="s">
        <v>115</v>
      </c>
      <c r="C647" s="895"/>
      <c r="D647" s="896" t="s">
        <v>1397</v>
      </c>
      <c r="E647" s="897"/>
      <c r="F647" s="897"/>
      <c r="G647" s="897"/>
      <c r="H647" s="897"/>
      <c r="I647" s="750"/>
      <c r="J647" s="750"/>
      <c r="K647" s="750"/>
      <c r="L647" s="750"/>
      <c r="M647" s="750"/>
      <c r="N647" s="750"/>
      <c r="O647" s="751"/>
      <c r="P647" s="541"/>
      <c r="Q647" s="541"/>
      <c r="R647" s="541"/>
      <c r="S647" s="541"/>
      <c r="T647" s="541"/>
      <c r="U647" s="541"/>
      <c r="V647" s="541"/>
      <c r="W647" s="541"/>
      <c r="X647" s="541"/>
    </row>
    <row r="648" spans="1:24" ht="9.75" customHeight="1" thickBot="1" x14ac:dyDescent="0.3">
      <c r="A648" s="121" t="str">
        <f>IF(S648=0,"",COUNTIF(A$23:A647,"&gt;0")+1)</f>
        <v/>
      </c>
      <c r="B648" s="889" t="s">
        <v>760</v>
      </c>
      <c r="C648" s="890"/>
      <c r="D648" s="898"/>
      <c r="E648" s="899"/>
      <c r="F648" s="899"/>
      <c r="G648" s="899"/>
      <c r="H648" s="899"/>
      <c r="I648" s="752"/>
      <c r="J648" s="753"/>
      <c r="K648" s="407"/>
      <c r="L648" s="407"/>
      <c r="M648" s="405"/>
      <c r="N648" s="407"/>
      <c r="O648" s="408" t="s">
        <v>41</v>
      </c>
      <c r="P648" s="541"/>
      <c r="Q648" s="748"/>
      <c r="R648" s="541"/>
      <c r="S648" s="541"/>
      <c r="T648" s="541"/>
      <c r="U648" s="541"/>
      <c r="V648" s="541"/>
      <c r="W648" s="541"/>
      <c r="X648" s="541"/>
    </row>
    <row r="649" spans="1:24" ht="11.25" customHeight="1" x14ac:dyDescent="0.25">
      <c r="A649" s="121" t="str">
        <f>IF(S649=0,"",COUNTIF(A$23:A648,"&gt;0")+1)</f>
        <v/>
      </c>
      <c r="B649" s="515"/>
      <c r="C649" s="516" t="str">
        <f t="shared" ref="C649" si="290">T649</f>
        <v>x3</v>
      </c>
      <c r="D649" s="517" t="str">
        <f>A!C604</f>
        <v>Pygmaea Rubra</v>
      </c>
      <c r="E649" s="518"/>
      <c r="F649" s="518" t="s">
        <v>1443</v>
      </c>
      <c r="G649" s="519"/>
      <c r="H649" s="520" t="str">
        <f>A!Q604</f>
        <v>offering many shades of red flowers above small lily pads</v>
      </c>
      <c r="I649" s="580"/>
      <c r="J649" s="522"/>
      <c r="K649" s="523">
        <f>IF(A!G587="y",1,0)</f>
        <v>0</v>
      </c>
      <c r="L649" s="523">
        <f>IF(A!H587="y",1,0)</f>
        <v>0</v>
      </c>
      <c r="M649" s="757"/>
      <c r="N649" s="758">
        <f>A!I604</f>
        <v>0</v>
      </c>
      <c r="O649" s="524">
        <f>A!O604</f>
        <v>4</v>
      </c>
      <c r="P649" s="541"/>
      <c r="Q649" s="541" t="str">
        <f>A!E604</f>
        <v>y</v>
      </c>
      <c r="R649" s="541" t="str">
        <f t="shared" ref="R649:R651" si="291">"1L "&amp;H$660&amp;" Waterlilies"</f>
        <v>1L Small Waterlilies</v>
      </c>
      <c r="S649" s="541">
        <f t="shared" ref="S649" si="292">B649</f>
        <v>0</v>
      </c>
      <c r="T649" s="541" t="str">
        <f>A!R604</f>
        <v>x3</v>
      </c>
      <c r="U649" s="541">
        <f>A!S604</f>
        <v>25</v>
      </c>
      <c r="V649" s="541">
        <f>A!T604</f>
        <v>0.06</v>
      </c>
      <c r="W649" s="541">
        <f t="shared" ref="W649" si="293">V649*B649</f>
        <v>0</v>
      </c>
      <c r="X649" s="541"/>
    </row>
    <row r="650" spans="1:24" ht="11.25" customHeight="1" thickBot="1" x14ac:dyDescent="0.3">
      <c r="A650" s="121" t="str">
        <f>IF(S650=0,"",COUNTIF(A$23:A649,"&gt;0")+1)</f>
        <v/>
      </c>
      <c r="B650" s="649"/>
      <c r="C650" s="638" t="str">
        <f t="shared" ref="C650" si="294">T650</f>
        <v>x3</v>
      </c>
      <c r="D650" s="639" t="str">
        <f>A!C605</f>
        <v>Pygmaea Alba</v>
      </c>
      <c r="E650" s="640"/>
      <c r="F650" s="640" t="s">
        <v>1443</v>
      </c>
      <c r="G650" s="755"/>
      <c r="H650" s="642" t="str">
        <f>A!Q605</f>
        <v>this white flowering collection is very much suited to water features and small ponds</v>
      </c>
      <c r="I650" s="756"/>
      <c r="J650" s="644"/>
      <c r="K650" s="645">
        <f>IF(A!G588="y",1,0)</f>
        <v>0</v>
      </c>
      <c r="L650" s="645">
        <f>IF(A!H588="y",1,0)</f>
        <v>0</v>
      </c>
      <c r="M650" s="754"/>
      <c r="N650" s="647">
        <f>A!I605</f>
        <v>0</v>
      </c>
      <c r="O650" s="648">
        <f>A!O605</f>
        <v>4</v>
      </c>
      <c r="P650" s="541"/>
      <c r="Q650" s="541" t="str">
        <f>A!E605</f>
        <v>y</v>
      </c>
      <c r="R650" s="541" t="str">
        <f t="shared" si="291"/>
        <v>1L Small Waterlilies</v>
      </c>
      <c r="S650" s="541">
        <f t="shared" ref="S650:S651" si="295">B650</f>
        <v>0</v>
      </c>
      <c r="T650" s="541" t="str">
        <f>A!R605</f>
        <v>x3</v>
      </c>
      <c r="U650" s="541">
        <f>A!S605</f>
        <v>25</v>
      </c>
      <c r="V650" s="541">
        <f>A!T605</f>
        <v>0.06</v>
      </c>
      <c r="W650" s="541">
        <f t="shared" ref="W650" si="296">V650*B650</f>
        <v>0</v>
      </c>
      <c r="X650" s="541"/>
    </row>
    <row r="651" spans="1:24" ht="13.5" customHeight="1" x14ac:dyDescent="0.25">
      <c r="A651" s="121" t="str">
        <f>IF(S651=0,"",COUNTIF(A$23:A650,"&gt;0")+1)</f>
        <v/>
      </c>
      <c r="B651" s="747">
        <f>SUM(B649:B650)</f>
        <v>0</v>
      </c>
      <c r="C651" s="747"/>
      <c r="D651" s="93" t="s">
        <v>1398</v>
      </c>
      <c r="E651" s="56"/>
      <c r="F651" s="56"/>
      <c r="G651" s="56"/>
      <c r="H651" s="56"/>
      <c r="I651" s="56"/>
      <c r="J651" s="200"/>
      <c r="K651" s="56"/>
      <c r="L651" s="56"/>
      <c r="M651" s="58"/>
      <c r="N651" s="56"/>
      <c r="O651" s="94"/>
      <c r="P651" s="541"/>
      <c r="Q651" s="540"/>
      <c r="R651" s="541" t="str">
        <f t="shared" si="291"/>
        <v>1L Small Waterlilies</v>
      </c>
      <c r="S651" s="541">
        <f t="shared" si="295"/>
        <v>0</v>
      </c>
      <c r="T651" s="541" t="s">
        <v>599</v>
      </c>
      <c r="U651" s="541"/>
      <c r="V651" s="541"/>
      <c r="W651" s="541"/>
      <c r="X651" s="541"/>
    </row>
    <row r="652" spans="1:24" ht="6" customHeight="1" thickBot="1" x14ac:dyDescent="0.3">
      <c r="A652" s="121" t="str">
        <f>IF(S652=0,"",COUNTIF(A$23:A651,"&gt;0")+1)</f>
        <v/>
      </c>
      <c r="P652" s="541"/>
      <c r="Q652" s="541"/>
      <c r="R652" s="541"/>
      <c r="S652" s="541"/>
      <c r="T652" s="541"/>
      <c r="U652" s="541"/>
      <c r="V652" s="541"/>
      <c r="W652" s="541"/>
      <c r="X652" s="541"/>
    </row>
    <row r="653" spans="1:24" ht="8.25" customHeight="1" x14ac:dyDescent="0.25">
      <c r="A653" s="121" t="str">
        <f>IF(S653=0,"",COUNTIF(A$23:A652,"&gt;0")+1)</f>
        <v/>
      </c>
      <c r="B653" s="894" t="s">
        <v>115</v>
      </c>
      <c r="C653" s="895"/>
      <c r="D653" s="896" t="s">
        <v>1073</v>
      </c>
      <c r="E653" s="897"/>
      <c r="F653" s="897"/>
      <c r="G653" s="897"/>
      <c r="H653" s="409"/>
      <c r="I653" s="906"/>
      <c r="J653" s="906"/>
      <c r="K653" s="906"/>
      <c r="L653" s="906"/>
      <c r="M653" s="906"/>
      <c r="N653" s="906"/>
      <c r="O653" s="907"/>
      <c r="P653" s="541"/>
      <c r="Q653" s="541"/>
      <c r="R653" s="541"/>
      <c r="S653" s="541"/>
      <c r="T653" s="541"/>
      <c r="U653" s="541"/>
      <c r="V653" s="541"/>
      <c r="W653" s="541"/>
      <c r="X653" s="541"/>
    </row>
    <row r="654" spans="1:24" ht="9.75" customHeight="1" thickBot="1" x14ac:dyDescent="0.3">
      <c r="A654" s="121" t="str">
        <f>IF(S654=0,"",COUNTIF(A$23:A653,"&gt;0")+1)</f>
        <v/>
      </c>
      <c r="B654" s="889" t="s">
        <v>760</v>
      </c>
      <c r="C654" s="890"/>
      <c r="D654" s="898"/>
      <c r="E654" s="899"/>
      <c r="F654" s="899"/>
      <c r="G654" s="899"/>
      <c r="H654" s="1114" t="s">
        <v>962</v>
      </c>
      <c r="I654" s="1115"/>
      <c r="J654" s="412"/>
      <c r="K654" s="407"/>
      <c r="L654" s="407"/>
      <c r="M654" s="405"/>
      <c r="N654" s="407"/>
      <c r="O654" s="408" t="s">
        <v>41</v>
      </c>
      <c r="P654" s="541"/>
      <c r="Q654" s="748"/>
      <c r="R654" s="541"/>
      <c r="S654" s="541"/>
      <c r="T654" s="541"/>
      <c r="U654" s="541"/>
      <c r="V654" s="541"/>
      <c r="W654" s="541"/>
      <c r="X654" s="541"/>
    </row>
    <row r="655" spans="1:24" ht="11.25" customHeight="1" x14ac:dyDescent="0.25">
      <c r="A655" s="121" t="str">
        <f>IF(S655=0,"",COUNTIF(A$23:A654,"&gt;0")+1)</f>
        <v/>
      </c>
      <c r="B655" s="377"/>
      <c r="C655" s="128" t="str">
        <f t="shared" ref="C655:C659" si="297">T655</f>
        <v>x3</v>
      </c>
      <c r="D655" s="119" t="str">
        <f>A!C599</f>
        <v xml:space="preserve">Assorted Small Waterlilies </v>
      </c>
      <c r="E655" s="113"/>
      <c r="F655" s="113"/>
      <c r="G655" s="420" t="s">
        <v>1294</v>
      </c>
      <c r="H655" s="129" t="str">
        <f>A!Q599</f>
        <v>Our best selection</v>
      </c>
      <c r="I655" s="116"/>
      <c r="J655" s="203"/>
      <c r="K655" s="131">
        <f>IF(A!G595="y",1,0)</f>
        <v>0</v>
      </c>
      <c r="L655" s="131">
        <f>IF(A!H595="y",1,0)</f>
        <v>0</v>
      </c>
      <c r="M655" s="399"/>
      <c r="N655" s="85">
        <f>A!I598</f>
        <v>0</v>
      </c>
      <c r="O655" s="378">
        <f>A!O595</f>
        <v>4</v>
      </c>
      <c r="P655" s="541"/>
      <c r="Q655" s="541" t="str">
        <f>A!E599</f>
        <v>y</v>
      </c>
      <c r="R655" s="541" t="str">
        <f t="shared" ref="R655:R660" si="298">"1L "&amp;H$660&amp;" Waterlilies"</f>
        <v>1L Small Waterlilies</v>
      </c>
      <c r="S655" s="541">
        <f t="shared" ref="S655:S660" si="299">B655</f>
        <v>0</v>
      </c>
      <c r="T655" s="541" t="str">
        <f>A!R599</f>
        <v>x3</v>
      </c>
      <c r="U655" s="541">
        <f>A!S599</f>
        <v>25</v>
      </c>
      <c r="V655" s="541">
        <f>A!T599</f>
        <v>0.06</v>
      </c>
      <c r="W655" s="541">
        <f t="shared" ref="W655:W659" si="300">V655*B655</f>
        <v>0</v>
      </c>
      <c r="X655" s="541"/>
    </row>
    <row r="656" spans="1:24" ht="11.25" customHeight="1" x14ac:dyDescent="0.25">
      <c r="A656" s="121" t="str">
        <f>IF(S656=0,"",COUNTIF(A$23:A655,"&gt;0")+1)</f>
        <v/>
      </c>
      <c r="B656" s="379"/>
      <c r="C656" s="76" t="str">
        <f t="shared" si="297"/>
        <v>x3</v>
      </c>
      <c r="D656" s="98" t="str">
        <f>A!C600</f>
        <v>Small White Waterlily</v>
      </c>
      <c r="E656" s="78"/>
      <c r="F656" s="78"/>
      <c r="G656" s="284">
        <v>5021353003086</v>
      </c>
      <c r="H656" s="89" t="str">
        <f>A!Q600</f>
        <v>this white flowering collection is very much suited to water features and small ponds</v>
      </c>
      <c r="I656" s="69"/>
      <c r="J656" s="202">
        <f>A!P600</f>
        <v>0</v>
      </c>
      <c r="K656" s="83">
        <f>IF(A!G600="y",1,0)</f>
        <v>0</v>
      </c>
      <c r="L656" s="83">
        <f>IF(A!H600="y",1,0)</f>
        <v>0</v>
      </c>
      <c r="M656" s="141" t="str">
        <f>IF(A!F599="y","NEW","")</f>
        <v/>
      </c>
      <c r="N656" s="85"/>
      <c r="O656" s="380">
        <f>A!O600</f>
        <v>4</v>
      </c>
      <c r="P656" s="541"/>
      <c r="Q656" s="541" t="str">
        <f>A!E600</f>
        <v>y</v>
      </c>
      <c r="R656" s="541" t="str">
        <f t="shared" si="298"/>
        <v>1L Small Waterlilies</v>
      </c>
      <c r="S656" s="541">
        <f t="shared" si="299"/>
        <v>0</v>
      </c>
      <c r="T656" s="541" t="str">
        <f>A!R600</f>
        <v>x3</v>
      </c>
      <c r="U656" s="541">
        <f>A!S600</f>
        <v>25</v>
      </c>
      <c r="V656" s="541">
        <f>A!T600</f>
        <v>0.06</v>
      </c>
      <c r="W656" s="541">
        <f t="shared" si="300"/>
        <v>0</v>
      </c>
      <c r="X656" s="541"/>
    </row>
    <row r="657" spans="1:24" ht="11.25" customHeight="1" x14ac:dyDescent="0.25">
      <c r="A657" s="121" t="str">
        <f>IF(S657=0,"",COUNTIF(A$23:A656,"&gt;0")+1)</f>
        <v/>
      </c>
      <c r="B657" s="379"/>
      <c r="C657" s="76" t="str">
        <f t="shared" si="297"/>
        <v>x3</v>
      </c>
      <c r="D657" s="98" t="str">
        <f>A!C601</f>
        <v>Small Red Waterlily</v>
      </c>
      <c r="E657" s="78"/>
      <c r="F657" s="78"/>
      <c r="G657" s="284">
        <v>5021353003291</v>
      </c>
      <c r="H657" s="89" t="str">
        <f>A!Q601</f>
        <v>offering many shades of red flowers above small lily pads</v>
      </c>
      <c r="I657" s="69"/>
      <c r="J657" s="202">
        <f>A!P601</f>
        <v>0</v>
      </c>
      <c r="K657" s="83">
        <f>IF(A!G601="y",1,0)</f>
        <v>0</v>
      </c>
      <c r="L657" s="83">
        <f>IF(A!H601="y",1,0)</f>
        <v>0</v>
      </c>
      <c r="M657" s="136" t="str">
        <f>IF(A!F601="y","NEW","")</f>
        <v/>
      </c>
      <c r="N657" s="85"/>
      <c r="O657" s="380">
        <f>A!O601</f>
        <v>4</v>
      </c>
      <c r="P657" s="541"/>
      <c r="Q657" s="541" t="str">
        <f>A!E601</f>
        <v>y</v>
      </c>
      <c r="R657" s="541" t="str">
        <f t="shared" si="298"/>
        <v>1L Small Waterlilies</v>
      </c>
      <c r="S657" s="541">
        <f t="shared" si="299"/>
        <v>0</v>
      </c>
      <c r="T657" s="541" t="str">
        <f>A!R601</f>
        <v>x3</v>
      </c>
      <c r="U657" s="541">
        <f>A!S601</f>
        <v>25</v>
      </c>
      <c r="V657" s="541">
        <f>A!T601</f>
        <v>0.06</v>
      </c>
      <c r="W657" s="541">
        <f t="shared" si="300"/>
        <v>0</v>
      </c>
      <c r="X657" s="541"/>
    </row>
    <row r="658" spans="1:24" ht="11.25" customHeight="1" x14ac:dyDescent="0.25">
      <c r="A658" s="121" t="str">
        <f>IF(S658=0,"",COUNTIF(A$23:A657,"&gt;0")+1)</f>
        <v/>
      </c>
      <c r="B658" s="379"/>
      <c r="C658" s="76" t="str">
        <f t="shared" si="297"/>
        <v>x3</v>
      </c>
      <c r="D658" s="98" t="str">
        <f>A!C602</f>
        <v>Small Pink Waterlily</v>
      </c>
      <c r="E658" s="78"/>
      <c r="F658" s="78"/>
      <c r="G658" s="284">
        <v>5021353014853</v>
      </c>
      <c r="H658" s="89" t="str">
        <f>A!Q602</f>
        <v>a collection of small waterlilies at home in smaller ponds, offering pink blooms</v>
      </c>
      <c r="I658" s="69"/>
      <c r="J658" s="202">
        <f>A!P602</f>
        <v>0</v>
      </c>
      <c r="K658" s="83">
        <f>IF(A!G602="y",1,0)</f>
        <v>0</v>
      </c>
      <c r="L658" s="83">
        <f>IF(A!H602="y",1,0)</f>
        <v>0</v>
      </c>
      <c r="M658" s="140" t="str">
        <f>IF(A!F602="y","NEW","")</f>
        <v/>
      </c>
      <c r="N658" s="85"/>
      <c r="O658" s="380">
        <f>A!O602</f>
        <v>4</v>
      </c>
      <c r="P658" s="541"/>
      <c r="Q658" s="541" t="str">
        <f>A!E602</f>
        <v>y</v>
      </c>
      <c r="R658" s="541" t="str">
        <f t="shared" si="298"/>
        <v>1L Small Waterlilies</v>
      </c>
      <c r="S658" s="541">
        <f t="shared" si="299"/>
        <v>0</v>
      </c>
      <c r="T658" s="541" t="str">
        <f>A!R602</f>
        <v>x3</v>
      </c>
      <c r="U658" s="541">
        <f>A!S602</f>
        <v>25</v>
      </c>
      <c r="V658" s="541">
        <f>A!T602</f>
        <v>0.06</v>
      </c>
      <c r="W658" s="541">
        <f t="shared" si="300"/>
        <v>0</v>
      </c>
      <c r="X658" s="541"/>
    </row>
    <row r="659" spans="1:24" ht="11.25" customHeight="1" thickBot="1" x14ac:dyDescent="0.3">
      <c r="A659" s="121" t="str">
        <f>IF(S659=0,"",COUNTIF(A$23:A658,"&gt;0")+1)</f>
        <v/>
      </c>
      <c r="B659" s="382"/>
      <c r="C659" s="383" t="str">
        <f t="shared" si="297"/>
        <v>x3</v>
      </c>
      <c r="D659" s="384" t="str">
        <f>A!C603</f>
        <v>Small Yellow Waterlily</v>
      </c>
      <c r="E659" s="385"/>
      <c r="F659" s="385"/>
      <c r="G659" s="400">
        <v>5021353003345</v>
      </c>
      <c r="H659" s="388" t="str">
        <f>A!Q603</f>
        <v>wonderful small yellow blooms above small pads, yellow flowering</v>
      </c>
      <c r="I659" s="401"/>
      <c r="J659" s="402">
        <f>A!P603</f>
        <v>0</v>
      </c>
      <c r="K659" s="403">
        <f>IF(A!G603="y",1,0)</f>
        <v>1</v>
      </c>
      <c r="L659" s="403">
        <f>IF(A!H603="y",1,0)</f>
        <v>0</v>
      </c>
      <c r="M659" s="410" t="str">
        <f>IF(A!F603="y","NEW","")</f>
        <v/>
      </c>
      <c r="N659" s="411"/>
      <c r="O659" s="390">
        <f>A!O603</f>
        <v>4</v>
      </c>
      <c r="P659" s="541"/>
      <c r="Q659" s="541" t="str">
        <f>A!E603</f>
        <v>y</v>
      </c>
      <c r="R659" s="541" t="str">
        <f t="shared" si="298"/>
        <v>1L Small Waterlilies</v>
      </c>
      <c r="S659" s="541">
        <f t="shared" si="299"/>
        <v>0</v>
      </c>
      <c r="T659" s="541" t="str">
        <f>A!R603</f>
        <v>x3</v>
      </c>
      <c r="U659" s="541">
        <f>A!S603</f>
        <v>25</v>
      </c>
      <c r="V659" s="541">
        <f>A!T603</f>
        <v>0.06</v>
      </c>
      <c r="W659" s="541">
        <f t="shared" si="300"/>
        <v>0</v>
      </c>
      <c r="X659" s="541"/>
    </row>
    <row r="660" spans="1:24" ht="12" customHeight="1" x14ac:dyDescent="0.25">
      <c r="A660" s="121" t="str">
        <f>IF(S660=0,"",COUNTIF(A$23:A659,"&gt;0")+1)</f>
        <v/>
      </c>
      <c r="B660" s="104">
        <f>SUM(B655:B659)</f>
        <v>0</v>
      </c>
      <c r="C660" s="104"/>
      <c r="D660" s="285" t="str">
        <f>"Total 1L "&amp;H660&amp;" Waterlilies (x3)"</f>
        <v>Total 1L Small Waterlilies (x3)</v>
      </c>
      <c r="H660" s="60" t="str">
        <f>IF(J654&lt;&gt;"","Pygmaea","Small")</f>
        <v>Small</v>
      </c>
      <c r="O660" s="105"/>
      <c r="P660" s="541"/>
      <c r="Q660" s="540"/>
      <c r="R660" s="541" t="str">
        <f t="shared" si="298"/>
        <v>1L Small Waterlilies</v>
      </c>
      <c r="S660" s="541">
        <f t="shared" si="299"/>
        <v>0</v>
      </c>
      <c r="T660" s="541" t="s">
        <v>599</v>
      </c>
      <c r="U660" s="541"/>
      <c r="V660" s="541"/>
      <c r="W660" s="541"/>
      <c r="X660" s="541"/>
    </row>
    <row r="661" spans="1:24" ht="6" customHeight="1" thickBot="1" x14ac:dyDescent="0.3">
      <c r="A661" s="121" t="str">
        <f>IF(S661=0,"",COUNTIF(A$23:A660,"&gt;0")+1)</f>
        <v/>
      </c>
      <c r="P661" s="541"/>
      <c r="Q661" s="541"/>
      <c r="R661" s="541"/>
      <c r="S661" s="541"/>
      <c r="T661" s="541"/>
      <c r="U661" s="541"/>
      <c r="V661" s="541"/>
      <c r="W661" s="541"/>
      <c r="X661" s="541"/>
    </row>
    <row r="662" spans="1:24" ht="6.75" customHeight="1" x14ac:dyDescent="0.25">
      <c r="A662" s="121" t="str">
        <f>IF(S662=0,"",COUNTIF(A$23:A661,"&gt;0")+1)</f>
        <v/>
      </c>
      <c r="B662" s="894" t="s">
        <v>115</v>
      </c>
      <c r="C662" s="895"/>
      <c r="D662" s="896" t="s">
        <v>1074</v>
      </c>
      <c r="E662" s="897"/>
      <c r="F662" s="897"/>
      <c r="G662" s="897"/>
      <c r="H662" s="1011" t="s">
        <v>1180</v>
      </c>
      <c r="I662" s="906"/>
      <c r="J662" s="906"/>
      <c r="K662" s="906"/>
      <c r="L662" s="906"/>
      <c r="M662" s="906"/>
      <c r="N662" s="906"/>
      <c r="O662" s="907"/>
      <c r="P662" s="541"/>
      <c r="Q662" s="541"/>
      <c r="R662" s="541"/>
      <c r="S662" s="541"/>
      <c r="T662" s="541"/>
      <c r="U662" s="541"/>
      <c r="V662" s="541"/>
      <c r="W662" s="541"/>
      <c r="X662" s="541"/>
    </row>
    <row r="663" spans="1:24" ht="10.5" customHeight="1" thickBot="1" x14ac:dyDescent="0.3">
      <c r="A663" s="121" t="str">
        <f>IF(S663=0,"",COUNTIF(A$23:A662,"&gt;0")+1)</f>
        <v/>
      </c>
      <c r="B663" s="889" t="s">
        <v>760</v>
      </c>
      <c r="C663" s="890"/>
      <c r="D663" s="898"/>
      <c r="E663" s="899"/>
      <c r="F663" s="899"/>
      <c r="G663" s="899"/>
      <c r="H663" s="1012"/>
      <c r="I663" s="405"/>
      <c r="J663" s="406"/>
      <c r="K663" s="407"/>
      <c r="L663" s="407"/>
      <c r="M663" s="405"/>
      <c r="N663" s="407"/>
      <c r="O663" s="408" t="s">
        <v>41</v>
      </c>
      <c r="P663" s="541"/>
      <c r="Q663" s="748"/>
      <c r="R663" s="541"/>
      <c r="S663" s="541"/>
      <c r="T663" s="541"/>
      <c r="U663" s="541"/>
      <c r="V663" s="541"/>
      <c r="W663" s="541"/>
      <c r="X663" s="541"/>
    </row>
    <row r="664" spans="1:24" ht="11.25" customHeight="1" x14ac:dyDescent="0.25">
      <c r="A664" s="121" t="str">
        <f>IF(S664=0,"",COUNTIF(A$23:A663,"&gt;0")+1)</f>
        <v/>
      </c>
      <c r="B664" s="377"/>
      <c r="C664" s="128" t="str">
        <f t="shared" ref="C664:C670" si="301">T664</f>
        <v>x3</v>
      </c>
      <c r="D664" s="119" t="str">
        <f>A!C606</f>
        <v xml:space="preserve">Assorted Waterlilies </v>
      </c>
      <c r="E664" s="113"/>
      <c r="F664" s="113"/>
      <c r="G664" s="420" t="s">
        <v>1294</v>
      </c>
      <c r="H664" s="129" t="s">
        <v>1024</v>
      </c>
      <c r="I664" s="397"/>
      <c r="J664" s="398"/>
      <c r="K664" s="131">
        <f>IF(A!G606="y",1,0)</f>
        <v>1</v>
      </c>
      <c r="L664" s="131">
        <f>IF(A!H606="y",1,0)</f>
        <v>1</v>
      </c>
      <c r="M664" s="399"/>
      <c r="N664" s="85" t="str">
        <f>A!I609</f>
        <v>y</v>
      </c>
      <c r="O664" s="378">
        <f>A!O606</f>
        <v>4</v>
      </c>
      <c r="P664" s="541"/>
      <c r="Q664" s="541" t="str">
        <f>A!E606</f>
        <v>y</v>
      </c>
      <c r="R664" s="541" t="s">
        <v>727</v>
      </c>
      <c r="S664" s="541">
        <f t="shared" ref="S664:S671" si="302">B664</f>
        <v>0</v>
      </c>
      <c r="T664" s="541" t="str">
        <f>A!R606</f>
        <v>x3</v>
      </c>
      <c r="U664" s="541">
        <f>A!S606</f>
        <v>35</v>
      </c>
      <c r="V664" s="541">
        <f>A!T606</f>
        <v>0.125</v>
      </c>
      <c r="W664" s="541">
        <f t="shared" ref="W664:W669" si="303">V664*B664</f>
        <v>0</v>
      </c>
      <c r="X664" s="541"/>
    </row>
    <row r="665" spans="1:24" ht="11.25" customHeight="1" x14ac:dyDescent="0.25">
      <c r="A665" s="121" t="str">
        <f>IF(S665=0,"",COUNTIF(A$23:A664,"&gt;0")+1)</f>
        <v/>
      </c>
      <c r="B665" s="379"/>
      <c r="C665" s="76" t="str">
        <f t="shared" si="301"/>
        <v>x3</v>
      </c>
      <c r="D665" s="98" t="str">
        <f>A!C607</f>
        <v>White Waterlily</v>
      </c>
      <c r="E665" s="78"/>
      <c r="F665" s="78"/>
      <c r="G665" s="284">
        <v>5021353014761</v>
      </c>
      <c r="H665" s="89" t="str">
        <f>A!Q607</f>
        <v>our best selection of small and medium sized lilies</v>
      </c>
      <c r="I665" s="69"/>
      <c r="J665" s="202">
        <f>A!P607</f>
        <v>0</v>
      </c>
      <c r="K665" s="83">
        <f>IF(A!G607="y",1,0)</f>
        <v>1</v>
      </c>
      <c r="L665" s="83">
        <f>IF(A!H607="y",1,0)</f>
        <v>1</v>
      </c>
      <c r="M665" s="141" t="str">
        <f>IF(A!F607="y","NEW","")</f>
        <v/>
      </c>
      <c r="N665" s="85" t="str">
        <f>A!I607</f>
        <v>y</v>
      </c>
      <c r="O665" s="380">
        <f>A!O607</f>
        <v>4</v>
      </c>
      <c r="P665" s="541"/>
      <c r="Q665" s="541" t="str">
        <f>A!E607</f>
        <v>y</v>
      </c>
      <c r="R665" s="541" t="s">
        <v>727</v>
      </c>
      <c r="S665" s="541">
        <f t="shared" si="302"/>
        <v>0</v>
      </c>
      <c r="T665" s="541" t="str">
        <f>A!R607</f>
        <v>x3</v>
      </c>
      <c r="U665" s="541">
        <f>A!S607</f>
        <v>35</v>
      </c>
      <c r="V665" s="541">
        <f>A!T607</f>
        <v>0.125</v>
      </c>
      <c r="W665" s="541">
        <f t="shared" si="303"/>
        <v>0</v>
      </c>
      <c r="X665" s="541"/>
    </row>
    <row r="666" spans="1:24" ht="11.25" customHeight="1" x14ac:dyDescent="0.25">
      <c r="A666" s="121" t="str">
        <f>IF(S666=0,"",COUNTIF(A$23:A665,"&gt;0")+1)</f>
        <v/>
      </c>
      <c r="B666" s="379"/>
      <c r="C666" s="76" t="str">
        <f t="shared" si="301"/>
        <v>x3</v>
      </c>
      <c r="D666" s="98" t="str">
        <f>A!C608</f>
        <v>Pink Waterlily</v>
      </c>
      <c r="E666" s="78"/>
      <c r="F666" s="78"/>
      <c r="G666" s="284">
        <v>5021353014785</v>
      </c>
      <c r="H666" s="89" t="str">
        <f>A!Q608</f>
        <v>our best selection of small and medium sized lilies</v>
      </c>
      <c r="I666" s="69"/>
      <c r="J666" s="202">
        <f>A!P608</f>
        <v>0</v>
      </c>
      <c r="K666" s="83">
        <f>IF(A!G608="y",1,0)</f>
        <v>1</v>
      </c>
      <c r="L666" s="83">
        <f>IF(A!H608="y",1,0)</f>
        <v>1</v>
      </c>
      <c r="M666" s="140" t="str">
        <f>IF(A!F608="y","NEW","")</f>
        <v/>
      </c>
      <c r="N666" s="85" t="str">
        <f>A!I608</f>
        <v>Y</v>
      </c>
      <c r="O666" s="380">
        <f>A!O608</f>
        <v>4</v>
      </c>
      <c r="P666" s="541"/>
      <c r="Q666" s="541" t="str">
        <f>A!E608</f>
        <v>y</v>
      </c>
      <c r="R666" s="541" t="s">
        <v>727</v>
      </c>
      <c r="S666" s="541">
        <f t="shared" si="302"/>
        <v>0</v>
      </c>
      <c r="T666" s="541" t="str">
        <f>A!R608</f>
        <v>x3</v>
      </c>
      <c r="U666" s="541">
        <f>A!S608</f>
        <v>35</v>
      </c>
      <c r="V666" s="541">
        <f>A!T608</f>
        <v>0.125</v>
      </c>
      <c r="W666" s="541">
        <f t="shared" si="303"/>
        <v>0</v>
      </c>
      <c r="X666" s="541"/>
    </row>
    <row r="667" spans="1:24" ht="11.25" customHeight="1" x14ac:dyDescent="0.25">
      <c r="A667" s="121" t="str">
        <f>IF(S667=0,"",COUNTIF(A$23:A666,"&gt;0")+1)</f>
        <v/>
      </c>
      <c r="B667" s="379"/>
      <c r="C667" s="76" t="str">
        <f t="shared" si="301"/>
        <v>x3</v>
      </c>
      <c r="D667" s="98" t="str">
        <f>A!C609</f>
        <v>Red Waterlily</v>
      </c>
      <c r="E667" s="78"/>
      <c r="F667" s="78"/>
      <c r="G667" s="284">
        <v>5021353014778</v>
      </c>
      <c r="H667" s="89" t="str">
        <f>A!Q609</f>
        <v>our best selection of small and medium sized lilies</v>
      </c>
      <c r="I667" s="69"/>
      <c r="J667" s="202">
        <f>A!P609</f>
        <v>0</v>
      </c>
      <c r="K667" s="83">
        <f>IF(A!G609="y",1,0)</f>
        <v>1</v>
      </c>
      <c r="L667" s="83">
        <f>IF(A!H609="y",1,0)</f>
        <v>1</v>
      </c>
      <c r="M667" s="136" t="str">
        <f>IF(A!F609="y","NEW","")</f>
        <v/>
      </c>
      <c r="N667" s="85" t="str">
        <f>A!I609</f>
        <v>y</v>
      </c>
      <c r="O667" s="380">
        <f>A!O609</f>
        <v>4</v>
      </c>
      <c r="P667" s="541"/>
      <c r="Q667" s="541" t="str">
        <f>A!E609</f>
        <v>y</v>
      </c>
      <c r="R667" s="541" t="s">
        <v>727</v>
      </c>
      <c r="S667" s="541">
        <f t="shared" si="302"/>
        <v>0</v>
      </c>
      <c r="T667" s="541" t="str">
        <f>A!R609</f>
        <v>x3</v>
      </c>
      <c r="U667" s="541">
        <f>A!S609</f>
        <v>35</v>
      </c>
      <c r="V667" s="541">
        <f>A!T609</f>
        <v>0.125</v>
      </c>
      <c r="W667" s="541">
        <f t="shared" si="303"/>
        <v>0</v>
      </c>
      <c r="X667" s="541"/>
    </row>
    <row r="668" spans="1:24" ht="11.25" customHeight="1" thickBot="1" x14ac:dyDescent="0.3">
      <c r="A668" s="121" t="str">
        <f>IF(S668=0,"",COUNTIF(A$23:A667,"&gt;0")+1)</f>
        <v/>
      </c>
      <c r="B668" s="382"/>
      <c r="C668" s="383" t="str">
        <f t="shared" si="301"/>
        <v>x3</v>
      </c>
      <c r="D668" s="384" t="str">
        <f>A!C610</f>
        <v>Yellow Waterlily</v>
      </c>
      <c r="E668" s="385"/>
      <c r="F668" s="385"/>
      <c r="G668" s="400">
        <v>5021353014792</v>
      </c>
      <c r="H668" s="388" t="str">
        <f>A!Q610</f>
        <v>our best selection of small and medium sized lilies</v>
      </c>
      <c r="I668" s="401"/>
      <c r="J668" s="402">
        <f>A!P610</f>
        <v>0</v>
      </c>
      <c r="K668" s="403">
        <f>IF(A!G610="y",1,0)</f>
        <v>1</v>
      </c>
      <c r="L668" s="403">
        <f>IF(A!H610="y",1,0)</f>
        <v>0</v>
      </c>
      <c r="M668" s="410" t="str">
        <f>IF(A!F610="y","NEW","")</f>
        <v/>
      </c>
      <c r="N668" s="411"/>
      <c r="O668" s="390">
        <f>A!O610</f>
        <v>4</v>
      </c>
      <c r="P668" s="541"/>
      <c r="Q668" s="541" t="str">
        <f>A!E610</f>
        <v>y</v>
      </c>
      <c r="R668" s="541" t="s">
        <v>727</v>
      </c>
      <c r="S668" s="541">
        <f t="shared" si="302"/>
        <v>0</v>
      </c>
      <c r="T668" s="541" t="str">
        <f>A!R610</f>
        <v>x3</v>
      </c>
      <c r="U668" s="541">
        <f>A!S610</f>
        <v>35</v>
      </c>
      <c r="V668" s="541">
        <f>A!T610</f>
        <v>0.125</v>
      </c>
      <c r="W668" s="541">
        <f t="shared" si="303"/>
        <v>0</v>
      </c>
      <c r="X668" s="541"/>
    </row>
    <row r="669" spans="1:24" ht="11.25" hidden="1" customHeight="1" thickBot="1" x14ac:dyDescent="0.3">
      <c r="A669" s="121" t="str">
        <f>IF(S669=0,"",COUNTIF(A$23:A668,"&gt;0")+1)</f>
        <v/>
      </c>
      <c r="B669" s="649"/>
      <c r="C669" s="638" t="str">
        <f t="shared" si="301"/>
        <v>x3</v>
      </c>
      <c r="D669" s="639" t="str">
        <f>A!C611</f>
        <v>Copper Waterlily</v>
      </c>
      <c r="E669" s="640"/>
      <c r="F669" s="640"/>
      <c r="G669" s="641">
        <v>5021353014938</v>
      </c>
      <c r="H669" s="642" t="str">
        <f>A!Q611</f>
        <v>our best selection of small and medium sized lilies</v>
      </c>
      <c r="I669" s="643"/>
      <c r="J669" s="644">
        <f>A!P611</f>
        <v>0</v>
      </c>
      <c r="K669" s="645">
        <f>IF(A!G611="y",1,0)</f>
        <v>0</v>
      </c>
      <c r="L669" s="645">
        <f>IF(A!H611="y",1,0)</f>
        <v>0</v>
      </c>
      <c r="M669" s="646" t="str">
        <f>IF(A!F611="y","NEW","")</f>
        <v/>
      </c>
      <c r="N669" s="647">
        <f>A!I611</f>
        <v>0</v>
      </c>
      <c r="O669" s="648">
        <f>A!O611</f>
        <v>4</v>
      </c>
      <c r="P669" s="541"/>
      <c r="Q669" s="541">
        <f>A!E611</f>
        <v>0</v>
      </c>
      <c r="R669" s="541" t="s">
        <v>727</v>
      </c>
      <c r="S669" s="541">
        <f t="shared" si="302"/>
        <v>0</v>
      </c>
      <c r="T669" s="541" t="str">
        <f>A!R611</f>
        <v>x3</v>
      </c>
      <c r="U669" s="541">
        <f>A!S611</f>
        <v>35</v>
      </c>
      <c r="V669" s="541">
        <f>A!T611</f>
        <v>0.125</v>
      </c>
      <c r="W669" s="541">
        <f t="shared" si="303"/>
        <v>0</v>
      </c>
      <c r="X669" s="541"/>
    </row>
    <row r="670" spans="1:24" ht="12" hidden="1" customHeight="1" x14ac:dyDescent="0.25">
      <c r="A670" s="121" t="str">
        <f>IF(S670=0,"",COUNTIF(A$23:A669,"&gt;0")+1)</f>
        <v/>
      </c>
      <c r="B670" s="342"/>
      <c r="C670" s="189" t="str">
        <f t="shared" si="301"/>
        <v>x3</v>
      </c>
      <c r="D670" s="119" t="str">
        <f>A!C612</f>
        <v>Blue Waterlily</v>
      </c>
      <c r="E670" s="113"/>
      <c r="F670" s="113"/>
      <c r="G670" s="278"/>
      <c r="H670" s="129" t="str">
        <f>A!Q612</f>
        <v>our best selection of small and medium sized lilies</v>
      </c>
      <c r="I670" s="130"/>
      <c r="J670" s="203">
        <f>A!P612</f>
        <v>0</v>
      </c>
      <c r="K670" s="131">
        <f>IF(A!G612="y",1,0)</f>
        <v>0</v>
      </c>
      <c r="L670" s="131">
        <f>IF(A!H612="y",1,0)</f>
        <v>0</v>
      </c>
      <c r="M670" s="413" t="str">
        <f>IF(A!F612="y","NEW","")</f>
        <v/>
      </c>
      <c r="N670" s="133">
        <f>A!I612</f>
        <v>0</v>
      </c>
      <c r="O670" s="134">
        <f>A!O612</f>
        <v>4</v>
      </c>
      <c r="P670" s="541"/>
      <c r="Q670" s="541">
        <f>A!E612</f>
        <v>0</v>
      </c>
      <c r="R670" s="541" t="s">
        <v>727</v>
      </c>
      <c r="S670" s="541">
        <f t="shared" si="302"/>
        <v>0</v>
      </c>
      <c r="T670" s="541" t="str">
        <f>A!R612</f>
        <v>x3</v>
      </c>
      <c r="U670" s="541">
        <f>A!S612</f>
        <v>35</v>
      </c>
      <c r="V670" s="541">
        <f>A!T612</f>
        <v>0.125</v>
      </c>
      <c r="W670" s="541"/>
      <c r="X670" s="541"/>
    </row>
    <row r="671" spans="1:24" ht="12.75" customHeight="1" x14ac:dyDescent="0.25">
      <c r="A671" s="121" t="str">
        <f>IF(S671=0,"",COUNTIF(A$23:A670,"&gt;0")+1)</f>
        <v/>
      </c>
      <c r="B671" s="92">
        <f>SUM(B664:B670)</f>
        <v>0</v>
      </c>
      <c r="C671" s="92"/>
      <c r="D671" s="93" t="s">
        <v>866</v>
      </c>
      <c r="E671" s="56"/>
      <c r="F671" s="56"/>
      <c r="G671" s="56"/>
      <c r="H671" s="56"/>
      <c r="I671" s="56"/>
      <c r="J671" s="200"/>
      <c r="K671" s="56"/>
      <c r="L671" s="56"/>
      <c r="M671" s="58"/>
      <c r="N671" s="56"/>
      <c r="O671" s="94"/>
      <c r="P671" s="541"/>
      <c r="Q671" s="540"/>
      <c r="R671" s="541" t="s">
        <v>727</v>
      </c>
      <c r="S671" s="541">
        <f t="shared" si="302"/>
        <v>0</v>
      </c>
      <c r="T671" s="541" t="s">
        <v>599</v>
      </c>
      <c r="U671" s="541"/>
      <c r="V671" s="541"/>
      <c r="W671" s="541"/>
      <c r="X671" s="541"/>
    </row>
    <row r="672" spans="1:24" ht="5.25" customHeight="1" thickBot="1" x14ac:dyDescent="0.3">
      <c r="A672" s="121" t="str">
        <f>IF(S672=0,"",COUNTIF(A$23:A671,"&gt;0")+1)</f>
        <v/>
      </c>
      <c r="P672" s="541"/>
      <c r="Q672" s="541"/>
      <c r="R672" s="541"/>
      <c r="S672" s="541"/>
      <c r="T672" s="541"/>
      <c r="U672" s="541"/>
      <c r="V672" s="541"/>
      <c r="W672" s="541"/>
      <c r="X672" s="541"/>
    </row>
    <row r="673" spans="1:24" ht="9" customHeight="1" x14ac:dyDescent="0.25">
      <c r="A673" s="121" t="str">
        <f>IF(S673=0,"",COUNTIF(A$23:A672,"&gt;0")+1)</f>
        <v/>
      </c>
      <c r="B673" s="894" t="s">
        <v>115</v>
      </c>
      <c r="C673" s="895"/>
      <c r="D673" s="896" t="s">
        <v>1177</v>
      </c>
      <c r="E673" s="897"/>
      <c r="F673" s="897"/>
      <c r="G673" s="897"/>
      <c r="H673" s="1011" t="s">
        <v>1180</v>
      </c>
      <c r="I673" s="906" t="s">
        <v>1263</v>
      </c>
      <c r="J673" s="906"/>
      <c r="K673" s="906"/>
      <c r="L673" s="906"/>
      <c r="M673" s="906"/>
      <c r="N673" s="906"/>
      <c r="O673" s="907"/>
      <c r="P673" s="541"/>
      <c r="Q673" s="541"/>
      <c r="R673" s="541"/>
      <c r="S673" s="541"/>
      <c r="T673" s="541"/>
      <c r="U673" s="541"/>
      <c r="V673" s="541"/>
      <c r="W673" s="541"/>
      <c r="X673" s="541"/>
    </row>
    <row r="674" spans="1:24" ht="9" customHeight="1" thickBot="1" x14ac:dyDescent="0.3">
      <c r="A674" s="121" t="str">
        <f>IF(S674=0,"",COUNTIF(A$23:A673,"&gt;0")+1)</f>
        <v/>
      </c>
      <c r="B674" s="889" t="s">
        <v>760</v>
      </c>
      <c r="C674" s="890"/>
      <c r="D674" s="898"/>
      <c r="E674" s="899"/>
      <c r="F674" s="899"/>
      <c r="G674" s="899"/>
      <c r="H674" s="1012"/>
      <c r="I674" s="405"/>
      <c r="J674" s="406"/>
      <c r="K674" s="407"/>
      <c r="L674" s="407"/>
      <c r="M674" s="405"/>
      <c r="N674" s="407"/>
      <c r="O674" s="408" t="s">
        <v>41</v>
      </c>
      <c r="P674" s="541"/>
      <c r="Q674" s="541"/>
      <c r="R674" s="541"/>
      <c r="S674" s="541"/>
      <c r="T674" s="541"/>
      <c r="U674" s="541"/>
      <c r="V674" s="541"/>
      <c r="W674" s="541"/>
      <c r="X674" s="541"/>
    </row>
    <row r="675" spans="1:24" ht="11.25" customHeight="1" x14ac:dyDescent="0.25">
      <c r="A675" s="121" t="str">
        <f>IF(S675=0,"",COUNTIF(A$23:A674,"&gt;0")+1)</f>
        <v/>
      </c>
      <c r="B675" s="515"/>
      <c r="C675" s="516" t="str">
        <f t="shared" ref="C675" si="304">T675</f>
        <v>x3</v>
      </c>
      <c r="D675" s="517" t="str">
        <f>A!C620</f>
        <v>Assorted Named Waterlilies</v>
      </c>
      <c r="E675" s="518"/>
      <c r="F675" s="518"/>
      <c r="G675" s="519"/>
      <c r="H675" s="520" t="str">
        <f>A!Q620</f>
        <v>our best selection of small and medium sized lilies</v>
      </c>
      <c r="I675" s="580"/>
      <c r="J675" s="203"/>
      <c r="K675" s="131">
        <f>IF(A!G617="y",1,0)</f>
        <v>0</v>
      </c>
      <c r="L675" s="131">
        <f>IF(A!H617="y",1,0)</f>
        <v>0</v>
      </c>
      <c r="M675" s="399"/>
      <c r="N675" s="85">
        <f>A!I620</f>
        <v>0</v>
      </c>
      <c r="O675" s="524">
        <f>A!O620</f>
        <v>4</v>
      </c>
      <c r="P675" s="541"/>
      <c r="Q675" s="541" t="str">
        <f>A!E620</f>
        <v>y</v>
      </c>
      <c r="R675" s="541" t="s">
        <v>982</v>
      </c>
      <c r="S675" s="541">
        <f t="shared" ref="S675" si="305">B675</f>
        <v>0</v>
      </c>
      <c r="T675" s="541" t="str">
        <f>A!R620</f>
        <v>x3</v>
      </c>
      <c r="U675" s="541">
        <f>A!S620</f>
        <v>35</v>
      </c>
      <c r="V675" s="541">
        <f>A!T620</f>
        <v>0.125</v>
      </c>
      <c r="W675" s="541">
        <f t="shared" ref="W675:W720" si="306">V675*B675</f>
        <v>0</v>
      </c>
      <c r="X675" s="541"/>
    </row>
    <row r="676" spans="1:24" ht="11.25" hidden="1" customHeight="1" x14ac:dyDescent="0.25">
      <c r="A676" s="121" t="str">
        <f>IF(S676=0,"",COUNTIF(A$23:A675,"&gt;0")+1)</f>
        <v/>
      </c>
      <c r="B676" s="379"/>
      <c r="C676" s="76" t="str">
        <f t="shared" ref="C676:C713" si="307">T676</f>
        <v>x3</v>
      </c>
      <c r="D676" s="98" t="str">
        <f>A!C621</f>
        <v>N. Alba</v>
      </c>
      <c r="E676" s="78"/>
      <c r="F676" s="78"/>
      <c r="G676" s="125"/>
      <c r="H676" s="89" t="str">
        <f>A!Q621</f>
        <v>our only native waterlily, white petals and golden yellow stamens</v>
      </c>
      <c r="I676" s="81"/>
      <c r="J676" s="202"/>
      <c r="K676" s="83">
        <f>IF(A!G621="y",1,0)</f>
        <v>0</v>
      </c>
      <c r="L676" s="83">
        <f>IF(A!H621="y",1,0)</f>
        <v>0</v>
      </c>
      <c r="M676" s="141" t="str">
        <f>IF(A!F621="y","NEW","")</f>
        <v/>
      </c>
      <c r="N676" s="85">
        <f>A!I621</f>
        <v>0</v>
      </c>
      <c r="O676" s="380">
        <f>A!O621</f>
        <v>4</v>
      </c>
      <c r="P676" s="541"/>
      <c r="Q676" s="541">
        <f>A!E621</f>
        <v>0</v>
      </c>
      <c r="R676" s="541" t="s">
        <v>982</v>
      </c>
      <c r="S676" s="541">
        <f t="shared" ref="S676:S713" si="308">B676</f>
        <v>0</v>
      </c>
      <c r="T676" s="541" t="str">
        <f>A!R621</f>
        <v>x3</v>
      </c>
      <c r="U676" s="541">
        <f>A!S621</f>
        <v>35</v>
      </c>
      <c r="V676" s="541">
        <f>A!T621</f>
        <v>0.125</v>
      </c>
      <c r="W676" s="541">
        <f t="shared" si="306"/>
        <v>0</v>
      </c>
      <c r="X676" s="541"/>
    </row>
    <row r="677" spans="1:24" ht="11.25" hidden="1" customHeight="1" x14ac:dyDescent="0.25">
      <c r="A677" s="121" t="str">
        <f>IF(S677=0,"",COUNTIF(A$23:A676,"&gt;0")+1)</f>
        <v/>
      </c>
      <c r="B677" s="379"/>
      <c r="C677" s="76" t="str">
        <f t="shared" si="307"/>
        <v>x3</v>
      </c>
      <c r="D677" s="98" t="str">
        <f>A!C622</f>
        <v>N. Albatross</v>
      </c>
      <c r="E677" s="78"/>
      <c r="F677" s="78"/>
      <c r="G677" s="125"/>
      <c r="H677" s="89" t="str">
        <f>A!Q622</f>
        <v>wonderful large, star shaped flowers with long pure white petals/golden anthers</v>
      </c>
      <c r="I677" s="81"/>
      <c r="J677" s="202"/>
      <c r="K677" s="83">
        <f>IF(A!G622="y",1,0)</f>
        <v>0</v>
      </c>
      <c r="L677" s="83">
        <f>IF(A!H622="y",1,0)</f>
        <v>0</v>
      </c>
      <c r="M677" s="141" t="str">
        <f>IF(A!F619="y","NEW","")</f>
        <v/>
      </c>
      <c r="N677" s="85">
        <f>A!I622</f>
        <v>0</v>
      </c>
      <c r="O677" s="380">
        <f>A!O622</f>
        <v>4</v>
      </c>
      <c r="P677" s="541"/>
      <c r="Q677" s="541">
        <f>A!E622</f>
        <v>0</v>
      </c>
      <c r="R677" s="541" t="s">
        <v>982</v>
      </c>
      <c r="S677" s="541">
        <f t="shared" si="308"/>
        <v>0</v>
      </c>
      <c r="T677" s="541" t="str">
        <f>A!R622</f>
        <v>x3</v>
      </c>
      <c r="U677" s="541">
        <f>A!S622</f>
        <v>35</v>
      </c>
      <c r="V677" s="541">
        <f>A!T622</f>
        <v>0.125</v>
      </c>
      <c r="W677" s="541">
        <f t="shared" si="306"/>
        <v>0</v>
      </c>
      <c r="X677" s="541"/>
    </row>
    <row r="678" spans="1:24" ht="11.25" customHeight="1" x14ac:dyDescent="0.25">
      <c r="A678" s="121" t="str">
        <f>IF(S678=0,"",COUNTIF(A$23:A677,"&gt;0")+1)</f>
        <v/>
      </c>
      <c r="B678" s="379"/>
      <c r="C678" s="76" t="str">
        <f t="shared" si="307"/>
        <v>x3</v>
      </c>
      <c r="D678" s="98" t="str">
        <f>A!C623</f>
        <v>N. Attraction</v>
      </c>
      <c r="E678" s="78"/>
      <c r="F678" s="78"/>
      <c r="G678" s="125"/>
      <c r="H678" s="89" t="str">
        <f>A!Q623</f>
        <v>attractive red flowers have broad petals and orange stamens</v>
      </c>
      <c r="I678" s="81"/>
      <c r="J678" s="202"/>
      <c r="K678" s="83">
        <f>IF(A!G623="y",1,0)</f>
        <v>1</v>
      </c>
      <c r="L678" s="83">
        <f>IF(A!H623="y",1,0)</f>
        <v>0</v>
      </c>
      <c r="M678" s="136" t="str">
        <f>IF(A!F623="y","NEW","")</f>
        <v/>
      </c>
      <c r="N678" s="85" t="str">
        <f>A!I623</f>
        <v>y</v>
      </c>
      <c r="O678" s="380">
        <f>A!O623</f>
        <v>4</v>
      </c>
      <c r="P678" s="541"/>
      <c r="Q678" s="541" t="str">
        <f>A!E623</f>
        <v>y</v>
      </c>
      <c r="R678" s="541" t="s">
        <v>982</v>
      </c>
      <c r="S678" s="541">
        <f t="shared" si="308"/>
        <v>0</v>
      </c>
      <c r="T678" s="541" t="str">
        <f>A!R623</f>
        <v>x3</v>
      </c>
      <c r="U678" s="541">
        <f>A!S623</f>
        <v>35</v>
      </c>
      <c r="V678" s="541">
        <f>A!T623</f>
        <v>0.125</v>
      </c>
      <c r="W678" s="541">
        <f t="shared" si="306"/>
        <v>0</v>
      </c>
      <c r="X678" s="541"/>
    </row>
    <row r="679" spans="1:24" ht="11.25" hidden="1" customHeight="1" x14ac:dyDescent="0.25">
      <c r="A679" s="121" t="str">
        <f>IF(S679=0,"",COUNTIF(A$23:A678,"&gt;0")+1)</f>
        <v/>
      </c>
      <c r="B679" s="379"/>
      <c r="C679" s="76" t="str">
        <f t="shared" si="307"/>
        <v>x3</v>
      </c>
      <c r="D679" s="98" t="str">
        <f>A!C624</f>
        <v>N. Barbara Dobbins</v>
      </c>
      <c r="E679" s="78"/>
      <c r="F679" s="78"/>
      <c r="G679" s="125"/>
      <c r="H679" s="89">
        <f>A!Q624</f>
        <v>0</v>
      </c>
      <c r="I679" s="81"/>
      <c r="J679" s="202"/>
      <c r="K679" s="83">
        <f>IF(A!G624="y",1,0)</f>
        <v>0</v>
      </c>
      <c r="L679" s="83">
        <f>IF(A!H624="y",1,0)</f>
        <v>0</v>
      </c>
      <c r="M679" s="84" t="str">
        <f>IF(A!F624="y","NEW","")</f>
        <v/>
      </c>
      <c r="N679" s="85">
        <f>A!I624</f>
        <v>0</v>
      </c>
      <c r="O679" s="380">
        <f>A!O624</f>
        <v>4</v>
      </c>
      <c r="P679" s="541"/>
      <c r="Q679" s="541">
        <f>A!E624</f>
        <v>0</v>
      </c>
      <c r="R679" s="541" t="s">
        <v>982</v>
      </c>
      <c r="S679" s="541">
        <f t="shared" si="308"/>
        <v>0</v>
      </c>
      <c r="T679" s="541" t="str">
        <f>A!R624</f>
        <v>x3</v>
      </c>
      <c r="U679" s="541">
        <f>A!S624</f>
        <v>35</v>
      </c>
      <c r="V679" s="541">
        <f>A!T624</f>
        <v>0.125</v>
      </c>
      <c r="W679" s="541">
        <f t="shared" si="306"/>
        <v>0</v>
      </c>
      <c r="X679" s="541"/>
    </row>
    <row r="680" spans="1:24" ht="11.25" customHeight="1" x14ac:dyDescent="0.25">
      <c r="A680" s="121" t="str">
        <f>IF(S680=0,"",COUNTIF(A$23:A679,"&gt;0")+1)</f>
        <v/>
      </c>
      <c r="B680" s="379"/>
      <c r="C680" s="76" t="str">
        <f t="shared" si="307"/>
        <v>x3</v>
      </c>
      <c r="D680" s="98" t="str">
        <f>A!C625</f>
        <v>N. Charles de Meurville</v>
      </c>
      <c r="E680" s="78"/>
      <c r="F680" s="78"/>
      <c r="G680" s="125"/>
      <c r="H680" s="89" t="str">
        <f>A!Q625</f>
        <v>free flowering, large red blooms with outer petals flecked with white</v>
      </c>
      <c r="I680" s="81"/>
      <c r="J680" s="202"/>
      <c r="K680" s="83">
        <f>IF(A!G625="y",1,0)</f>
        <v>1</v>
      </c>
      <c r="L680" s="83">
        <f>IF(A!H625="y",1,0)</f>
        <v>0</v>
      </c>
      <c r="M680" s="136" t="str">
        <f>IF(A!F625="y","NEW","")</f>
        <v/>
      </c>
      <c r="N680" s="85" t="str">
        <f>A!I625</f>
        <v>y</v>
      </c>
      <c r="O680" s="380">
        <f>A!O625</f>
        <v>4</v>
      </c>
      <c r="P680" s="541"/>
      <c r="Q680" s="541" t="str">
        <f>A!E625</f>
        <v>y</v>
      </c>
      <c r="R680" s="541" t="s">
        <v>982</v>
      </c>
      <c r="S680" s="541">
        <f t="shared" si="308"/>
        <v>0</v>
      </c>
      <c r="T680" s="541" t="str">
        <f>A!R625</f>
        <v>x3</v>
      </c>
      <c r="U680" s="541">
        <f>A!S625</f>
        <v>35</v>
      </c>
      <c r="V680" s="541">
        <f>A!T625</f>
        <v>0.125</v>
      </c>
      <c r="W680" s="541">
        <f t="shared" si="306"/>
        <v>0</v>
      </c>
      <c r="X680" s="541"/>
    </row>
    <row r="681" spans="1:24" ht="11.25" hidden="1" customHeight="1" x14ac:dyDescent="0.25">
      <c r="A681" s="121" t="str">
        <f>IF(S681=0,"",COUNTIF(A$23:A680,"&gt;0")+1)</f>
        <v/>
      </c>
      <c r="B681" s="379"/>
      <c r="C681" s="76" t="str">
        <f t="shared" si="307"/>
        <v>x3</v>
      </c>
      <c r="D681" s="98" t="str">
        <f>A!C626</f>
        <v>N. Charlene Strawn</v>
      </c>
      <c r="E681" s="78"/>
      <c r="F681" s="78"/>
      <c r="G681" s="125"/>
      <c r="H681" s="89" t="str">
        <f>A!Q626</f>
        <v>Rich yellow blooms fading to lighter yellow outer petals.</v>
      </c>
      <c r="I681" s="81"/>
      <c r="J681" s="202"/>
      <c r="K681" s="83">
        <f>IF(A!G626="y",1,0)</f>
        <v>0</v>
      </c>
      <c r="L681" s="83">
        <f>IF(A!H626="y",1,0)</f>
        <v>0</v>
      </c>
      <c r="M681" s="136" t="str">
        <f>IF(A!F626="y","NEW","")</f>
        <v/>
      </c>
      <c r="N681" s="85">
        <f>A!I626</f>
        <v>0</v>
      </c>
      <c r="O681" s="380">
        <f>A!O626</f>
        <v>4</v>
      </c>
      <c r="P681" s="541"/>
      <c r="Q681" s="541">
        <f>A!E626</f>
        <v>0</v>
      </c>
      <c r="R681" s="541" t="s">
        <v>982</v>
      </c>
      <c r="S681" s="541">
        <f t="shared" si="308"/>
        <v>0</v>
      </c>
      <c r="T681" s="541" t="str">
        <f>A!R626</f>
        <v>x3</v>
      </c>
      <c r="U681" s="541">
        <f>A!S626</f>
        <v>35</v>
      </c>
      <c r="V681" s="541">
        <f>A!T626</f>
        <v>0.125</v>
      </c>
      <c r="W681" s="541">
        <f t="shared" si="306"/>
        <v>0</v>
      </c>
      <c r="X681" s="541"/>
    </row>
    <row r="682" spans="1:24" ht="11.25" hidden="1" customHeight="1" x14ac:dyDescent="0.25">
      <c r="A682" s="121" t="str">
        <f>IF(S682=0,"",COUNTIF(A$23:A681,"&gt;0")+1)</f>
        <v/>
      </c>
      <c r="B682" s="379"/>
      <c r="C682" s="76" t="str">
        <f t="shared" si="307"/>
        <v>x3</v>
      </c>
      <c r="D682" s="98" t="str">
        <f>A!C627</f>
        <v>N. Chromatella</v>
      </c>
      <c r="E682" s="78"/>
      <c r="F682" s="78"/>
      <c r="G682" s="125"/>
      <c r="H682" s="89">
        <f>A!Q627</f>
        <v>0</v>
      </c>
      <c r="I682" s="81"/>
      <c r="J682" s="202"/>
      <c r="K682" s="83">
        <f>IF(A!G627="y",1,0)</f>
        <v>0</v>
      </c>
      <c r="L682" s="83">
        <f>IF(A!H627="y",1,0)</f>
        <v>0</v>
      </c>
      <c r="M682" s="136" t="str">
        <f>IF(A!F627="y","NEW","")</f>
        <v/>
      </c>
      <c r="N682" s="85">
        <f>A!I627</f>
        <v>0</v>
      </c>
      <c r="O682" s="380">
        <f>A!O627</f>
        <v>4</v>
      </c>
      <c r="P682" s="541"/>
      <c r="Q682" s="541">
        <f>A!E627</f>
        <v>0</v>
      </c>
      <c r="R682" s="541" t="s">
        <v>982</v>
      </c>
      <c r="S682" s="541">
        <f t="shared" si="308"/>
        <v>0</v>
      </c>
      <c r="T682" s="541" t="str">
        <f>A!R627</f>
        <v>x3</v>
      </c>
      <c r="U682" s="541">
        <f>A!S627</f>
        <v>35</v>
      </c>
      <c r="V682" s="541">
        <f>A!T627</f>
        <v>0.125</v>
      </c>
      <c r="W682" s="541">
        <f t="shared" si="306"/>
        <v>0</v>
      </c>
      <c r="X682" s="541"/>
    </row>
    <row r="683" spans="1:24" ht="11.25" hidden="1" customHeight="1" x14ac:dyDescent="0.25">
      <c r="A683" s="121" t="str">
        <f>IF(S683=0,"",COUNTIF(A$23:A682,"&gt;0")+1)</f>
        <v/>
      </c>
      <c r="B683" s="379"/>
      <c r="C683" s="76" t="str">
        <f t="shared" si="307"/>
        <v>x3</v>
      </c>
      <c r="D683" s="98" t="str">
        <f>A!C628</f>
        <v>N. Collosea</v>
      </c>
      <c r="E683" s="78"/>
      <c r="F683" s="78"/>
      <c r="G683" s="125"/>
      <c r="H683" s="89">
        <f>A!Q628</f>
        <v>0</v>
      </c>
      <c r="I683" s="81"/>
      <c r="J683" s="202"/>
      <c r="K683" s="83">
        <f>IF(A!G628="y",1,0)</f>
        <v>0</v>
      </c>
      <c r="L683" s="83">
        <f>IF(A!H628="y",1,0)</f>
        <v>0</v>
      </c>
      <c r="M683" s="136" t="str">
        <f>IF(A!F628="y","NEW","")</f>
        <v/>
      </c>
      <c r="N683" s="85">
        <f>A!I628</f>
        <v>0</v>
      </c>
      <c r="O683" s="380">
        <f>A!O628</f>
        <v>4</v>
      </c>
      <c r="P683" s="541"/>
      <c r="Q683" s="541">
        <f>A!E628</f>
        <v>0</v>
      </c>
      <c r="R683" s="541" t="s">
        <v>982</v>
      </c>
      <c r="S683" s="541">
        <f t="shared" si="308"/>
        <v>0</v>
      </c>
      <c r="T683" s="541" t="str">
        <f>A!R628</f>
        <v>x3</v>
      </c>
      <c r="U683" s="541">
        <f>A!S628</f>
        <v>35</v>
      </c>
      <c r="V683" s="541">
        <f>A!T628</f>
        <v>0.125</v>
      </c>
      <c r="W683" s="541">
        <f t="shared" si="306"/>
        <v>0</v>
      </c>
      <c r="X683" s="541"/>
    </row>
    <row r="684" spans="1:24" ht="11.25" customHeight="1" x14ac:dyDescent="0.25">
      <c r="A684" s="121" t="str">
        <f>IF(S684=0,"",COUNTIF(A$23:A683,"&gt;0")+1)</f>
        <v/>
      </c>
      <c r="B684" s="379"/>
      <c r="C684" s="76" t="str">
        <f t="shared" si="307"/>
        <v>x3</v>
      </c>
      <c r="D684" s="98" t="str">
        <f>A!C629</f>
        <v>N. Colonel A J Welch</v>
      </c>
      <c r="E684" s="78"/>
      <c r="F684" s="78"/>
      <c r="G684" s="125"/>
      <c r="H684" s="89" t="str">
        <f>A!Q629</f>
        <v>beautiful canary-yellow blooms, lightly maroon marbled foliage</v>
      </c>
      <c r="I684" s="81"/>
      <c r="J684" s="202"/>
      <c r="K684" s="83">
        <f>IF(A!G629="y",1,0)</f>
        <v>0</v>
      </c>
      <c r="L684" s="83">
        <f>IF(A!H629="y",1,0)</f>
        <v>0</v>
      </c>
      <c r="M684" s="136" t="str">
        <f>IF(A!F629="y","NEW","")</f>
        <v/>
      </c>
      <c r="N684" s="85">
        <f>A!I629</f>
        <v>0</v>
      </c>
      <c r="O684" s="380">
        <f>A!O629</f>
        <v>4</v>
      </c>
      <c r="P684" s="541"/>
      <c r="Q684" s="541" t="str">
        <f>A!E629</f>
        <v>y</v>
      </c>
      <c r="R684" s="541" t="s">
        <v>982</v>
      </c>
      <c r="S684" s="541">
        <f t="shared" si="308"/>
        <v>0</v>
      </c>
      <c r="T684" s="541" t="str">
        <f>A!R629</f>
        <v>x3</v>
      </c>
      <c r="U684" s="541">
        <f>A!S629</f>
        <v>35</v>
      </c>
      <c r="V684" s="541">
        <f>A!T629</f>
        <v>0.125</v>
      </c>
      <c r="W684" s="541">
        <f t="shared" si="306"/>
        <v>0</v>
      </c>
      <c r="X684" s="541"/>
    </row>
    <row r="685" spans="1:24" ht="11.25" hidden="1" customHeight="1" x14ac:dyDescent="0.25">
      <c r="A685" s="121" t="str">
        <f>IF(S685=0,"",COUNTIF(A$23:A684,"&gt;0")+1)</f>
        <v/>
      </c>
      <c r="B685" s="379"/>
      <c r="C685" s="76" t="str">
        <f t="shared" si="307"/>
        <v>x3</v>
      </c>
      <c r="D685" s="98" t="str">
        <f>A!C630</f>
        <v>N. Colorado</v>
      </c>
      <c r="E685" s="78"/>
      <c r="F685" s="78"/>
      <c r="G685" s="125"/>
      <c r="H685" s="89">
        <f>A!Q630</f>
        <v>0</v>
      </c>
      <c r="I685" s="81"/>
      <c r="J685" s="202"/>
      <c r="K685" s="83">
        <f>IF(A!G630="y",1,0)</f>
        <v>0</v>
      </c>
      <c r="L685" s="83">
        <f>IF(A!H630="y",1,0)</f>
        <v>0</v>
      </c>
      <c r="M685" s="136" t="str">
        <f>IF(A!F630="y","NEW","")</f>
        <v/>
      </c>
      <c r="N685" s="85">
        <f>A!I630</f>
        <v>0</v>
      </c>
      <c r="O685" s="380">
        <f>A!O630</f>
        <v>4</v>
      </c>
      <c r="P685" s="541"/>
      <c r="Q685" s="541">
        <f>A!E630</f>
        <v>0</v>
      </c>
      <c r="R685" s="541" t="s">
        <v>982</v>
      </c>
      <c r="S685" s="541">
        <f t="shared" si="308"/>
        <v>0</v>
      </c>
      <c r="T685" s="541" t="str">
        <f>A!R630</f>
        <v>x3</v>
      </c>
      <c r="U685" s="541">
        <f>A!S630</f>
        <v>35</v>
      </c>
      <c r="V685" s="541">
        <f>A!T630</f>
        <v>0.125</v>
      </c>
      <c r="W685" s="541">
        <f t="shared" si="306"/>
        <v>0</v>
      </c>
      <c r="X685" s="541"/>
    </row>
    <row r="686" spans="1:24" ht="11.25" hidden="1" customHeight="1" x14ac:dyDescent="0.25">
      <c r="A686" s="121" t="str">
        <f>IF(S686=0,"",COUNTIF(A$23:A685,"&gt;0")+1)</f>
        <v/>
      </c>
      <c r="B686" s="379"/>
      <c r="C686" s="76" t="str">
        <f t="shared" si="307"/>
        <v>x3</v>
      </c>
      <c r="D686" s="98" t="str">
        <f>A!C631</f>
        <v>N. Conqueror</v>
      </c>
      <c r="E686" s="78"/>
      <c r="F686" s="78"/>
      <c r="G686" s="125"/>
      <c r="H686" s="89" t="str">
        <f>A!Q631</f>
        <v>deep red blooms with incurving petals and bright yellow stamens</v>
      </c>
      <c r="I686" s="81"/>
      <c r="J686" s="202"/>
      <c r="K686" s="83">
        <f>IF(A!G631="y",1,0)</f>
        <v>0</v>
      </c>
      <c r="L686" s="83">
        <f>IF(A!H631="y",1,0)</f>
        <v>0</v>
      </c>
      <c r="M686" s="136" t="str">
        <f>IF(A!F631="y","NEW","")</f>
        <v/>
      </c>
      <c r="N686" s="85">
        <f>A!I631</f>
        <v>0</v>
      </c>
      <c r="O686" s="380">
        <f>A!O631</f>
        <v>4</v>
      </c>
      <c r="P686" s="541"/>
      <c r="Q686" s="541">
        <f>A!E631</f>
        <v>0</v>
      </c>
      <c r="R686" s="541" t="s">
        <v>982</v>
      </c>
      <c r="S686" s="541">
        <f t="shared" si="308"/>
        <v>0</v>
      </c>
      <c r="T686" s="541" t="str">
        <f>A!R631</f>
        <v>x3</v>
      </c>
      <c r="U686" s="541">
        <f>A!S631</f>
        <v>35</v>
      </c>
      <c r="V686" s="541">
        <f>A!T631</f>
        <v>0.125</v>
      </c>
      <c r="W686" s="541">
        <f t="shared" si="306"/>
        <v>0</v>
      </c>
      <c r="X686" s="541"/>
    </row>
    <row r="687" spans="1:24" ht="11.25" hidden="1" customHeight="1" x14ac:dyDescent="0.25">
      <c r="A687" s="121" t="str">
        <f>IF(S687=0,"",COUNTIF(A$23:A686,"&gt;0")+1)</f>
        <v/>
      </c>
      <c r="B687" s="379"/>
      <c r="C687" s="76" t="str">
        <f t="shared" si="307"/>
        <v>x3</v>
      </c>
      <c r="D687" s="98" t="str">
        <f>A!C632</f>
        <v>N. Denver</v>
      </c>
      <c r="E687" s="78"/>
      <c r="F687" s="78"/>
      <c r="G687" s="125"/>
      <c r="H687" s="89">
        <f>A!Q632</f>
        <v>0</v>
      </c>
      <c r="I687" s="81"/>
      <c r="J687" s="202"/>
      <c r="K687" s="83">
        <f>IF(A!G632="y",1,0)</f>
        <v>0</v>
      </c>
      <c r="L687" s="83">
        <f>IF(A!H632="y",1,0)</f>
        <v>0</v>
      </c>
      <c r="M687" s="84" t="str">
        <f>IF(A!F632="y","NEW","")</f>
        <v/>
      </c>
      <c r="N687" s="85">
        <f>A!I632</f>
        <v>0</v>
      </c>
      <c r="O687" s="380">
        <f>A!O632</f>
        <v>4</v>
      </c>
      <c r="P687" s="541"/>
      <c r="Q687" s="541">
        <f>A!E632</f>
        <v>0</v>
      </c>
      <c r="R687" s="541" t="s">
        <v>982</v>
      </c>
      <c r="S687" s="541">
        <f t="shared" si="308"/>
        <v>0</v>
      </c>
      <c r="T687" s="541" t="str">
        <f>A!R632</f>
        <v>x3</v>
      </c>
      <c r="U687" s="541">
        <f>A!S632</f>
        <v>35</v>
      </c>
      <c r="V687" s="541">
        <f>A!T632</f>
        <v>0.125</v>
      </c>
      <c r="W687" s="541">
        <f t="shared" si="306"/>
        <v>0</v>
      </c>
      <c r="X687" s="541"/>
    </row>
    <row r="688" spans="1:24" ht="11.25" hidden="1" customHeight="1" x14ac:dyDescent="0.25">
      <c r="A688" s="121" t="str">
        <f>IF(S688=0,"",COUNTIF(A$23:A687,"&gt;0")+1)</f>
        <v/>
      </c>
      <c r="B688" s="379"/>
      <c r="C688" s="76" t="str">
        <f t="shared" si="307"/>
        <v>x3</v>
      </c>
      <c r="D688" s="98" t="str">
        <f>A!C633</f>
        <v>N. Fire Crest</v>
      </c>
      <c r="E688" s="78"/>
      <c r="F688" s="78"/>
      <c r="G688" s="125"/>
      <c r="H688" s="89">
        <f>A!Q633</f>
        <v>0</v>
      </c>
      <c r="I688" s="81"/>
      <c r="J688" s="202"/>
      <c r="K688" s="83">
        <f>IF(A!G633="y",1,0)</f>
        <v>0</v>
      </c>
      <c r="L688" s="83">
        <f>IF(A!H633="y",1,0)</f>
        <v>0</v>
      </c>
      <c r="M688" s="84" t="str">
        <f>IF(A!F633="y","NEW","")</f>
        <v/>
      </c>
      <c r="N688" s="85">
        <f>A!I633</f>
        <v>0</v>
      </c>
      <c r="O688" s="380">
        <f>A!O633</f>
        <v>4</v>
      </c>
      <c r="P688" s="541"/>
      <c r="Q688" s="541">
        <f>A!E633</f>
        <v>0</v>
      </c>
      <c r="R688" s="541" t="s">
        <v>982</v>
      </c>
      <c r="S688" s="541">
        <f t="shared" si="308"/>
        <v>0</v>
      </c>
      <c r="T688" s="541" t="str">
        <f>A!R633</f>
        <v>x3</v>
      </c>
      <c r="U688" s="541">
        <f>A!S633</f>
        <v>35</v>
      </c>
      <c r="V688" s="541">
        <f>A!T633</f>
        <v>0.125</v>
      </c>
      <c r="W688" s="541">
        <f t="shared" si="306"/>
        <v>0</v>
      </c>
      <c r="X688" s="541"/>
    </row>
    <row r="689" spans="1:24" ht="11.25" hidden="1" customHeight="1" x14ac:dyDescent="0.25">
      <c r="A689" s="121" t="str">
        <f>IF(S689=0,"",COUNTIF(A$23:A688,"&gt;0")+1)</f>
        <v/>
      </c>
      <c r="B689" s="379"/>
      <c r="C689" s="76" t="str">
        <f t="shared" si="307"/>
        <v>x3</v>
      </c>
      <c r="D689" s="98" t="str">
        <f>A!C634</f>
        <v>N. Frobelii</v>
      </c>
      <c r="E689" s="78"/>
      <c r="F689" s="78"/>
      <c r="G689" s="125"/>
      <c r="H689" s="89">
        <f>A!Q634</f>
        <v>0</v>
      </c>
      <c r="I689" s="81"/>
      <c r="J689" s="202"/>
      <c r="K689" s="83">
        <f>IF(A!G634="y",1,0)</f>
        <v>0</v>
      </c>
      <c r="L689" s="83">
        <f>IF(A!H634="y",1,0)</f>
        <v>0</v>
      </c>
      <c r="M689" s="84" t="str">
        <f>IF(A!F634="y","NEW","")</f>
        <v/>
      </c>
      <c r="N689" s="85">
        <f>A!I634</f>
        <v>0</v>
      </c>
      <c r="O689" s="380">
        <f>A!O634</f>
        <v>4</v>
      </c>
      <c r="P689" s="541"/>
      <c r="Q689" s="541">
        <f>A!E634</f>
        <v>0</v>
      </c>
      <c r="R689" s="541" t="s">
        <v>982</v>
      </c>
      <c r="S689" s="541">
        <f t="shared" si="308"/>
        <v>0</v>
      </c>
      <c r="T689" s="541" t="str">
        <f>A!R634</f>
        <v>x3</v>
      </c>
      <c r="U689" s="541">
        <f>A!S634</f>
        <v>35</v>
      </c>
      <c r="V689" s="541">
        <f>A!T634</f>
        <v>0.125</v>
      </c>
      <c r="W689" s="541">
        <f t="shared" si="306"/>
        <v>0</v>
      </c>
      <c r="X689" s="541"/>
    </row>
    <row r="690" spans="1:24" ht="11.25" hidden="1" customHeight="1" x14ac:dyDescent="0.25">
      <c r="A690" s="121" t="str">
        <f>IF(S690=0,"",COUNTIF(A$23:A689,"&gt;0")+1)</f>
        <v/>
      </c>
      <c r="B690" s="379"/>
      <c r="C690" s="76" t="str">
        <f t="shared" si="307"/>
        <v>x3</v>
      </c>
      <c r="D690" s="98" t="str">
        <f>A!C635</f>
        <v>N. Gladstonianna</v>
      </c>
      <c r="E690" s="78"/>
      <c r="F690" s="78"/>
      <c r="G690" s="125"/>
      <c r="H690" s="89" t="str">
        <f>A!Q635</f>
        <v>vigorous, large growing waterlily, large-cup shaped white flowers</v>
      </c>
      <c r="I690" s="81"/>
      <c r="J690" s="202"/>
      <c r="K690" s="83">
        <f>IF(A!G635="y",1,0)</f>
        <v>0</v>
      </c>
      <c r="L690" s="83">
        <f>IF(A!H635="y",1,0)</f>
        <v>0</v>
      </c>
      <c r="M690" s="141" t="str">
        <f>IF(A!F635="y","NEW","")</f>
        <v/>
      </c>
      <c r="N690" s="85">
        <f>A!I635</f>
        <v>0</v>
      </c>
      <c r="O690" s="380">
        <f>A!O635</f>
        <v>4</v>
      </c>
      <c r="P690" s="541"/>
      <c r="Q690" s="541">
        <f>A!E635</f>
        <v>0</v>
      </c>
      <c r="R690" s="541" t="s">
        <v>982</v>
      </c>
      <c r="S690" s="541">
        <f t="shared" si="308"/>
        <v>0</v>
      </c>
      <c r="T690" s="541" t="str">
        <f>A!R635</f>
        <v>x3</v>
      </c>
      <c r="U690" s="541">
        <f>A!S635</f>
        <v>35</v>
      </c>
      <c r="V690" s="541">
        <f>A!T635</f>
        <v>0.125</v>
      </c>
      <c r="W690" s="541">
        <f t="shared" si="306"/>
        <v>0</v>
      </c>
      <c r="X690" s="541"/>
    </row>
    <row r="691" spans="1:24" ht="11.25" hidden="1" customHeight="1" x14ac:dyDescent="0.25">
      <c r="A691" s="121" t="str">
        <f>IF(S691=0,"",COUNTIF(A$23:A690,"&gt;0")+1)</f>
        <v/>
      </c>
      <c r="B691" s="379"/>
      <c r="C691" s="76" t="str">
        <f t="shared" si="307"/>
        <v>x3</v>
      </c>
      <c r="D691" s="98" t="str">
        <f>A!C636</f>
        <v>N. Gloriosa</v>
      </c>
      <c r="E691" s="78"/>
      <c r="F691" s="78"/>
      <c r="G691" s="125"/>
      <c r="H691" s="89">
        <f>A!Q636</f>
        <v>0</v>
      </c>
      <c r="I691" s="81"/>
      <c r="J691" s="202"/>
      <c r="K691" s="83">
        <f>IF(A!G636="y",1,0)</f>
        <v>0</v>
      </c>
      <c r="L691" s="83">
        <f>IF(A!H636="y",1,0)</f>
        <v>0</v>
      </c>
      <c r="M691" s="84" t="str">
        <f>IF(A!F636="y","NEW","")</f>
        <v/>
      </c>
      <c r="N691" s="85">
        <f>A!I636</f>
        <v>0</v>
      </c>
      <c r="O691" s="380">
        <f>A!O636</f>
        <v>4</v>
      </c>
      <c r="P691" s="541"/>
      <c r="Q691" s="541">
        <f>A!E636</f>
        <v>0</v>
      </c>
      <c r="R691" s="541" t="s">
        <v>982</v>
      </c>
      <c r="S691" s="541">
        <f t="shared" si="308"/>
        <v>0</v>
      </c>
      <c r="T691" s="541" t="str">
        <f>A!R636</f>
        <v>x3</v>
      </c>
      <c r="U691" s="541">
        <f>A!S636</f>
        <v>35</v>
      </c>
      <c r="V691" s="541">
        <f>A!T636</f>
        <v>0.125</v>
      </c>
      <c r="W691" s="541">
        <f t="shared" si="306"/>
        <v>0</v>
      </c>
      <c r="X691" s="541"/>
    </row>
    <row r="692" spans="1:24" ht="11.25" hidden="1" customHeight="1" x14ac:dyDescent="0.25">
      <c r="A692" s="121" t="str">
        <f>IF(S692=0,"",COUNTIF(A$23:A691,"&gt;0")+1)</f>
        <v/>
      </c>
      <c r="B692" s="379"/>
      <c r="C692" s="76" t="str">
        <f t="shared" si="307"/>
        <v>x3</v>
      </c>
      <c r="D692" s="98" t="str">
        <f>A!C637</f>
        <v>N. Gonnere</v>
      </c>
      <c r="E692" s="78"/>
      <c r="F692" s="78"/>
      <c r="G692" s="125"/>
      <c r="H692" s="89">
        <f>A!Q637</f>
        <v>0</v>
      </c>
      <c r="I692" s="81"/>
      <c r="J692" s="202"/>
      <c r="K692" s="83">
        <f>IF(A!G637="y",1,0)</f>
        <v>0</v>
      </c>
      <c r="L692" s="83">
        <f>IF(A!H637="y",1,0)</f>
        <v>0</v>
      </c>
      <c r="M692" s="84" t="str">
        <f>IF(A!F637="y","NEW","")</f>
        <v/>
      </c>
      <c r="N692" s="85">
        <f>A!I637</f>
        <v>0</v>
      </c>
      <c r="O692" s="380">
        <f>A!O637</f>
        <v>4</v>
      </c>
      <c r="P692" s="541"/>
      <c r="Q692" s="541">
        <f>A!E637</f>
        <v>0</v>
      </c>
      <c r="R692" s="541" t="s">
        <v>982</v>
      </c>
      <c r="S692" s="541">
        <f t="shared" si="308"/>
        <v>0</v>
      </c>
      <c r="T692" s="541" t="str">
        <f>A!R637</f>
        <v>x3</v>
      </c>
      <c r="U692" s="541">
        <f>A!S637</f>
        <v>35</v>
      </c>
      <c r="V692" s="541">
        <f>A!T637</f>
        <v>0.125</v>
      </c>
      <c r="W692" s="541">
        <f t="shared" si="306"/>
        <v>0</v>
      </c>
      <c r="X692" s="541"/>
    </row>
    <row r="693" spans="1:24" ht="11.25" hidden="1" customHeight="1" x14ac:dyDescent="0.25">
      <c r="A693" s="121" t="str">
        <f>IF(S693=0,"",COUNTIF(A$23:A692,"&gt;0")+1)</f>
        <v/>
      </c>
      <c r="B693" s="379"/>
      <c r="C693" s="76" t="str">
        <f t="shared" si="307"/>
        <v>x3</v>
      </c>
      <c r="D693" s="98" t="str">
        <f>A!C638</f>
        <v>N. Hollandia</v>
      </c>
      <c r="E693" s="78"/>
      <c r="F693" s="78"/>
      <c r="G693" s="125"/>
      <c r="H693" s="89" t="str">
        <f>A!Q638</f>
        <v>large double pale pink flowers, inner petals deeper coloured than outer ones</v>
      </c>
      <c r="I693" s="81"/>
      <c r="J693" s="202"/>
      <c r="K693" s="83">
        <f>IF(A!G638="y",1,0)</f>
        <v>0</v>
      </c>
      <c r="L693" s="83">
        <f>IF(A!H638="y",1,0)</f>
        <v>0</v>
      </c>
      <c r="M693" s="140" t="str">
        <f>IF(A!F638="y","NEW","")</f>
        <v/>
      </c>
      <c r="N693" s="85">
        <f>A!I638</f>
        <v>0</v>
      </c>
      <c r="O693" s="380">
        <f>A!O638</f>
        <v>4</v>
      </c>
      <c r="P693" s="541"/>
      <c r="Q693" s="541">
        <f>A!E638</f>
        <v>0</v>
      </c>
      <c r="R693" s="541" t="s">
        <v>982</v>
      </c>
      <c r="S693" s="541">
        <f t="shared" si="308"/>
        <v>0</v>
      </c>
      <c r="T693" s="541" t="str">
        <f>A!R638</f>
        <v>x3</v>
      </c>
      <c r="U693" s="541">
        <f>A!S638</f>
        <v>35</v>
      </c>
      <c r="V693" s="541">
        <f>A!T638</f>
        <v>0.125</v>
      </c>
      <c r="W693" s="541">
        <f t="shared" si="306"/>
        <v>0</v>
      </c>
      <c r="X693" s="541"/>
    </row>
    <row r="694" spans="1:24" ht="11.25" hidden="1" customHeight="1" x14ac:dyDescent="0.25">
      <c r="A694" s="121" t="str">
        <f>IF(S694=0,"",COUNTIF(A$23:A693,"&gt;0")+1)</f>
        <v/>
      </c>
      <c r="B694" s="379"/>
      <c r="C694" s="76" t="str">
        <f t="shared" si="307"/>
        <v>x3</v>
      </c>
      <c r="D694" s="98" t="str">
        <f>A!C639</f>
        <v>N. Inner Light</v>
      </c>
      <c r="E694" s="78"/>
      <c r="F694" s="78"/>
      <c r="G694" s="125"/>
      <c r="H694" s="89" t="str">
        <f>A!Q639</f>
        <v>originating from the USA, wonderful yellow double-petalled blooms</v>
      </c>
      <c r="I694" s="81"/>
      <c r="J694" s="202"/>
      <c r="K694" s="83">
        <f>IF(A!G639="y",1,0)</f>
        <v>0</v>
      </c>
      <c r="L694" s="83">
        <f>IF(A!H639="y",1,0)</f>
        <v>0</v>
      </c>
      <c r="M694" s="164" t="str">
        <f>IF(A!F636="y","NEW","")</f>
        <v/>
      </c>
      <c r="N694" s="85">
        <f>A!I639</f>
        <v>0</v>
      </c>
      <c r="O694" s="380">
        <f>A!O639</f>
        <v>4</v>
      </c>
      <c r="P694" s="541"/>
      <c r="Q694" s="541">
        <f>A!E639</f>
        <v>0</v>
      </c>
      <c r="R694" s="541" t="s">
        <v>982</v>
      </c>
      <c r="S694" s="541">
        <f t="shared" si="308"/>
        <v>0</v>
      </c>
      <c r="T694" s="541" t="str">
        <f>A!R639</f>
        <v>x3</v>
      </c>
      <c r="U694" s="541">
        <f>A!S639</f>
        <v>35</v>
      </c>
      <c r="V694" s="541">
        <f>A!T639</f>
        <v>0.125</v>
      </c>
      <c r="W694" s="541">
        <f t="shared" si="306"/>
        <v>0</v>
      </c>
      <c r="X694" s="541"/>
    </row>
    <row r="695" spans="1:24" ht="11.25" customHeight="1" x14ac:dyDescent="0.25">
      <c r="A695" s="121" t="str">
        <f>IF(S695=0,"",COUNTIF(A$23:A694,"&gt;0")+1)</f>
        <v/>
      </c>
      <c r="B695" s="379"/>
      <c r="C695" s="76" t="str">
        <f t="shared" si="307"/>
        <v>x3</v>
      </c>
      <c r="D695" s="98" t="str">
        <f>A!C640</f>
        <v>N. James Brydon</v>
      </c>
      <c r="E695" s="78"/>
      <c r="F695" s="78"/>
      <c r="G695" s="125"/>
      <c r="H695" s="89" t="str">
        <f>A!Q640</f>
        <v>very free-flowering, very adaptable and easy to grow</v>
      </c>
      <c r="I695" s="81"/>
      <c r="J695" s="202"/>
      <c r="K695" s="83">
        <f>IF(A!G640="y",1,0)</f>
        <v>1</v>
      </c>
      <c r="L695" s="83">
        <f>IF(A!H640="y",1,0)</f>
        <v>0</v>
      </c>
      <c r="M695" s="136" t="str">
        <f>IF(A!F640="y","NEW","")</f>
        <v/>
      </c>
      <c r="N695" s="85" t="str">
        <f>A!I640</f>
        <v>y</v>
      </c>
      <c r="O695" s="380">
        <f>A!O640</f>
        <v>4</v>
      </c>
      <c r="P695" s="541"/>
      <c r="Q695" s="541" t="str">
        <f>A!E640</f>
        <v>y</v>
      </c>
      <c r="R695" s="541" t="s">
        <v>982</v>
      </c>
      <c r="S695" s="541">
        <f t="shared" si="308"/>
        <v>0</v>
      </c>
      <c r="T695" s="541" t="str">
        <f>A!R640</f>
        <v>x3</v>
      </c>
      <c r="U695" s="541">
        <f>A!S640</f>
        <v>35</v>
      </c>
      <c r="V695" s="541">
        <f>A!T640</f>
        <v>0.125</v>
      </c>
      <c r="W695" s="541">
        <f t="shared" si="306"/>
        <v>0</v>
      </c>
      <c r="X695" s="541"/>
    </row>
    <row r="696" spans="1:24" ht="11.25" customHeight="1" x14ac:dyDescent="0.25">
      <c r="A696" s="121" t="str">
        <f>IF(S696=0,"",COUNTIF(A$23:A695,"&gt;0")+1)</f>
        <v/>
      </c>
      <c r="B696" s="379"/>
      <c r="C696" s="76" t="str">
        <f t="shared" si="307"/>
        <v>x3</v>
      </c>
      <c r="D696" s="98" t="str">
        <f>A!C641</f>
        <v>N. Joey Tomocik</v>
      </c>
      <c r="E696" s="78"/>
      <c r="F696" s="78"/>
      <c r="G696" s="125"/>
      <c r="H696" s="89" t="str">
        <f>A!Q641</f>
        <v>relatively new hybrid, double yellow blossoms and free flowering</v>
      </c>
      <c r="I696" s="81"/>
      <c r="J696" s="202"/>
      <c r="K696" s="83">
        <f>IF(A!G641="y",1,0)</f>
        <v>0</v>
      </c>
      <c r="L696" s="83">
        <f>IF(A!H641="y",1,0)</f>
        <v>0</v>
      </c>
      <c r="M696" s="137" t="str">
        <f>IF(A!F641="y","NEW","")</f>
        <v/>
      </c>
      <c r="N696" s="163"/>
      <c r="O696" s="380">
        <f>A!O641</f>
        <v>4</v>
      </c>
      <c r="P696" s="541"/>
      <c r="Q696" s="541" t="str">
        <f>A!E641</f>
        <v>y</v>
      </c>
      <c r="R696" s="541" t="s">
        <v>982</v>
      </c>
      <c r="S696" s="541">
        <f t="shared" si="308"/>
        <v>0</v>
      </c>
      <c r="T696" s="541" t="str">
        <f>A!R641</f>
        <v>x3</v>
      </c>
      <c r="U696" s="541">
        <f>A!S641</f>
        <v>35</v>
      </c>
      <c r="V696" s="541">
        <f>A!T641</f>
        <v>0.125</v>
      </c>
      <c r="W696" s="541">
        <f t="shared" si="306"/>
        <v>0</v>
      </c>
      <c r="X696" s="541"/>
    </row>
    <row r="697" spans="1:24" ht="11.25" hidden="1" customHeight="1" x14ac:dyDescent="0.25">
      <c r="A697" s="121" t="str">
        <f>IF(S697=0,"",COUNTIF(A$23:A696,"&gt;0")+1)</f>
        <v/>
      </c>
      <c r="B697" s="379"/>
      <c r="C697" s="76" t="str">
        <f t="shared" si="307"/>
        <v>x3</v>
      </c>
      <c r="D697" s="98" t="str">
        <f>A!C642</f>
        <v>N. Lemon Mist</v>
      </c>
      <c r="E697" s="78"/>
      <c r="F697" s="78"/>
      <c r="G697" s="125"/>
      <c r="H697" s="89">
        <f>A!Q642</f>
        <v>0</v>
      </c>
      <c r="I697" s="81"/>
      <c r="J697" s="202"/>
      <c r="K697" s="83">
        <f>IF(A!G642="y",1,0)</f>
        <v>0</v>
      </c>
      <c r="L697" s="83">
        <f>IF(A!H642="y",1,0)</f>
        <v>0</v>
      </c>
      <c r="M697" s="84" t="str">
        <f>IF(A!F642="y","NEW","")</f>
        <v/>
      </c>
      <c r="N697" s="85">
        <f>A!I642</f>
        <v>0</v>
      </c>
      <c r="O697" s="380">
        <f>A!O642</f>
        <v>4</v>
      </c>
      <c r="P697" s="541"/>
      <c r="Q697" s="541">
        <f>A!E642</f>
        <v>0</v>
      </c>
      <c r="R697" s="541" t="s">
        <v>982</v>
      </c>
      <c r="S697" s="541">
        <f t="shared" si="308"/>
        <v>0</v>
      </c>
      <c r="T697" s="541" t="str">
        <f>A!R642</f>
        <v>x3</v>
      </c>
      <c r="U697" s="541">
        <f>A!S642</f>
        <v>35</v>
      </c>
      <c r="V697" s="541">
        <f>A!T642</f>
        <v>0.125</v>
      </c>
      <c r="W697" s="541">
        <f t="shared" si="306"/>
        <v>0</v>
      </c>
      <c r="X697" s="541"/>
    </row>
    <row r="698" spans="1:24" ht="11.25" hidden="1" customHeight="1" x14ac:dyDescent="0.25">
      <c r="A698" s="121" t="str">
        <f>IF(S698=0,"",COUNTIF(A$23:A697,"&gt;0")+1)</f>
        <v/>
      </c>
      <c r="B698" s="379"/>
      <c r="C698" s="76" t="str">
        <f t="shared" si="307"/>
        <v>x3</v>
      </c>
      <c r="D698" s="98" t="str">
        <f>A!C643</f>
        <v>N. Madame Wilfron Gonnere</v>
      </c>
      <c r="E698" s="78"/>
      <c r="F698" s="78"/>
      <c r="G698" s="125"/>
      <c r="H698" s="89" t="str">
        <f>A!Q643</f>
        <v>this beautiful variety has large, cup-shaped double flowers in rose pink</v>
      </c>
      <c r="I698" s="81"/>
      <c r="J698" s="202"/>
      <c r="K698" s="83">
        <f>IF(A!G643="y",1,0)</f>
        <v>0</v>
      </c>
      <c r="L698" s="83">
        <f>IF(A!H643="y",1,0)</f>
        <v>0</v>
      </c>
      <c r="M698" s="140" t="str">
        <f>IF(A!F643="y","NEW","")</f>
        <v/>
      </c>
      <c r="N698" s="85">
        <f>A!I643</f>
        <v>0</v>
      </c>
      <c r="O698" s="380">
        <f>A!O643</f>
        <v>4</v>
      </c>
      <c r="P698" s="541"/>
      <c r="Q698" s="541">
        <f>A!E643</f>
        <v>0</v>
      </c>
      <c r="R698" s="541" t="s">
        <v>982</v>
      </c>
      <c r="S698" s="541">
        <f t="shared" si="308"/>
        <v>0</v>
      </c>
      <c r="T698" s="541" t="str">
        <f>A!R643</f>
        <v>x3</v>
      </c>
      <c r="U698" s="541">
        <f>A!S643</f>
        <v>35</v>
      </c>
      <c r="V698" s="541">
        <f>A!T643</f>
        <v>0.125</v>
      </c>
      <c r="W698" s="541">
        <f t="shared" si="306"/>
        <v>0</v>
      </c>
      <c r="X698" s="541"/>
    </row>
    <row r="699" spans="1:24" ht="11.25" hidden="1" customHeight="1" x14ac:dyDescent="0.25">
      <c r="A699" s="121" t="str">
        <f>IF(S699=0,"",COUNTIF(A$23:A698,"&gt;0")+1)</f>
        <v/>
      </c>
      <c r="B699" s="379"/>
      <c r="C699" s="76" t="str">
        <f t="shared" ref="C699" si="309">T699</f>
        <v>x3</v>
      </c>
      <c r="D699" s="98" t="str">
        <f>A!C644</f>
        <v>N. Mangkala Ubol</v>
      </c>
      <c r="E699" s="78"/>
      <c r="F699" s="78"/>
      <c r="G699" s="125"/>
      <c r="H699" s="89" t="str">
        <f>A!Q644</f>
        <v>peachy yellow with brownish green pads that are flecked</v>
      </c>
      <c r="I699" s="81"/>
      <c r="J699" s="202"/>
      <c r="K699" s="83">
        <f>IF(A!G644="y",1,0)</f>
        <v>0</v>
      </c>
      <c r="L699" s="83">
        <f>IF(A!H644="y",1,0)</f>
        <v>0</v>
      </c>
      <c r="M699" s="143" t="str">
        <f>IF(A!F644="y","NEW","")</f>
        <v/>
      </c>
      <c r="N699" s="85">
        <f>A!I644</f>
        <v>0</v>
      </c>
      <c r="O699" s="380">
        <f>A!O644</f>
        <v>4</v>
      </c>
      <c r="P699" s="541"/>
      <c r="Q699" s="541">
        <f>A!E644</f>
        <v>0</v>
      </c>
      <c r="R699" s="541" t="s">
        <v>982</v>
      </c>
      <c r="S699" s="541">
        <f t="shared" ref="S699" si="310">B699</f>
        <v>0</v>
      </c>
      <c r="T699" s="541" t="str">
        <f>A!R644</f>
        <v>x3</v>
      </c>
      <c r="U699" s="541">
        <f>A!S644</f>
        <v>35</v>
      </c>
      <c r="V699" s="541">
        <f>A!T644</f>
        <v>0.125</v>
      </c>
      <c r="W699" s="541">
        <f t="shared" si="306"/>
        <v>0</v>
      </c>
      <c r="X699" s="541"/>
    </row>
    <row r="700" spans="1:24" ht="11.25" customHeight="1" x14ac:dyDescent="0.25">
      <c r="A700" s="121" t="str">
        <f>IF(S700=0,"",COUNTIF(A$23:A699,"&gt;0")+1)</f>
        <v/>
      </c>
      <c r="B700" s="379"/>
      <c r="C700" s="76" t="str">
        <f t="shared" si="307"/>
        <v>x3</v>
      </c>
      <c r="D700" s="98" t="str">
        <f>A!C645</f>
        <v>N. Marliacea Albida</v>
      </c>
      <c r="E700" s="78"/>
      <c r="F700" s="78"/>
      <c r="G700" s="125"/>
      <c r="H700" s="89" t="str">
        <f>A!Q645</f>
        <v xml:space="preserve">snow white flowers twith beautifully fragranted flowers </v>
      </c>
      <c r="I700" s="81"/>
      <c r="J700" s="202"/>
      <c r="K700" s="83">
        <f>IF(A!G645="y",1,0)</f>
        <v>1</v>
      </c>
      <c r="L700" s="83">
        <f>IF(A!H645="y",1,0)</f>
        <v>0</v>
      </c>
      <c r="M700" s="141" t="str">
        <f>IF(A!F642="y","NEW","")</f>
        <v/>
      </c>
      <c r="N700" s="85">
        <f>A!I645</f>
        <v>0</v>
      </c>
      <c r="O700" s="380">
        <f>A!O645</f>
        <v>4</v>
      </c>
      <c r="P700" s="541"/>
      <c r="Q700" s="541" t="str">
        <f>A!E645</f>
        <v>y</v>
      </c>
      <c r="R700" s="541" t="s">
        <v>982</v>
      </c>
      <c r="S700" s="541">
        <f t="shared" si="308"/>
        <v>0</v>
      </c>
      <c r="T700" s="541" t="str">
        <f>A!R645</f>
        <v>x3</v>
      </c>
      <c r="U700" s="541">
        <f>A!S645</f>
        <v>35</v>
      </c>
      <c r="V700" s="541">
        <f>A!T645</f>
        <v>0.125</v>
      </c>
      <c r="W700" s="541">
        <f t="shared" si="306"/>
        <v>0</v>
      </c>
      <c r="X700" s="541"/>
    </row>
    <row r="701" spans="1:24" ht="11.25" customHeight="1" x14ac:dyDescent="0.25">
      <c r="A701" s="121" t="str">
        <f>IF(S701=0,"",COUNTIF(A$23:A700,"&gt;0")+1)</f>
        <v/>
      </c>
      <c r="B701" s="379"/>
      <c r="C701" s="76" t="str">
        <f t="shared" si="307"/>
        <v>x3</v>
      </c>
      <c r="D701" s="98" t="str">
        <f>A!C646</f>
        <v>N. Marliacea Carnea</v>
      </c>
      <c r="E701" s="78"/>
      <c r="F701" s="78"/>
      <c r="G701" s="125"/>
      <c r="H701" s="89" t="str">
        <f>A!Q646</f>
        <v>very pale pink flowers, leaves tinged purple</v>
      </c>
      <c r="I701" s="81"/>
      <c r="J701" s="202"/>
      <c r="K701" s="83">
        <f>IF(A!G646="y",1,0)</f>
        <v>1</v>
      </c>
      <c r="L701" s="83">
        <f>IF(A!H646="y",1,0)</f>
        <v>1</v>
      </c>
      <c r="M701" s="140" t="str">
        <f>IF(A!F646="y","NEW","")</f>
        <v/>
      </c>
      <c r="N701" s="85">
        <f>A!I646</f>
        <v>0</v>
      </c>
      <c r="O701" s="380">
        <f>A!O646</f>
        <v>4</v>
      </c>
      <c r="P701" s="541"/>
      <c r="Q701" s="541" t="str">
        <f>A!E646</f>
        <v>y</v>
      </c>
      <c r="R701" s="541" t="s">
        <v>982</v>
      </c>
      <c r="S701" s="541">
        <f t="shared" si="308"/>
        <v>0</v>
      </c>
      <c r="T701" s="541" t="str">
        <f>A!R646</f>
        <v>x3</v>
      </c>
      <c r="U701" s="541">
        <f>A!S646</f>
        <v>35</v>
      </c>
      <c r="V701" s="541">
        <f>A!T646</f>
        <v>0.125</v>
      </c>
      <c r="W701" s="541">
        <f t="shared" si="306"/>
        <v>0</v>
      </c>
      <c r="X701" s="541"/>
    </row>
    <row r="702" spans="1:24" ht="11.25" customHeight="1" x14ac:dyDescent="0.25">
      <c r="A702" s="121" t="str">
        <f>IF(S702=0,"",COUNTIF(A$23:A701,"&gt;0")+1)</f>
        <v/>
      </c>
      <c r="B702" s="379"/>
      <c r="C702" s="76" t="str">
        <f t="shared" si="307"/>
        <v>x3</v>
      </c>
      <c r="D702" s="98" t="str">
        <f>A!C647</f>
        <v>N. Marliacea Chromatella</v>
      </c>
      <c r="E702" s="78"/>
      <c r="F702" s="78"/>
      <c r="G702" s="125"/>
      <c r="H702" s="89" t="str">
        <f>A!Q647</f>
        <v>yellow petals with green leaves heavily mottles with purple</v>
      </c>
      <c r="I702" s="81"/>
      <c r="J702" s="202"/>
      <c r="K702" s="83">
        <f>IF(A!G647="y",1,0)</f>
        <v>0</v>
      </c>
      <c r="L702" s="83">
        <f>IF(A!H647="y",1,0)</f>
        <v>0</v>
      </c>
      <c r="M702" s="137" t="str">
        <f>IF(A!F647="y","NEW","")</f>
        <v/>
      </c>
      <c r="N702" s="85">
        <f>A!I647</f>
        <v>0</v>
      </c>
      <c r="O702" s="380">
        <f>A!O647</f>
        <v>4</v>
      </c>
      <c r="P702" s="541"/>
      <c r="Q702" s="541" t="str">
        <f>A!E647</f>
        <v>y</v>
      </c>
      <c r="R702" s="541" t="s">
        <v>982</v>
      </c>
      <c r="S702" s="541">
        <f t="shared" si="308"/>
        <v>0</v>
      </c>
      <c r="T702" s="541" t="str">
        <f>A!R647</f>
        <v>x3</v>
      </c>
      <c r="U702" s="541">
        <f>A!S647</f>
        <v>35</v>
      </c>
      <c r="V702" s="541">
        <f>A!T647</f>
        <v>0.125</v>
      </c>
      <c r="W702" s="541">
        <f t="shared" si="306"/>
        <v>0</v>
      </c>
      <c r="X702" s="541"/>
    </row>
    <row r="703" spans="1:24" ht="11.25" customHeight="1" x14ac:dyDescent="0.25">
      <c r="A703" s="121" t="str">
        <f>IF(S703=0,"",COUNTIF(A$23:A702,"&gt;0")+1)</f>
        <v/>
      </c>
      <c r="B703" s="379"/>
      <c r="C703" s="76" t="str">
        <f t="shared" si="307"/>
        <v>x3</v>
      </c>
      <c r="D703" s="98" t="str">
        <f>A!C648</f>
        <v>N. Marliacea Rosea</v>
      </c>
      <c r="E703" s="78"/>
      <c r="F703" s="78"/>
      <c r="G703" s="125"/>
      <c r="H703" s="89" t="str">
        <f>A!Q648</f>
        <v>pale pink blooms and glossy mid-green foliage</v>
      </c>
      <c r="I703" s="81"/>
      <c r="J703" s="202"/>
      <c r="K703" s="83">
        <f>IF(A!G648="y",1,0)</f>
        <v>1</v>
      </c>
      <c r="L703" s="83">
        <f>IF(A!H648="y",1,0)</f>
        <v>0</v>
      </c>
      <c r="M703" s="140" t="str">
        <f>IF(A!F648="y","NEW","")</f>
        <v/>
      </c>
      <c r="N703" s="85">
        <f>A!I648</f>
        <v>0</v>
      </c>
      <c r="O703" s="380">
        <f>A!O648</f>
        <v>4</v>
      </c>
      <c r="P703" s="541"/>
      <c r="Q703" s="541" t="str">
        <f>A!E648</f>
        <v>y</v>
      </c>
      <c r="R703" s="541" t="s">
        <v>982</v>
      </c>
      <c r="S703" s="541">
        <f t="shared" si="308"/>
        <v>0</v>
      </c>
      <c r="T703" s="541" t="str">
        <f>A!R648</f>
        <v>x3</v>
      </c>
      <c r="U703" s="541">
        <f>A!S648</f>
        <v>35</v>
      </c>
      <c r="V703" s="541">
        <f>A!T648</f>
        <v>0.125</v>
      </c>
      <c r="W703" s="541">
        <f t="shared" si="306"/>
        <v>0</v>
      </c>
      <c r="X703" s="541"/>
    </row>
    <row r="704" spans="1:24" ht="11.25" hidden="1" customHeight="1" x14ac:dyDescent="0.25">
      <c r="A704" s="121" t="str">
        <f>IF(S704=0,"",COUNTIF(A$23:A703,"&gt;0")+1)</f>
        <v/>
      </c>
      <c r="B704" s="379"/>
      <c r="C704" s="76" t="str">
        <f t="shared" si="307"/>
        <v>x3</v>
      </c>
      <c r="D704" s="98" t="str">
        <f>A!C649</f>
        <v>N. Masaniello</v>
      </c>
      <c r="E704" s="78"/>
      <c r="F704" s="78"/>
      <c r="G704" s="125"/>
      <c r="H704" s="89" t="str">
        <f>A!Q649</f>
        <v>tidy cup shaped pink/red blooms</v>
      </c>
      <c r="I704" s="81"/>
      <c r="J704" s="202"/>
      <c r="K704" s="83">
        <f>IF(A!G649="y",1,0)</f>
        <v>0</v>
      </c>
      <c r="L704" s="83">
        <f>IF(A!H649="y",1,0)</f>
        <v>0</v>
      </c>
      <c r="M704" s="136" t="str">
        <f>IF(A!F649="y","NEW","")</f>
        <v/>
      </c>
      <c r="N704" s="85">
        <f>A!I649</f>
        <v>0</v>
      </c>
      <c r="O704" s="380">
        <f>A!O649</f>
        <v>4</v>
      </c>
      <c r="P704" s="541"/>
      <c r="Q704" s="541">
        <f>A!E649</f>
        <v>0</v>
      </c>
      <c r="R704" s="541" t="s">
        <v>982</v>
      </c>
      <c r="S704" s="541">
        <f t="shared" si="308"/>
        <v>0</v>
      </c>
      <c r="T704" s="541" t="str">
        <f>A!R649</f>
        <v>x3</v>
      </c>
      <c r="U704" s="541">
        <f>A!S649</f>
        <v>35</v>
      </c>
      <c r="V704" s="541">
        <f>A!T649</f>
        <v>0.125</v>
      </c>
      <c r="W704" s="541">
        <f t="shared" si="306"/>
        <v>0</v>
      </c>
      <c r="X704" s="541"/>
    </row>
    <row r="705" spans="1:24" ht="11.25" hidden="1" customHeight="1" x14ac:dyDescent="0.25">
      <c r="A705" s="121" t="str">
        <f>IF(S705=0,"",COUNTIF(A$23:A704,"&gt;0")+1)</f>
        <v/>
      </c>
      <c r="B705" s="379"/>
      <c r="C705" s="76" t="str">
        <f t="shared" si="307"/>
        <v>x3</v>
      </c>
      <c r="D705" s="98" t="str">
        <f>A!C650</f>
        <v>N. Mayla</v>
      </c>
      <c r="E705" s="78"/>
      <c r="F705" s="78"/>
      <c r="G705" s="125"/>
      <c r="H705" s="89">
        <f>A!Q650</f>
        <v>0</v>
      </c>
      <c r="I705" s="81"/>
      <c r="J705" s="202"/>
      <c r="K705" s="83">
        <f>IF(A!G650="y",1,0)</f>
        <v>0</v>
      </c>
      <c r="L705" s="83">
        <f>IF(A!H650="y",1,0)</f>
        <v>0</v>
      </c>
      <c r="M705" s="84" t="str">
        <f>IF(A!F650="y","NEW","")</f>
        <v/>
      </c>
      <c r="N705" s="85">
        <f>A!I650</f>
        <v>0</v>
      </c>
      <c r="O705" s="380">
        <f>A!O650</f>
        <v>4</v>
      </c>
      <c r="P705" s="541"/>
      <c r="Q705" s="541">
        <f>A!E650</f>
        <v>0</v>
      </c>
      <c r="R705" s="541" t="s">
        <v>982</v>
      </c>
      <c r="S705" s="541">
        <f t="shared" si="308"/>
        <v>0</v>
      </c>
      <c r="T705" s="541" t="str">
        <f>A!R650</f>
        <v>x3</v>
      </c>
      <c r="U705" s="541">
        <f>A!S650</f>
        <v>35</v>
      </c>
      <c r="V705" s="541">
        <f>A!T650</f>
        <v>0.125</v>
      </c>
      <c r="W705" s="541">
        <f t="shared" si="306"/>
        <v>0</v>
      </c>
      <c r="X705" s="541"/>
    </row>
    <row r="706" spans="1:24" ht="11.25" hidden="1" customHeight="1" x14ac:dyDescent="0.25">
      <c r="A706" s="121" t="str">
        <f>IF(S706=0,"",COUNTIF(A$23:A705,"&gt;0")+1)</f>
        <v/>
      </c>
      <c r="B706" s="379"/>
      <c r="C706" s="76" t="str">
        <f t="shared" si="307"/>
        <v>x3</v>
      </c>
      <c r="D706" s="98" t="str">
        <f>A!C651</f>
        <v>N. Moorei</v>
      </c>
      <c r="E706" s="78"/>
      <c r="F706" s="78"/>
      <c r="G706" s="125"/>
      <c r="H706" s="89" t="str">
        <f>A!Q651</f>
        <v>rich yellow flowers with golden stamens, leaves are green with maroon blotches</v>
      </c>
      <c r="I706" s="81"/>
      <c r="J706" s="202"/>
      <c r="K706" s="83">
        <f>IF(A!G651="y",1,0)</f>
        <v>0</v>
      </c>
      <c r="L706" s="83">
        <f>IF(A!H651="y",1,0)</f>
        <v>0</v>
      </c>
      <c r="M706" s="137" t="str">
        <f>IF(A!F651="y","NEW","")</f>
        <v/>
      </c>
      <c r="N706" s="85">
        <f>A!I651</f>
        <v>0</v>
      </c>
      <c r="O706" s="380">
        <f>A!O651</f>
        <v>4</v>
      </c>
      <c r="P706" s="541"/>
      <c r="Q706" s="541">
        <f>A!E651</f>
        <v>0</v>
      </c>
      <c r="R706" s="541" t="s">
        <v>982</v>
      </c>
      <c r="S706" s="541">
        <f t="shared" si="308"/>
        <v>0</v>
      </c>
      <c r="T706" s="541" t="str">
        <f>A!R651</f>
        <v>x3</v>
      </c>
      <c r="U706" s="541">
        <f>A!S651</f>
        <v>35</v>
      </c>
      <c r="V706" s="541">
        <f>A!T651</f>
        <v>0.125</v>
      </c>
      <c r="W706" s="541">
        <f t="shared" si="306"/>
        <v>0</v>
      </c>
      <c r="X706" s="541"/>
    </row>
    <row r="707" spans="1:24" ht="11.25" hidden="1" customHeight="1" x14ac:dyDescent="0.25">
      <c r="A707" s="121" t="str">
        <f>IF(S707=0,"",COUNTIF(A$23:A706,"&gt;0")+1)</f>
        <v/>
      </c>
      <c r="B707" s="379"/>
      <c r="C707" s="76" t="str">
        <f t="shared" si="307"/>
        <v>x3</v>
      </c>
      <c r="D707" s="98" t="str">
        <f>A!C652</f>
        <v>N. Mrs Richmond</v>
      </c>
      <c r="E707" s="78"/>
      <c r="F707" s="78"/>
      <c r="G707" s="125"/>
      <c r="H707" s="89" t="str">
        <f>A!Q652</f>
        <v>deep pink flowers with prolific foliage</v>
      </c>
      <c r="I707" s="81"/>
      <c r="J707" s="202"/>
      <c r="K707" s="83">
        <f>IF(A!G652="y",1,0)</f>
        <v>0</v>
      </c>
      <c r="L707" s="83">
        <f>IF(A!H652="y",1,0)</f>
        <v>0</v>
      </c>
      <c r="M707" s="140" t="str">
        <f>IF(A!F652="y","NEW","")</f>
        <v/>
      </c>
      <c r="N707" s="85">
        <f>A!I652</f>
        <v>0</v>
      </c>
      <c r="O707" s="380">
        <f>A!O652</f>
        <v>4</v>
      </c>
      <c r="P707" s="541"/>
      <c r="Q707" s="541">
        <f>A!E652</f>
        <v>0</v>
      </c>
      <c r="R707" s="541" t="s">
        <v>982</v>
      </c>
      <c r="S707" s="541">
        <f t="shared" si="308"/>
        <v>0</v>
      </c>
      <c r="T707" s="541" t="str">
        <f>A!R652</f>
        <v>x3</v>
      </c>
      <c r="U707" s="541">
        <f>A!S652</f>
        <v>35</v>
      </c>
      <c r="V707" s="541">
        <f>A!T652</f>
        <v>0.125</v>
      </c>
      <c r="W707" s="541">
        <f t="shared" si="306"/>
        <v>0</v>
      </c>
      <c r="X707" s="541"/>
    </row>
    <row r="708" spans="1:24" ht="11.25" hidden="1" customHeight="1" x14ac:dyDescent="0.25">
      <c r="A708" s="121" t="str">
        <f>IF(S708=0,"",COUNTIF(A$23:A707,"&gt;0")+1)</f>
        <v/>
      </c>
      <c r="B708" s="379"/>
      <c r="C708" s="76" t="str">
        <f t="shared" si="307"/>
        <v>x3</v>
      </c>
      <c r="D708" s="98" t="str">
        <f>A!C653</f>
        <v>N. Odorata Alba</v>
      </c>
      <c r="E708" s="78"/>
      <c r="F708" s="78"/>
      <c r="G708" s="125"/>
      <c r="H708" s="89">
        <f>A!Q653</f>
        <v>0</v>
      </c>
      <c r="I708" s="81"/>
      <c r="J708" s="202"/>
      <c r="K708" s="83">
        <f>IF(A!G653="y",1,0)</f>
        <v>0</v>
      </c>
      <c r="L708" s="83">
        <f>IF(A!H653="y",1,0)</f>
        <v>0</v>
      </c>
      <c r="M708" s="84" t="str">
        <f>IF(A!F653="y","NEW","")</f>
        <v/>
      </c>
      <c r="N708" s="85">
        <f>A!I653</f>
        <v>0</v>
      </c>
      <c r="O708" s="380">
        <f>A!O653</f>
        <v>4</v>
      </c>
      <c r="P708" s="541"/>
      <c r="Q708" s="541">
        <f>A!E653</f>
        <v>0</v>
      </c>
      <c r="R708" s="541" t="s">
        <v>982</v>
      </c>
      <c r="S708" s="541">
        <f t="shared" si="308"/>
        <v>0</v>
      </c>
      <c r="T708" s="541" t="str">
        <f>A!R653</f>
        <v>x3</v>
      </c>
      <c r="U708" s="541">
        <f>A!S653</f>
        <v>35</v>
      </c>
      <c r="V708" s="541">
        <f>A!T653</f>
        <v>0.125</v>
      </c>
      <c r="W708" s="541">
        <f t="shared" si="306"/>
        <v>0</v>
      </c>
      <c r="X708" s="541"/>
    </row>
    <row r="709" spans="1:24" ht="11.25" hidden="1" customHeight="1" x14ac:dyDescent="0.25">
      <c r="A709" s="121" t="str">
        <f>IF(S709=0,"",COUNTIF(A$23:A708,"&gt;0")+1)</f>
        <v/>
      </c>
      <c r="B709" s="379"/>
      <c r="C709" s="76" t="str">
        <f t="shared" si="307"/>
        <v>x3</v>
      </c>
      <c r="D709" s="98" t="str">
        <f>A!C654</f>
        <v>N. Odorata Sulphurea</v>
      </c>
      <c r="E709" s="78"/>
      <c r="F709" s="78"/>
      <c r="G709" s="125"/>
      <c r="H709" s="89">
        <f>A!Q654</f>
        <v>0</v>
      </c>
      <c r="I709" s="81"/>
      <c r="J709" s="202"/>
      <c r="K709" s="83">
        <f>IF(A!G654="y",1,0)</f>
        <v>0</v>
      </c>
      <c r="L709" s="83">
        <f>IF(A!H654="y",1,0)</f>
        <v>0</v>
      </c>
      <c r="M709" s="84" t="str">
        <f>IF(A!F654="y","NEW","")</f>
        <v/>
      </c>
      <c r="N709" s="85">
        <f>A!I654</f>
        <v>0</v>
      </c>
      <c r="O709" s="380">
        <f>A!O654</f>
        <v>4</v>
      </c>
      <c r="P709" s="541"/>
      <c r="Q709" s="541">
        <f>A!E654</f>
        <v>0</v>
      </c>
      <c r="R709" s="541" t="s">
        <v>982</v>
      </c>
      <c r="S709" s="541">
        <f t="shared" si="308"/>
        <v>0</v>
      </c>
      <c r="T709" s="541" t="str">
        <f>A!R654</f>
        <v>x3</v>
      </c>
      <c r="U709" s="541">
        <f>A!S654</f>
        <v>35</v>
      </c>
      <c r="V709" s="541">
        <f>A!T654</f>
        <v>0.125</v>
      </c>
      <c r="W709" s="541">
        <f t="shared" si="306"/>
        <v>0</v>
      </c>
      <c r="X709" s="541"/>
    </row>
    <row r="710" spans="1:24" ht="11.25" hidden="1" customHeight="1" x14ac:dyDescent="0.25">
      <c r="A710" s="121" t="str">
        <f>IF(S710=0,"",COUNTIF(A$23:A709,"&gt;0")+1)</f>
        <v/>
      </c>
      <c r="B710" s="379"/>
      <c r="C710" s="76" t="str">
        <f t="shared" si="307"/>
        <v>x3</v>
      </c>
      <c r="D710" s="98" t="str">
        <f>A!C655</f>
        <v>N. Purple Joy - Tropical</v>
      </c>
      <c r="E710" s="78"/>
      <c r="F710" s="78"/>
      <c r="G710" s="125"/>
      <c r="H710" s="89" t="str">
        <f>A!Q655</f>
        <v>beautifully bicoloured, purple  and white petals with a yellow centre</v>
      </c>
      <c r="I710" s="81"/>
      <c r="J710" s="202"/>
      <c r="K710" s="83">
        <f>IF(A!G655="y",1,0)</f>
        <v>0</v>
      </c>
      <c r="L710" s="83">
        <f>IF(A!H655="y",1,0)</f>
        <v>0</v>
      </c>
      <c r="M710" s="142" t="str">
        <f>IF(A!F655="y","NEW","")</f>
        <v/>
      </c>
      <c r="N710" s="85">
        <f>A!I655</f>
        <v>0</v>
      </c>
      <c r="O710" s="380">
        <f>A!O655</f>
        <v>0</v>
      </c>
      <c r="P710" s="541"/>
      <c r="Q710" s="541">
        <f>A!E655</f>
        <v>0</v>
      </c>
      <c r="R710" s="541" t="s">
        <v>982</v>
      </c>
      <c r="S710" s="541">
        <f t="shared" si="308"/>
        <v>0</v>
      </c>
      <c r="T710" s="541" t="str">
        <f>A!R655</f>
        <v>x3</v>
      </c>
      <c r="U710" s="541">
        <f>A!S655</f>
        <v>35</v>
      </c>
      <c r="V710" s="541">
        <f>A!T655</f>
        <v>0.125</v>
      </c>
      <c r="W710" s="541">
        <f t="shared" si="306"/>
        <v>0</v>
      </c>
      <c r="X710" s="541"/>
    </row>
    <row r="711" spans="1:24" ht="11.25" hidden="1" customHeight="1" x14ac:dyDescent="0.25">
      <c r="A711" s="121" t="str">
        <f>IF(S711=0,"",COUNTIF(A$23:A710,"&gt;0")+1)</f>
        <v/>
      </c>
      <c r="B711" s="379"/>
      <c r="C711" s="76" t="str">
        <f t="shared" si="307"/>
        <v>x3</v>
      </c>
      <c r="D711" s="98" t="str">
        <f>A!C656</f>
        <v>N. Rene Gerard</v>
      </c>
      <c r="E711" s="78"/>
      <c r="F711" s="78"/>
      <c r="G711" s="125"/>
      <c r="H711" s="89" t="str">
        <f>A!Q656</f>
        <v>pretty, rich red blooms with bright green leaves</v>
      </c>
      <c r="I711" s="81"/>
      <c r="J711" s="202"/>
      <c r="K711" s="83">
        <f>IF(A!G656="y",1,0)</f>
        <v>0</v>
      </c>
      <c r="L711" s="83">
        <f>IF(A!H656="y",1,0)</f>
        <v>0</v>
      </c>
      <c r="M711" s="136" t="str">
        <f>IF(A!F656="y","NEW","")</f>
        <v/>
      </c>
      <c r="N711" s="85">
        <f>A!I656</f>
        <v>0</v>
      </c>
      <c r="O711" s="380">
        <f>A!O656</f>
        <v>4</v>
      </c>
      <c r="P711" s="541"/>
      <c r="Q711" s="541">
        <f>A!E656</f>
        <v>0</v>
      </c>
      <c r="R711" s="541" t="s">
        <v>982</v>
      </c>
      <c r="S711" s="541">
        <f t="shared" si="308"/>
        <v>0</v>
      </c>
      <c r="T711" s="541" t="str">
        <f>A!R656</f>
        <v>x3</v>
      </c>
      <c r="U711" s="541">
        <f>A!S656</f>
        <v>35</v>
      </c>
      <c r="V711" s="541">
        <f>A!T656</f>
        <v>0.125</v>
      </c>
      <c r="W711" s="541">
        <f t="shared" si="306"/>
        <v>0</v>
      </c>
      <c r="X711" s="541"/>
    </row>
    <row r="712" spans="1:24" ht="11.25" hidden="1" customHeight="1" x14ac:dyDescent="0.25">
      <c r="A712" s="121" t="str">
        <f>IF(S712=0,"",COUNTIF(A$23:A711,"&gt;0")+1)</f>
        <v/>
      </c>
      <c r="B712" s="379"/>
      <c r="C712" s="76" t="str">
        <f t="shared" si="307"/>
        <v>x3</v>
      </c>
      <c r="D712" s="98" t="str">
        <f>A!C657</f>
        <v>N. Rose Arey</v>
      </c>
      <c r="E712" s="78"/>
      <c r="F712" s="78"/>
      <c r="G712" s="125"/>
      <c r="H712" s="89">
        <f>A!Q657</f>
        <v>0</v>
      </c>
      <c r="I712" s="81"/>
      <c r="J712" s="202"/>
      <c r="K712" s="83">
        <f>IF(A!G657="y",1,0)</f>
        <v>0</v>
      </c>
      <c r="L712" s="83">
        <f>IF(A!H657="y",1,0)</f>
        <v>0</v>
      </c>
      <c r="M712" s="84" t="str">
        <f>IF(A!F657="y","NEW","")</f>
        <v/>
      </c>
      <c r="N712" s="85">
        <f>A!I657</f>
        <v>0</v>
      </c>
      <c r="O712" s="380">
        <f>A!O657</f>
        <v>4</v>
      </c>
      <c r="P712" s="541"/>
      <c r="Q712" s="541">
        <f>A!E657</f>
        <v>0</v>
      </c>
      <c r="R712" s="541" t="s">
        <v>982</v>
      </c>
      <c r="S712" s="541">
        <f t="shared" si="308"/>
        <v>0</v>
      </c>
      <c r="T712" s="541" t="str">
        <f>A!R657</f>
        <v>x3</v>
      </c>
      <c r="U712" s="541">
        <f>A!S657</f>
        <v>35</v>
      </c>
      <c r="V712" s="541">
        <f>A!T657</f>
        <v>0.125</v>
      </c>
      <c r="W712" s="541">
        <f t="shared" si="306"/>
        <v>0</v>
      </c>
      <c r="X712" s="541"/>
    </row>
    <row r="713" spans="1:24" ht="11.25" hidden="1" customHeight="1" x14ac:dyDescent="0.25">
      <c r="A713" s="121" t="str">
        <f>IF(S713=0,"",COUNTIF(A$23:A712,"&gt;0")+1)</f>
        <v/>
      </c>
      <c r="B713" s="379"/>
      <c r="C713" s="76" t="str">
        <f t="shared" si="307"/>
        <v>x3</v>
      </c>
      <c r="D713" s="98" t="str">
        <f>A!C658</f>
        <v>N. Rose Nymphe</v>
      </c>
      <c r="E713" s="78"/>
      <c r="F713" s="78"/>
      <c r="G713" s="125"/>
      <c r="H713" s="89" t="str">
        <f>A!Q658</f>
        <v>flowers are a pale waxy-pink with long outer petals, leaves are deep green</v>
      </c>
      <c r="I713" s="81"/>
      <c r="J713" s="202"/>
      <c r="K713" s="83">
        <f>IF(A!G658="y",1,0)</f>
        <v>0</v>
      </c>
      <c r="L713" s="83">
        <f>IF(A!H658="y",1,0)</f>
        <v>0</v>
      </c>
      <c r="M713" s="140" t="str">
        <f>IF(A!F658="y","NEW","")</f>
        <v/>
      </c>
      <c r="N713" s="85">
        <f>A!I658</f>
        <v>0</v>
      </c>
      <c r="O713" s="380">
        <f>A!O658</f>
        <v>4</v>
      </c>
      <c r="P713" s="541"/>
      <c r="Q713" s="541">
        <f>A!E658</f>
        <v>0</v>
      </c>
      <c r="R713" s="541" t="s">
        <v>982</v>
      </c>
      <c r="S713" s="541">
        <f t="shared" si="308"/>
        <v>0</v>
      </c>
      <c r="T713" s="541" t="str">
        <f>A!R658</f>
        <v>x3</v>
      </c>
      <c r="U713" s="541">
        <f>A!S658</f>
        <v>35</v>
      </c>
      <c r="V713" s="541">
        <f>A!T658</f>
        <v>0.125</v>
      </c>
      <c r="W713" s="541">
        <f t="shared" si="306"/>
        <v>0</v>
      </c>
      <c r="X713" s="541"/>
    </row>
    <row r="714" spans="1:24" ht="12" hidden="1" customHeight="1" x14ac:dyDescent="0.25">
      <c r="A714" s="121" t="str">
        <f>IF(S714=0,"",COUNTIF(A$23:A713,"&gt;0")+1)</f>
        <v/>
      </c>
      <c r="B714" s="377"/>
      <c r="C714" s="128" t="str">
        <f t="shared" ref="C714:C717" si="311">T714</f>
        <v>x3</v>
      </c>
      <c r="D714" s="119" t="str">
        <f>A!C659</f>
        <v>N. Sioux</v>
      </c>
      <c r="E714" s="113"/>
      <c r="F714" s="113"/>
      <c r="G714" s="278"/>
      <c r="H714" s="129">
        <f>A!Q659</f>
        <v>0</v>
      </c>
      <c r="I714" s="116"/>
      <c r="J714" s="203"/>
      <c r="K714" s="131">
        <f>IF(A!G659="y",1,0)</f>
        <v>0</v>
      </c>
      <c r="L714" s="131">
        <f>IF(A!H659="y",1,0)</f>
        <v>0</v>
      </c>
      <c r="M714" s="132" t="str">
        <f>IF(A!F659="y","NEW","")</f>
        <v/>
      </c>
      <c r="N714" s="133">
        <f>A!I659</f>
        <v>0</v>
      </c>
      <c r="O714" s="378">
        <f>A!O659</f>
        <v>4</v>
      </c>
      <c r="P714" s="541"/>
      <c r="Q714" s="541">
        <f>A!E659</f>
        <v>0</v>
      </c>
      <c r="R714" s="541" t="s">
        <v>982</v>
      </c>
      <c r="S714" s="541">
        <f t="shared" ref="S714:S717" si="312">B714</f>
        <v>0</v>
      </c>
      <c r="T714" s="541" t="str">
        <f>A!R659</f>
        <v>x3</v>
      </c>
      <c r="U714" s="541">
        <f>A!S659</f>
        <v>35</v>
      </c>
      <c r="V714" s="541">
        <f>A!T659</f>
        <v>0.125</v>
      </c>
      <c r="W714" s="541">
        <f t="shared" si="306"/>
        <v>0</v>
      </c>
      <c r="X714" s="541"/>
    </row>
    <row r="715" spans="1:24" ht="12" hidden="1" customHeight="1" x14ac:dyDescent="0.25">
      <c r="A715" s="121" t="str">
        <f>IF(S715=0,"",COUNTIF(A$23:A714,"&gt;0")+1)</f>
        <v/>
      </c>
      <c r="B715" s="379"/>
      <c r="C715" s="76" t="str">
        <f t="shared" ref="C715" si="313">T715</f>
        <v>x3</v>
      </c>
      <c r="D715" s="98" t="str">
        <f>A!C660</f>
        <v>N. Sunrise</v>
      </c>
      <c r="E715" s="78"/>
      <c r="F715" s="78"/>
      <c r="G715" s="125"/>
      <c r="H715" s="89" t="str">
        <f>A!Q660</f>
        <v>Extra large stellate shaped yellow blooms</v>
      </c>
      <c r="I715" s="81"/>
      <c r="J715" s="202"/>
      <c r="K715" s="83">
        <f>IF(A!G660="y",1,0)</f>
        <v>0</v>
      </c>
      <c r="L715" s="83">
        <f>IF(A!H660="y",1,0)</f>
        <v>0</v>
      </c>
      <c r="M715" s="84" t="str">
        <f>IF(A!F660="y","NEW","")</f>
        <v/>
      </c>
      <c r="N715" s="85">
        <f>A!I660</f>
        <v>0</v>
      </c>
      <c r="O715" s="380">
        <f>A!O660</f>
        <v>4</v>
      </c>
      <c r="P715" s="541"/>
      <c r="Q715" s="541">
        <f>A!E660</f>
        <v>0</v>
      </c>
      <c r="R715" s="541" t="s">
        <v>982</v>
      </c>
      <c r="S715" s="541">
        <f t="shared" ref="S715" si="314">B715</f>
        <v>0</v>
      </c>
      <c r="T715" s="541" t="str">
        <f>A!R660</f>
        <v>x3</v>
      </c>
      <c r="U715" s="541">
        <f>A!S660</f>
        <v>35</v>
      </c>
      <c r="V715" s="541">
        <f>A!T660</f>
        <v>0.125</v>
      </c>
      <c r="W715" s="541">
        <f t="shared" si="306"/>
        <v>0</v>
      </c>
      <c r="X715" s="541"/>
    </row>
    <row r="716" spans="1:24" ht="12" hidden="1" customHeight="1" x14ac:dyDescent="0.25">
      <c r="A716" s="121" t="str">
        <f>IF(S716=0,"",COUNTIF(A$23:A715,"&gt;0")+1)</f>
        <v/>
      </c>
      <c r="B716" s="379"/>
      <c r="C716" s="76" t="str">
        <f t="shared" si="311"/>
        <v>x3</v>
      </c>
      <c r="D716" s="98" t="str">
        <f>A!C661</f>
        <v>N. Viginalis</v>
      </c>
      <c r="E716" s="78"/>
      <c r="F716" s="78"/>
      <c r="G716" s="125"/>
      <c r="H716" s="89">
        <f>A!Q661</f>
        <v>0</v>
      </c>
      <c r="I716" s="81"/>
      <c r="J716" s="202"/>
      <c r="K716" s="83">
        <f>IF(A!G661="y",1,0)</f>
        <v>0</v>
      </c>
      <c r="L716" s="83">
        <f>IF(A!H661="y",1,0)</f>
        <v>0</v>
      </c>
      <c r="M716" s="84" t="str">
        <f>IF(A!F661="y","NEW","")</f>
        <v/>
      </c>
      <c r="N716" s="85">
        <f>A!I661</f>
        <v>0</v>
      </c>
      <c r="O716" s="380">
        <f>A!O661</f>
        <v>4</v>
      </c>
      <c r="P716" s="541"/>
      <c r="Q716" s="541">
        <f>A!E661</f>
        <v>0</v>
      </c>
      <c r="R716" s="541" t="s">
        <v>982</v>
      </c>
      <c r="S716" s="541">
        <f t="shared" si="312"/>
        <v>0</v>
      </c>
      <c r="T716" s="541" t="str">
        <f>A!R661</f>
        <v>x3</v>
      </c>
      <c r="U716" s="541">
        <f>A!S661</f>
        <v>35</v>
      </c>
      <c r="V716" s="541">
        <f>A!T661</f>
        <v>0.125</v>
      </c>
      <c r="W716" s="541">
        <f t="shared" si="306"/>
        <v>0</v>
      </c>
      <c r="X716" s="541"/>
    </row>
    <row r="717" spans="1:24" ht="12" customHeight="1" x14ac:dyDescent="0.25">
      <c r="A717" s="121" t="str">
        <f>IF(S717=0,"",COUNTIF(A$23:A716,"&gt;0")+1)</f>
        <v/>
      </c>
      <c r="B717" s="379"/>
      <c r="C717" s="76" t="str">
        <f t="shared" si="311"/>
        <v>x3</v>
      </c>
      <c r="D717" s="98" t="str">
        <f>A!C662</f>
        <v>N. Wanvisa</v>
      </c>
      <c r="E717" s="78"/>
      <c r="F717" s="78"/>
      <c r="G717" s="125"/>
      <c r="H717" s="89" t="str">
        <f>A!Q662</f>
        <v>strong orange-pink with stable yellowish speckles on the petals.</v>
      </c>
      <c r="I717" s="81"/>
      <c r="J717" s="202"/>
      <c r="K717" s="83">
        <f>IF(A!G662="y",1,0)</f>
        <v>1</v>
      </c>
      <c r="L717" s="83">
        <f>IF(A!H662="y",1,0)</f>
        <v>0</v>
      </c>
      <c r="M717" s="143" t="str">
        <f>IF(A!F662="y","NEW","")</f>
        <v/>
      </c>
      <c r="N717" s="163"/>
      <c r="O717" s="380">
        <f>A!O662</f>
        <v>4</v>
      </c>
      <c r="P717" s="541"/>
      <c r="Q717" s="541" t="str">
        <f>A!E662</f>
        <v>y</v>
      </c>
      <c r="R717" s="541" t="s">
        <v>982</v>
      </c>
      <c r="S717" s="541">
        <f t="shared" si="312"/>
        <v>0</v>
      </c>
      <c r="T717" s="541" t="str">
        <f>A!R662</f>
        <v>x3</v>
      </c>
      <c r="U717" s="541">
        <f>A!S662</f>
        <v>35</v>
      </c>
      <c r="V717" s="541">
        <f>A!T662</f>
        <v>0.125</v>
      </c>
      <c r="W717" s="541">
        <f t="shared" si="306"/>
        <v>0</v>
      </c>
      <c r="X717" s="541"/>
    </row>
    <row r="718" spans="1:24" ht="12" hidden="1" customHeight="1" x14ac:dyDescent="0.25">
      <c r="A718" s="121" t="str">
        <f>IF(S718=0,"",COUNTIF(A$23:A717,"&gt;0")+1)</f>
        <v/>
      </c>
      <c r="B718" s="379"/>
      <c r="C718" s="76" t="str">
        <f t="shared" ref="C718" si="315">T718</f>
        <v>x3</v>
      </c>
      <c r="D718" s="98" t="str">
        <f>A!C663</f>
        <v>Tropical Blue</v>
      </c>
      <c r="E718" s="78"/>
      <c r="F718" s="78"/>
      <c r="G718" s="125"/>
      <c r="H718" s="89">
        <f>A!Q663</f>
        <v>0</v>
      </c>
      <c r="I718" s="81"/>
      <c r="J718" s="202"/>
      <c r="K718" s="83">
        <f>IF(A!G663="y",1,0)</f>
        <v>0</v>
      </c>
      <c r="L718" s="83">
        <f>IF(A!H663="y",1,0)</f>
        <v>0</v>
      </c>
      <c r="M718" s="143" t="str">
        <f>IF(A!F663="y","NEW","")</f>
        <v/>
      </c>
      <c r="N718" s="163"/>
      <c r="O718" s="380">
        <f>A!O663</f>
        <v>4</v>
      </c>
      <c r="P718" s="541"/>
      <c r="Q718" s="541">
        <f>A!E663</f>
        <v>0</v>
      </c>
      <c r="R718" s="541" t="s">
        <v>982</v>
      </c>
      <c r="S718" s="541">
        <f t="shared" ref="S718" si="316">B718</f>
        <v>0</v>
      </c>
      <c r="T718" s="541" t="str">
        <f>A!R663</f>
        <v>x3</v>
      </c>
      <c r="U718" s="541">
        <f>A!S663</f>
        <v>35</v>
      </c>
      <c r="V718" s="541">
        <f>A!T663</f>
        <v>0.125</v>
      </c>
      <c r="W718" s="541">
        <f t="shared" si="306"/>
        <v>0</v>
      </c>
      <c r="X718" s="541"/>
    </row>
    <row r="719" spans="1:24" ht="12" hidden="1" customHeight="1" x14ac:dyDescent="0.25">
      <c r="A719" s="121" t="str">
        <f>IF(S719=0,"",COUNTIF(A$23:A718,"&gt;0")+1)</f>
        <v/>
      </c>
      <c r="B719" s="379"/>
      <c r="C719" s="76" t="str">
        <f t="shared" ref="C719" si="317">T719</f>
        <v>x3</v>
      </c>
      <c r="D719" s="98" t="str">
        <f>A!C664</f>
        <v>N. Yellow Bangpra</v>
      </c>
      <c r="E719" s="78"/>
      <c r="F719" s="78"/>
      <c r="G719" s="125"/>
      <c r="H719" s="89" t="str">
        <f>A!Q664</f>
        <v>Stunning yellow stamens with purple mottled leaves</v>
      </c>
      <c r="I719" s="81"/>
      <c r="J719" s="202"/>
      <c r="K719" s="83">
        <f>IF(A!G664="y",1,0)</f>
        <v>0</v>
      </c>
      <c r="L719" s="83">
        <f>IF(A!H664="y",1,0)</f>
        <v>0</v>
      </c>
      <c r="M719" s="143" t="str">
        <f>IF(A!F664="y","NEW","")</f>
        <v/>
      </c>
      <c r="N719" s="163"/>
      <c r="O719" s="380">
        <f>A!O664</f>
        <v>4</v>
      </c>
      <c r="P719" s="541"/>
      <c r="Q719" s="541">
        <f>A!E664</f>
        <v>0</v>
      </c>
      <c r="R719" s="541" t="s">
        <v>982</v>
      </c>
      <c r="S719" s="541">
        <f t="shared" ref="S719" si="318">B719</f>
        <v>0</v>
      </c>
      <c r="T719" s="541" t="str">
        <f>A!R664</f>
        <v>x3</v>
      </c>
      <c r="U719" s="541">
        <f>A!S664</f>
        <v>35</v>
      </c>
      <c r="V719" s="541">
        <f>A!T664</f>
        <v>0.125</v>
      </c>
      <c r="W719" s="541">
        <f t="shared" si="306"/>
        <v>0</v>
      </c>
      <c r="X719" s="541"/>
    </row>
    <row r="720" spans="1:24" ht="12" customHeight="1" thickBot="1" x14ac:dyDescent="0.3">
      <c r="A720" s="121" t="str">
        <f>IF(S720=0,"",COUNTIF(A$23:A719,"&gt;0")+1)</f>
        <v/>
      </c>
      <c r="B720" s="382"/>
      <c r="C720" s="383" t="str">
        <f t="shared" ref="C720" si="319">T720</f>
        <v>x3</v>
      </c>
      <c r="D720" s="384" t="str">
        <f>A!C665</f>
        <v>N. Almost Black</v>
      </c>
      <c r="E720" s="385"/>
      <c r="F720" s="385"/>
      <c r="G720" s="386"/>
      <c r="H720" s="388" t="str">
        <f>A!Q665</f>
        <v>very free flowering, dark blood-red blooms, one of the darkest reds</v>
      </c>
      <c r="I720" s="414"/>
      <c r="J720" s="402"/>
      <c r="K720" s="403">
        <f>IF(A!G665="y",1,0)</f>
        <v>0</v>
      </c>
      <c r="L720" s="403">
        <f>IF(A!H665="y",1,0)</f>
        <v>0</v>
      </c>
      <c r="M720" s="581" t="str">
        <f>IF(A!F665="y","NEW","")</f>
        <v/>
      </c>
      <c r="N720" s="411"/>
      <c r="O720" s="390">
        <f>A!O665</f>
        <v>4</v>
      </c>
      <c r="P720" s="541"/>
      <c r="Q720" s="541" t="str">
        <f>A!E665</f>
        <v>y</v>
      </c>
      <c r="R720" s="541" t="s">
        <v>982</v>
      </c>
      <c r="S720" s="541">
        <f t="shared" ref="S720" si="320">B720</f>
        <v>0</v>
      </c>
      <c r="T720" s="541" t="str">
        <f>A!R665</f>
        <v>x3</v>
      </c>
      <c r="U720" s="541">
        <f>A!S665</f>
        <v>35</v>
      </c>
      <c r="V720" s="541">
        <f>A!T665</f>
        <v>0.125</v>
      </c>
      <c r="W720" s="541">
        <f t="shared" si="306"/>
        <v>0</v>
      </c>
      <c r="X720" s="541"/>
    </row>
    <row r="721" spans="1:24" ht="11.25" customHeight="1" x14ac:dyDescent="0.25">
      <c r="A721" s="121" t="str">
        <f>IF(S721=0,"",COUNTIF(A$23:A720,"&gt;0")+1)</f>
        <v/>
      </c>
      <c r="B721" s="490">
        <f>SUM(B675:B720)</f>
        <v>0</v>
      </c>
      <c r="C721" s="490"/>
      <c r="D721" s="491" t="s">
        <v>981</v>
      </c>
      <c r="E721" s="492"/>
      <c r="F721" s="492"/>
      <c r="G721" s="492"/>
      <c r="H721" s="492"/>
      <c r="I721" s="492"/>
      <c r="J721" s="493"/>
      <c r="K721" s="492"/>
      <c r="L721" s="492"/>
      <c r="M721" s="494"/>
      <c r="N721" s="492"/>
      <c r="O721" s="495"/>
      <c r="P721" s="541"/>
      <c r="Q721" s="540"/>
      <c r="R721" s="541" t="s">
        <v>982</v>
      </c>
      <c r="S721" s="541">
        <f t="shared" ref="S721" si="321">B721</f>
        <v>0</v>
      </c>
      <c r="T721" s="541" t="s">
        <v>599</v>
      </c>
      <c r="U721" s="541"/>
      <c r="V721" s="541"/>
      <c r="W721" s="541"/>
      <c r="X721" s="541"/>
    </row>
    <row r="722" spans="1:24" ht="5.25" customHeight="1" thickBot="1" x14ac:dyDescent="0.3">
      <c r="A722" s="121" t="str">
        <f>IF(S722=0,"",COUNTIF(A$23:A721,"&gt;0")+1)</f>
        <v/>
      </c>
      <c r="B722" s="873"/>
      <c r="P722" s="541"/>
      <c r="Q722" s="541"/>
      <c r="R722" s="541"/>
      <c r="S722" s="541"/>
      <c r="T722" s="541"/>
      <c r="U722" s="541"/>
      <c r="V722" s="541"/>
      <c r="W722" s="541"/>
      <c r="X722" s="541"/>
    </row>
    <row r="723" spans="1:24" ht="9.75" customHeight="1" x14ac:dyDescent="0.25">
      <c r="A723" s="121" t="str">
        <f>IF(S723=0,"",COUNTIF(A$23:A722,"&gt;0")+1)</f>
        <v/>
      </c>
      <c r="B723" s="894" t="s">
        <v>115</v>
      </c>
      <c r="C723" s="895"/>
      <c r="D723" s="896" t="s">
        <v>988</v>
      </c>
      <c r="E723" s="897"/>
      <c r="F723" s="897"/>
      <c r="G723" s="897"/>
      <c r="H723" s="897"/>
      <c r="I723" s="374"/>
      <c r="J723" s="650"/>
      <c r="K723" s="374"/>
      <c r="L723" s="374"/>
      <c r="M723" s="651"/>
      <c r="N723" s="374"/>
      <c r="O723" s="375"/>
      <c r="P723" s="541"/>
      <c r="Q723" s="541"/>
      <c r="R723" s="541"/>
      <c r="S723" s="541"/>
      <c r="T723" s="541"/>
      <c r="U723" s="541"/>
      <c r="V723" s="541"/>
      <c r="W723" s="541"/>
      <c r="X723" s="541"/>
    </row>
    <row r="724" spans="1:24" ht="10.5" customHeight="1" thickBot="1" x14ac:dyDescent="0.3">
      <c r="A724" s="121" t="str">
        <f>IF(S724=0,"",COUNTIF(A$23:A723,"&gt;0")+1)</f>
        <v/>
      </c>
      <c r="B724" s="1019" t="s">
        <v>761</v>
      </c>
      <c r="C724" s="1014"/>
      <c r="D724" s="979"/>
      <c r="E724" s="980"/>
      <c r="F724" s="980"/>
      <c r="G724" s="980"/>
      <c r="H724" s="980"/>
      <c r="I724" s="405"/>
      <c r="J724" s="406"/>
      <c r="K724" s="407"/>
      <c r="L724" s="407"/>
      <c r="M724" s="405"/>
      <c r="N724" s="407"/>
      <c r="O724" s="376" t="s">
        <v>41</v>
      </c>
      <c r="P724" s="541"/>
      <c r="Q724" s="748"/>
      <c r="R724" s="541"/>
      <c r="S724" s="541"/>
      <c r="T724" s="541"/>
      <c r="U724" s="541"/>
      <c r="V724" s="541"/>
      <c r="W724" s="541"/>
      <c r="X724" s="541"/>
    </row>
    <row r="725" spans="1:24" ht="12" hidden="1" customHeight="1" x14ac:dyDescent="0.25">
      <c r="A725" s="121" t="str">
        <f>IF(S725=0,"",COUNTIF(A$23:A724,"&gt;0")+1)</f>
        <v/>
      </c>
      <c r="B725" s="379"/>
      <c r="C725" s="76" t="str">
        <f t="shared" ref="C725" si="322">T725</f>
        <v>x3</v>
      </c>
      <c r="D725" s="98" t="str">
        <f>A!C666</f>
        <v xml:space="preserve">Assorted Waterlilies </v>
      </c>
      <c r="E725" s="78"/>
      <c r="F725" s="78"/>
      <c r="G725" s="125"/>
      <c r="H725" s="89" t="str">
        <f>A!Q666</f>
        <v>our best selection of small and medium sized lilies</v>
      </c>
      <c r="I725" s="130"/>
      <c r="J725" s="203">
        <f>A!P666</f>
        <v>0</v>
      </c>
      <c r="K725" s="131">
        <f>IF(A!G666="y",1,0)</f>
        <v>0</v>
      </c>
      <c r="L725" s="131">
        <f>IF(A!H666="y",1,0)</f>
        <v>0</v>
      </c>
      <c r="M725" s="132" t="str">
        <f>IF(A!F666="y","NEW","")</f>
        <v/>
      </c>
      <c r="N725" s="133">
        <f>A!I666</f>
        <v>0</v>
      </c>
      <c r="O725" s="380">
        <f>A!O666</f>
        <v>4</v>
      </c>
      <c r="P725" s="541"/>
      <c r="Q725" s="541">
        <f>A!E666</f>
        <v>0</v>
      </c>
      <c r="R725" s="541" t="s">
        <v>986</v>
      </c>
      <c r="S725" s="541">
        <f t="shared" ref="S725" si="323">B725</f>
        <v>0</v>
      </c>
      <c r="T725" s="541" t="str">
        <f>A!R666</f>
        <v>x3</v>
      </c>
      <c r="U725" s="541">
        <f>A!S666</f>
        <v>35</v>
      </c>
      <c r="V725" s="541">
        <f>A!T666</f>
        <v>0.125</v>
      </c>
      <c r="W725" s="541"/>
      <c r="X725" s="541"/>
    </row>
    <row r="726" spans="1:24" ht="12" hidden="1" customHeight="1" x14ac:dyDescent="0.25">
      <c r="A726" s="121" t="str">
        <f>IF(S726=0,"",COUNTIF(A$23:A725,"&gt;0")+1)</f>
        <v/>
      </c>
      <c r="B726" s="379"/>
      <c r="C726" s="76" t="str">
        <f t="shared" ref="C726:C736" si="324">T726</f>
        <v>x3</v>
      </c>
      <c r="D726" s="98" t="str">
        <f>A!C667</f>
        <v>N. Albida</v>
      </c>
      <c r="E726" s="78"/>
      <c r="F726" s="78"/>
      <c r="G726" s="125"/>
      <c r="H726" s="89">
        <f>A!Q667</f>
        <v>0</v>
      </c>
      <c r="I726" s="69"/>
      <c r="J726" s="202">
        <f>A!P667</f>
        <v>0</v>
      </c>
      <c r="K726" s="83">
        <f>IF(A!G667="y",1,0)</f>
        <v>0</v>
      </c>
      <c r="L726" s="83">
        <f>IF(A!H667="y",1,0)</f>
        <v>0</v>
      </c>
      <c r="M726" s="84" t="str">
        <f>IF(A!F667="y","NEW","")</f>
        <v/>
      </c>
      <c r="N726" s="85">
        <f>A!I667</f>
        <v>0</v>
      </c>
      <c r="O726" s="380">
        <f>A!O667</f>
        <v>4</v>
      </c>
      <c r="P726" s="541"/>
      <c r="Q726" s="541">
        <f>A!E667</f>
        <v>0</v>
      </c>
      <c r="R726" s="541" t="s">
        <v>986</v>
      </c>
      <c r="S726" s="541">
        <f t="shared" ref="S726:S736" si="325">B726</f>
        <v>0</v>
      </c>
      <c r="T726" s="541" t="str">
        <f>A!R667</f>
        <v>x3</v>
      </c>
      <c r="U726" s="541">
        <f>A!S667</f>
        <v>35</v>
      </c>
      <c r="V726" s="541">
        <f>A!T667</f>
        <v>0.125</v>
      </c>
      <c r="W726" s="541"/>
      <c r="X726" s="541"/>
    </row>
    <row r="727" spans="1:24" ht="12" hidden="1" customHeight="1" x14ac:dyDescent="0.25">
      <c r="A727" s="121" t="str">
        <f>IF(S727=0,"",COUNTIF(A$23:A726,"&gt;0")+1)</f>
        <v/>
      </c>
      <c r="B727" s="379"/>
      <c r="C727" s="76" t="str">
        <f t="shared" si="324"/>
        <v>x3</v>
      </c>
      <c r="D727" s="98" t="str">
        <f>A!C668</f>
        <v>N. Aurora</v>
      </c>
      <c r="E727" s="78"/>
      <c r="F727" s="78"/>
      <c r="G727" s="125"/>
      <c r="H727" s="89">
        <f>A!Q668</f>
        <v>0</v>
      </c>
      <c r="I727" s="69"/>
      <c r="J727" s="202">
        <f>A!P668</f>
        <v>0</v>
      </c>
      <c r="K727" s="83">
        <f>IF(A!G668="y",1,0)</f>
        <v>0</v>
      </c>
      <c r="L727" s="83">
        <f>IF(A!H668="y",1,0)</f>
        <v>0</v>
      </c>
      <c r="M727" s="84" t="str">
        <f>IF(A!F668="y","NEW","")</f>
        <v/>
      </c>
      <c r="N727" s="85">
        <f>A!I668</f>
        <v>0</v>
      </c>
      <c r="O727" s="380">
        <f>A!O668</f>
        <v>4</v>
      </c>
      <c r="P727" s="541"/>
      <c r="Q727" s="541">
        <f>A!E668</f>
        <v>0</v>
      </c>
      <c r="R727" s="541" t="s">
        <v>986</v>
      </c>
      <c r="S727" s="541">
        <f t="shared" si="325"/>
        <v>0</v>
      </c>
      <c r="T727" s="541" t="str">
        <f>A!R668</f>
        <v>x3</v>
      </c>
      <c r="U727" s="541">
        <f>A!S668</f>
        <v>35</v>
      </c>
      <c r="V727" s="541">
        <f>A!T668</f>
        <v>0.125</v>
      </c>
      <c r="W727" s="541"/>
      <c r="X727" s="541"/>
    </row>
    <row r="728" spans="1:24" ht="12" hidden="1" customHeight="1" x14ac:dyDescent="0.25">
      <c r="A728" s="121" t="str">
        <f>IF(S728=0,"",COUNTIF(A$23:A727,"&gt;0")+1)</f>
        <v/>
      </c>
      <c r="B728" s="379"/>
      <c r="C728" s="76" t="str">
        <f t="shared" si="324"/>
        <v>x3</v>
      </c>
      <c r="D728" s="98" t="str">
        <f>A!C669</f>
        <v>N. Burgundy Princess</v>
      </c>
      <c r="E728" s="78"/>
      <c r="F728" s="78"/>
      <c r="G728" s="125"/>
      <c r="H728" s="89">
        <f>A!Q669</f>
        <v>0</v>
      </c>
      <c r="I728" s="69"/>
      <c r="J728" s="202">
        <f>A!P669</f>
        <v>0</v>
      </c>
      <c r="K728" s="83">
        <f>IF(A!G669="y",1,0)</f>
        <v>0</v>
      </c>
      <c r="L728" s="83">
        <f>IF(A!H669="y",1,0)</f>
        <v>0</v>
      </c>
      <c r="M728" s="84" t="str">
        <f>IF(A!F669="y","NEW","")</f>
        <v/>
      </c>
      <c r="N728" s="85">
        <f>A!I669</f>
        <v>0</v>
      </c>
      <c r="O728" s="380">
        <f>A!O669</f>
        <v>4</v>
      </c>
      <c r="P728" s="541"/>
      <c r="Q728" s="541">
        <f>A!E669</f>
        <v>0</v>
      </c>
      <c r="R728" s="541" t="s">
        <v>986</v>
      </c>
      <c r="S728" s="541">
        <f t="shared" si="325"/>
        <v>0</v>
      </c>
      <c r="T728" s="541" t="str">
        <f>A!R669</f>
        <v>x3</v>
      </c>
      <c r="U728" s="541">
        <f>A!S669</f>
        <v>35</v>
      </c>
      <c r="V728" s="541">
        <f>A!T669</f>
        <v>0.125</v>
      </c>
      <c r="W728" s="541"/>
      <c r="X728" s="541"/>
    </row>
    <row r="729" spans="1:24" ht="12" hidden="1" customHeight="1" x14ac:dyDescent="0.25">
      <c r="A729" s="121" t="str">
        <f>IF(S729=0,"",COUNTIF(A$23:A728,"&gt;0")+1)</f>
        <v/>
      </c>
      <c r="B729" s="379"/>
      <c r="C729" s="76" t="str">
        <f t="shared" si="324"/>
        <v>x3</v>
      </c>
      <c r="D729" s="98" t="str">
        <f>A!C670</f>
        <v>N. Candidissima</v>
      </c>
      <c r="E729" s="78"/>
      <c r="F729" s="78"/>
      <c r="G729" s="125"/>
      <c r="H729" s="89">
        <f>A!Q670</f>
        <v>0</v>
      </c>
      <c r="I729" s="69"/>
      <c r="J729" s="202">
        <f>A!P670</f>
        <v>0</v>
      </c>
      <c r="K729" s="83">
        <f>IF(A!G670="y",1,0)</f>
        <v>0</v>
      </c>
      <c r="L729" s="83">
        <f>IF(A!H670="y",1,0)</f>
        <v>0</v>
      </c>
      <c r="M729" s="84" t="str">
        <f>IF(A!F670="y","NEW","")</f>
        <v/>
      </c>
      <c r="N729" s="85">
        <f>A!I670</f>
        <v>0</v>
      </c>
      <c r="O729" s="380">
        <f>A!O670</f>
        <v>4</v>
      </c>
      <c r="P729" s="541"/>
      <c r="Q729" s="541">
        <f>A!E670</f>
        <v>0</v>
      </c>
      <c r="R729" s="541" t="s">
        <v>986</v>
      </c>
      <c r="S729" s="541">
        <f t="shared" si="325"/>
        <v>0</v>
      </c>
      <c r="T729" s="541" t="str">
        <f>A!R670</f>
        <v>x3</v>
      </c>
      <c r="U729" s="541">
        <f>A!S670</f>
        <v>35</v>
      </c>
      <c r="V729" s="541">
        <f>A!T670</f>
        <v>0.125</v>
      </c>
      <c r="W729" s="541"/>
      <c r="X729" s="541"/>
    </row>
    <row r="730" spans="1:24" ht="12" hidden="1" customHeight="1" x14ac:dyDescent="0.25">
      <c r="A730" s="121" t="str">
        <f>IF(S730=0,"",COUNTIF(A$23:A729,"&gt;0")+1)</f>
        <v/>
      </c>
      <c r="B730" s="379"/>
      <c r="C730" s="76" t="str">
        <f t="shared" si="324"/>
        <v>x3</v>
      </c>
      <c r="D730" s="98" t="str">
        <f>A!C671</f>
        <v>N. Laydekeri lilacea</v>
      </c>
      <c r="E730" s="78"/>
      <c r="F730" s="78"/>
      <c r="G730" s="125"/>
      <c r="H730" s="89">
        <f>A!Q671</f>
        <v>0</v>
      </c>
      <c r="I730" s="69"/>
      <c r="J730" s="202">
        <f>A!P671</f>
        <v>0</v>
      </c>
      <c r="K730" s="83">
        <f>IF(A!G671="y",1,0)</f>
        <v>0</v>
      </c>
      <c r="L730" s="83">
        <f>IF(A!H671="y",1,0)</f>
        <v>0</v>
      </c>
      <c r="M730" s="84" t="str">
        <f>IF(A!F671="y","NEW","")</f>
        <v/>
      </c>
      <c r="N730" s="85">
        <f>A!I671</f>
        <v>0</v>
      </c>
      <c r="O730" s="380">
        <f>A!O671</f>
        <v>4</v>
      </c>
      <c r="P730" s="541"/>
      <c r="Q730" s="541">
        <f>A!E671</f>
        <v>0</v>
      </c>
      <c r="R730" s="541" t="s">
        <v>986</v>
      </c>
      <c r="S730" s="541">
        <f t="shared" si="325"/>
        <v>0</v>
      </c>
      <c r="T730" s="541" t="str">
        <f>A!R671</f>
        <v>x3</v>
      </c>
      <c r="U730" s="541">
        <f>A!S671</f>
        <v>35</v>
      </c>
      <c r="V730" s="541">
        <f>A!T671</f>
        <v>0.125</v>
      </c>
      <c r="W730" s="541"/>
      <c r="X730" s="541"/>
    </row>
    <row r="731" spans="1:24" ht="12" hidden="1" customHeight="1" x14ac:dyDescent="0.25">
      <c r="A731" s="121" t="str">
        <f>IF(S731=0,"",COUNTIF(A$23:A730,"&gt;0")+1)</f>
        <v/>
      </c>
      <c r="B731" s="379"/>
      <c r="C731" s="76" t="str">
        <f t="shared" si="324"/>
        <v>x3</v>
      </c>
      <c r="D731" s="98" t="str">
        <f>A!C672</f>
        <v>N. Perrys Baby Red</v>
      </c>
      <c r="E731" s="78"/>
      <c r="F731" s="78"/>
      <c r="G731" s="125"/>
      <c r="H731" s="89">
        <f>A!Q672</f>
        <v>0</v>
      </c>
      <c r="I731" s="69"/>
      <c r="J731" s="202">
        <f>A!P672</f>
        <v>0</v>
      </c>
      <c r="K731" s="83">
        <f>IF(A!G672="y",1,0)</f>
        <v>0</v>
      </c>
      <c r="L731" s="83">
        <f>IF(A!H672="y",1,0)</f>
        <v>0</v>
      </c>
      <c r="M731" s="84" t="str">
        <f>IF(A!F672="y","NEW","")</f>
        <v/>
      </c>
      <c r="N731" s="85">
        <f>A!I672</f>
        <v>0</v>
      </c>
      <c r="O731" s="380">
        <f>A!O672</f>
        <v>4</v>
      </c>
      <c r="P731" s="541"/>
      <c r="Q731" s="541">
        <f>A!E672</f>
        <v>0</v>
      </c>
      <c r="R731" s="541" t="s">
        <v>986</v>
      </c>
      <c r="S731" s="541">
        <f t="shared" si="325"/>
        <v>0</v>
      </c>
      <c r="T731" s="541" t="str">
        <f>A!R672</f>
        <v>x3</v>
      </c>
      <c r="U731" s="541">
        <f>A!S672</f>
        <v>35</v>
      </c>
      <c r="V731" s="541">
        <f>A!T672</f>
        <v>0.125</v>
      </c>
      <c r="W731" s="541"/>
      <c r="X731" s="541"/>
    </row>
    <row r="732" spans="1:24" ht="12" hidden="1" customHeight="1" x14ac:dyDescent="0.25">
      <c r="A732" s="121" t="str">
        <f>IF(S732=0,"",COUNTIF(A$23:A731,"&gt;0")+1)</f>
        <v/>
      </c>
      <c r="B732" s="379"/>
      <c r="C732" s="76" t="str">
        <f t="shared" si="324"/>
        <v>x3</v>
      </c>
      <c r="D732" s="98" t="str">
        <f>A!C673</f>
        <v>N. Pygmaea Helvola</v>
      </c>
      <c r="E732" s="78"/>
      <c r="F732" s="78"/>
      <c r="G732" s="125"/>
      <c r="H732" s="89" t="str">
        <f>A!Q673</f>
        <v xml:space="preserve">wonderful small blooms above small pads, yellow flowering
</v>
      </c>
      <c r="I732" s="69"/>
      <c r="J732" s="202">
        <f>A!P673</f>
        <v>0</v>
      </c>
      <c r="K732" s="83">
        <f>IF(A!G673="y",1,0)</f>
        <v>0</v>
      </c>
      <c r="L732" s="83">
        <f>IF(A!H673="y",1,0)</f>
        <v>0</v>
      </c>
      <c r="M732" s="137" t="str">
        <f>IF(A!F673="y","NEW","")</f>
        <v/>
      </c>
      <c r="N732" s="163"/>
      <c r="O732" s="380">
        <f>A!O673</f>
        <v>4</v>
      </c>
      <c r="P732" s="541"/>
      <c r="Q732" s="541">
        <f>A!E673</f>
        <v>0</v>
      </c>
      <c r="R732" s="541" t="s">
        <v>986</v>
      </c>
      <c r="S732" s="541">
        <f t="shared" si="325"/>
        <v>0</v>
      </c>
      <c r="T732" s="541" t="str">
        <f>A!R673</f>
        <v>x3</v>
      </c>
      <c r="U732" s="541">
        <f>A!S673</f>
        <v>35</v>
      </c>
      <c r="V732" s="541">
        <f>A!T673</f>
        <v>0.125</v>
      </c>
      <c r="W732" s="541"/>
      <c r="X732" s="541"/>
    </row>
    <row r="733" spans="1:24" ht="12" hidden="1" customHeight="1" x14ac:dyDescent="0.25">
      <c r="A733" s="121" t="str">
        <f>IF(S733=0,"",COUNTIF(A$23:A732,"&gt;0")+1)</f>
        <v/>
      </c>
      <c r="B733" s="379"/>
      <c r="C733" s="76" t="str">
        <f t="shared" si="324"/>
        <v>x3</v>
      </c>
      <c r="D733" s="98" t="str">
        <f>A!C674</f>
        <v>N. Pygmaea Rubra</v>
      </c>
      <c r="E733" s="78"/>
      <c r="F733" s="78"/>
      <c r="G733" s="125"/>
      <c r="H733" s="89">
        <f>A!Q674</f>
        <v>0</v>
      </c>
      <c r="I733" s="69"/>
      <c r="J733" s="202">
        <f>A!P674</f>
        <v>0</v>
      </c>
      <c r="K733" s="83">
        <f>IF(A!G674="y",1,0)</f>
        <v>0</v>
      </c>
      <c r="L733" s="83">
        <f>IF(A!H674="y",1,0)</f>
        <v>0</v>
      </c>
      <c r="M733" s="84" t="str">
        <f>IF(A!F674="y","NEW","")</f>
        <v/>
      </c>
      <c r="N733" s="85">
        <f>A!I674</f>
        <v>0</v>
      </c>
      <c r="O733" s="380">
        <f>A!O674</f>
        <v>4</v>
      </c>
      <c r="P733" s="541"/>
      <c r="Q733" s="541">
        <f>A!E674</f>
        <v>0</v>
      </c>
      <c r="R733" s="541" t="s">
        <v>986</v>
      </c>
      <c r="S733" s="541">
        <f t="shared" si="325"/>
        <v>0</v>
      </c>
      <c r="T733" s="541" t="str">
        <f>A!R674</f>
        <v>x3</v>
      </c>
      <c r="U733" s="541">
        <f>A!S674</f>
        <v>35</v>
      </c>
      <c r="V733" s="541">
        <f>A!T674</f>
        <v>0.125</v>
      </c>
      <c r="W733" s="541"/>
      <c r="X733" s="541"/>
    </row>
    <row r="734" spans="1:24" ht="12" hidden="1" customHeight="1" x14ac:dyDescent="0.25">
      <c r="A734" s="121" t="str">
        <f>IF(S734=0,"",COUNTIF(A$23:A733,"&gt;0")+1)</f>
        <v/>
      </c>
      <c r="B734" s="379"/>
      <c r="C734" s="76" t="str">
        <f t="shared" si="324"/>
        <v>x3</v>
      </c>
      <c r="D734" s="98" t="str">
        <f>A!C675</f>
        <v>N. Tetragona Alba</v>
      </c>
      <c r="E734" s="78"/>
      <c r="F734" s="78"/>
      <c r="G734" s="125"/>
      <c r="H734" s="89">
        <f>A!Q675</f>
        <v>0</v>
      </c>
      <c r="I734" s="69"/>
      <c r="J734" s="202">
        <f>A!P675</f>
        <v>0</v>
      </c>
      <c r="K734" s="83">
        <f>IF(A!G675="y",1,0)</f>
        <v>0</v>
      </c>
      <c r="L734" s="83">
        <f>IF(A!H675="y",1,0)</f>
        <v>0</v>
      </c>
      <c r="M734" s="84" t="str">
        <f>IF(A!F675="y","NEW","")</f>
        <v/>
      </c>
      <c r="N734" s="85">
        <f>A!I675</f>
        <v>0</v>
      </c>
      <c r="O734" s="380">
        <f>A!O675</f>
        <v>4</v>
      </c>
      <c r="P734" s="541"/>
      <c r="Q734" s="541">
        <f>A!E675</f>
        <v>0</v>
      </c>
      <c r="R734" s="541" t="s">
        <v>986</v>
      </c>
      <c r="S734" s="541">
        <f t="shared" si="325"/>
        <v>0</v>
      </c>
      <c r="T734" s="541" t="str">
        <f>A!R675</f>
        <v>x3</v>
      </c>
      <c r="U734" s="541">
        <f>A!S675</f>
        <v>35</v>
      </c>
      <c r="V734" s="541">
        <f>A!T675</f>
        <v>0.125</v>
      </c>
      <c r="W734" s="541"/>
      <c r="X734" s="541"/>
    </row>
    <row r="735" spans="1:24" ht="12" hidden="1" customHeight="1" x14ac:dyDescent="0.3">
      <c r="A735" s="121" t="str">
        <f>IF(S735=0,"",COUNTIF(A$23:A734,"&gt;0")+1)</f>
        <v/>
      </c>
      <c r="B735" s="382"/>
      <c r="C735" s="383" t="str">
        <f t="shared" si="324"/>
        <v>x3</v>
      </c>
      <c r="D735" s="384" t="str">
        <f>A!C676</f>
        <v>N. Walter Pagels</v>
      </c>
      <c r="E735" s="385"/>
      <c r="F735" s="385"/>
      <c r="G735" s="386"/>
      <c r="H735" s="388">
        <f>A!Q676</f>
        <v>0</v>
      </c>
      <c r="I735" s="401"/>
      <c r="J735" s="402">
        <f>A!P676</f>
        <v>0</v>
      </c>
      <c r="K735" s="403">
        <f>IF(A!G676="y",1,0)</f>
        <v>0</v>
      </c>
      <c r="L735" s="403">
        <f>IF(A!H676="y",1,0)</f>
        <v>0</v>
      </c>
      <c r="M735" s="419" t="str">
        <f>IF(A!F676="y","NEW","")</f>
        <v/>
      </c>
      <c r="N735" s="404">
        <f>A!I676</f>
        <v>0</v>
      </c>
      <c r="O735" s="390">
        <f>A!O676</f>
        <v>4</v>
      </c>
      <c r="P735" s="541"/>
      <c r="Q735" s="541">
        <f>A!E676</f>
        <v>0</v>
      </c>
      <c r="R735" s="541" t="s">
        <v>986</v>
      </c>
      <c r="S735" s="541">
        <f t="shared" si="325"/>
        <v>0</v>
      </c>
      <c r="T735" s="541" t="str">
        <f>A!R676</f>
        <v>x3</v>
      </c>
      <c r="U735" s="541">
        <f>A!S676</f>
        <v>35</v>
      </c>
      <c r="V735" s="541">
        <f>A!T676</f>
        <v>0.125</v>
      </c>
      <c r="W735" s="541"/>
      <c r="X735" s="541"/>
    </row>
    <row r="736" spans="1:24" ht="12" customHeight="1" thickBot="1" x14ac:dyDescent="0.3">
      <c r="A736" s="121" t="str">
        <f>IF(S736=0,"",COUNTIF(A$23:A735,"&gt;0")+1)</f>
        <v/>
      </c>
      <c r="B736" s="649"/>
      <c r="C736" s="638" t="str">
        <f t="shared" si="324"/>
        <v>x3</v>
      </c>
      <c r="D736" s="639" t="str">
        <f>A!C677</f>
        <v xml:space="preserve">N. Wanvisa </v>
      </c>
      <c r="E736" s="640"/>
      <c r="F736" s="640"/>
      <c r="G736" s="755"/>
      <c r="H736" s="642" t="str">
        <f>A!Q677</f>
        <v>strong orange-pink with stable yellowish speckles on the petals.</v>
      </c>
      <c r="I736" s="643"/>
      <c r="J736" s="644">
        <f>A!P677</f>
        <v>0</v>
      </c>
      <c r="K736" s="645">
        <f>IF(A!G677="y",1,0)</f>
        <v>1</v>
      </c>
      <c r="L736" s="645">
        <f>IF(A!H677="y",1,0)</f>
        <v>0</v>
      </c>
      <c r="M736" s="872" t="str">
        <f>IF(A!F677="y","NEW","")</f>
        <v>NEW</v>
      </c>
      <c r="N736" s="647">
        <f>A!I677</f>
        <v>0</v>
      </c>
      <c r="O736" s="648">
        <f>A!O677</f>
        <v>4</v>
      </c>
      <c r="P736" s="541"/>
      <c r="Q736" s="541" t="str">
        <f>A!E677</f>
        <v>y</v>
      </c>
      <c r="R736" s="541" t="s">
        <v>986</v>
      </c>
      <c r="S736" s="541">
        <f t="shared" si="325"/>
        <v>0</v>
      </c>
      <c r="T736" s="541" t="str">
        <f>A!R677</f>
        <v>x3</v>
      </c>
      <c r="U736" s="541">
        <f>A!S677</f>
        <v>35</v>
      </c>
      <c r="V736" s="541">
        <f>A!T677</f>
        <v>0.125</v>
      </c>
      <c r="W736" s="541"/>
      <c r="X736" s="541"/>
    </row>
    <row r="737" spans="1:24" ht="12" customHeight="1" x14ac:dyDescent="0.25">
      <c r="A737" s="121" t="str">
        <f>IF(S737=0,"",COUNTIF(A$23:A736,"&gt;0")+1)</f>
        <v/>
      </c>
      <c r="B737" s="490">
        <f>SUM(B725:B736)</f>
        <v>0</v>
      </c>
      <c r="C737" s="490"/>
      <c r="D737" s="491" t="s">
        <v>987</v>
      </c>
      <c r="E737" s="492"/>
      <c r="F737" s="492"/>
      <c r="G737" s="492"/>
      <c r="H737" s="492"/>
      <c r="I737" s="492"/>
      <c r="J737" s="493"/>
      <c r="K737" s="492"/>
      <c r="L737" s="492"/>
      <c r="M737" s="494"/>
      <c r="N737" s="492"/>
      <c r="O737" s="495"/>
      <c r="P737" s="541"/>
      <c r="Q737" s="540"/>
      <c r="R737" s="541" t="s">
        <v>986</v>
      </c>
      <c r="S737" s="541">
        <f t="shared" ref="S737" si="326">B737</f>
        <v>0</v>
      </c>
      <c r="T737" s="541" t="s">
        <v>599</v>
      </c>
      <c r="U737" s="541"/>
      <c r="V737" s="541"/>
      <c r="W737" s="541"/>
      <c r="X737" s="541"/>
    </row>
    <row r="738" spans="1:24" ht="13.5" customHeight="1" thickBot="1" x14ac:dyDescent="0.3">
      <c r="A738" s="121" t="str">
        <f>IF(S738=0,"",COUNTIF(A$23:A737,"&gt;0")+1)</f>
        <v/>
      </c>
      <c r="P738" s="541"/>
      <c r="Q738" s="541"/>
      <c r="R738" s="541"/>
      <c r="S738" s="541"/>
      <c r="T738" s="541"/>
      <c r="U738" s="541"/>
      <c r="V738" s="541"/>
      <c r="W738" s="541"/>
      <c r="X738" s="541"/>
    </row>
    <row r="739" spans="1:24" ht="9.75" customHeight="1" x14ac:dyDescent="0.25">
      <c r="A739" s="121" t="str">
        <f>IF(S739=0,"",COUNTIF(A$23:A738,"&gt;0")+1)</f>
        <v/>
      </c>
      <c r="B739" s="900" t="s">
        <v>115</v>
      </c>
      <c r="C739" s="901"/>
      <c r="D739" s="896" t="s">
        <v>1444</v>
      </c>
      <c r="E739" s="897"/>
      <c r="F739" s="897"/>
      <c r="G739" s="897"/>
      <c r="H739" s="1011" t="s">
        <v>1289</v>
      </c>
      <c r="I739" s="906" t="s">
        <v>1262</v>
      </c>
      <c r="J739" s="906"/>
      <c r="K739" s="906"/>
      <c r="L739" s="906"/>
      <c r="M739" s="906"/>
      <c r="N739" s="906"/>
      <c r="O739" s="907"/>
      <c r="P739" s="541"/>
      <c r="Q739" s="541"/>
      <c r="R739" s="541"/>
      <c r="S739" s="541"/>
      <c r="T739" s="541"/>
      <c r="U739" s="541"/>
      <c r="V739" s="541"/>
      <c r="W739" s="541"/>
      <c r="X739" s="541"/>
    </row>
    <row r="740" spans="1:24" ht="9.75" customHeight="1" thickBot="1" x14ac:dyDescent="0.3">
      <c r="A740" s="121" t="str">
        <f>IF(S740=0,"",COUNTIF(A$23:A739,"&gt;0")+1)</f>
        <v/>
      </c>
      <c r="B740" s="1026" t="s">
        <v>210</v>
      </c>
      <c r="C740" s="1021"/>
      <c r="D740" s="912"/>
      <c r="E740" s="913"/>
      <c r="F740" s="913"/>
      <c r="G740" s="913"/>
      <c r="H740" s="1053"/>
      <c r="I740" s="552"/>
      <c r="J740" s="553"/>
      <c r="K740" s="554"/>
      <c r="L740" s="554"/>
      <c r="M740" s="512" t="s">
        <v>926</v>
      </c>
      <c r="N740" s="554"/>
      <c r="O740" s="617" t="s">
        <v>41</v>
      </c>
      <c r="P740" s="541"/>
      <c r="Q740" s="748"/>
      <c r="R740" s="541"/>
      <c r="S740" s="541"/>
      <c r="T740" s="541"/>
      <c r="U740" s="541"/>
      <c r="V740" s="541"/>
      <c r="W740" s="541"/>
      <c r="X740" s="541"/>
    </row>
    <row r="741" spans="1:24" ht="11.25" customHeight="1" x14ac:dyDescent="0.25">
      <c r="A741" s="121" t="str">
        <f>IF(S741=0,"",COUNTIF(A$23:A740,"&gt;0")+1)</f>
        <v/>
      </c>
      <c r="B741" s="515"/>
      <c r="C741" s="516" t="str">
        <f t="shared" ref="C741:C778" si="327">T741</f>
        <v>x1</v>
      </c>
      <c r="D741" s="517" t="str">
        <f>A!C732</f>
        <v>Assorted Named Waterlilies</v>
      </c>
      <c r="E741" s="518"/>
      <c r="F741" s="518"/>
      <c r="G741" s="519"/>
      <c r="H741" s="520" t="str">
        <f>A!Q732</f>
        <v>Our best selection with flowers</v>
      </c>
      <c r="I741" s="521"/>
      <c r="J741" s="522"/>
      <c r="K741" s="523">
        <f>IF(A!G732="y",1,0)</f>
        <v>1</v>
      </c>
      <c r="L741" s="523">
        <f>IF(A!H732="y",1,0)</f>
        <v>1</v>
      </c>
      <c r="M741" s="583" t="str">
        <f>IF(A!F732="y","NEW","")</f>
        <v/>
      </c>
      <c r="N741" s="584"/>
      <c r="O741" s="524">
        <f>A!O732</f>
        <v>4</v>
      </c>
      <c r="P741" s="541"/>
      <c r="Q741" s="541" t="str">
        <f>A!E732</f>
        <v>y</v>
      </c>
      <c r="R741" s="541" t="s">
        <v>836</v>
      </c>
      <c r="S741" s="541">
        <f t="shared" ref="S741:S779" si="328">B741</f>
        <v>0</v>
      </c>
      <c r="T741" s="541" t="str">
        <f>A!R732</f>
        <v>x1</v>
      </c>
      <c r="U741" s="541">
        <f>A!S732</f>
        <v>40</v>
      </c>
      <c r="V741" s="541">
        <f>A!T732</f>
        <v>8.3333333333333329E-2</v>
      </c>
      <c r="W741" s="541">
        <f>V741*B741</f>
        <v>0</v>
      </c>
      <c r="X741" s="541"/>
    </row>
    <row r="742" spans="1:24" ht="11.25" hidden="1" customHeight="1" x14ac:dyDescent="0.25">
      <c r="A742" s="121" t="str">
        <f>IF(S742=0,"",COUNTIF(A$23:A741,"&gt;0")+1)</f>
        <v/>
      </c>
      <c r="B742" s="379"/>
      <c r="C742" s="128" t="str">
        <f t="shared" si="327"/>
        <v>x1</v>
      </c>
      <c r="D742" s="119" t="str">
        <f>A!C733</f>
        <v>N. Alba</v>
      </c>
      <c r="E742" s="113"/>
      <c r="F742" s="113"/>
      <c r="G742" s="278"/>
      <c r="H742" s="129" t="str">
        <f>A!Q733</f>
        <v>our only native waterlily, white petals and golden yellow stamens</v>
      </c>
      <c r="I742" s="130"/>
      <c r="J742" s="203"/>
      <c r="K742" s="131">
        <f>IF(A!G733="y",1,0)</f>
        <v>0</v>
      </c>
      <c r="L742" s="131">
        <f>IF(A!H733="y",1,0)</f>
        <v>0</v>
      </c>
      <c r="M742" s="582" t="str">
        <f>IF(A!F733="y","NEW","")</f>
        <v/>
      </c>
      <c r="N742" s="133">
        <f>A!I733</f>
        <v>0</v>
      </c>
      <c r="O742" s="378">
        <f>A!O733</f>
        <v>4</v>
      </c>
      <c r="P742" s="541"/>
      <c r="Q742" s="541">
        <f>A!E733</f>
        <v>0</v>
      </c>
      <c r="R742" s="541" t="s">
        <v>836</v>
      </c>
      <c r="S742" s="541">
        <f t="shared" si="328"/>
        <v>0</v>
      </c>
      <c r="T742" s="541" t="str">
        <f>A!R733</f>
        <v>x1</v>
      </c>
      <c r="U742" s="541">
        <f>A!S733</f>
        <v>40</v>
      </c>
      <c r="V742" s="541">
        <f>A!T733</f>
        <v>8.3333333333333329E-2</v>
      </c>
      <c r="W742" s="541">
        <f>V742*B742</f>
        <v>0</v>
      </c>
      <c r="X742" s="541"/>
    </row>
    <row r="743" spans="1:24" ht="11.25" hidden="1" customHeight="1" x14ac:dyDescent="0.25">
      <c r="A743" s="121" t="str">
        <f>IF(S743=0,"",COUNTIF(A$23:A742,"&gt;0")+1)</f>
        <v/>
      </c>
      <c r="B743" s="379"/>
      <c r="C743" s="76" t="str">
        <f t="shared" si="327"/>
        <v>x1</v>
      </c>
      <c r="D743" s="98" t="str">
        <f>A!C734</f>
        <v>N. Albatross</v>
      </c>
      <c r="E743" s="78"/>
      <c r="F743" s="78"/>
      <c r="G743" s="125"/>
      <c r="H743" s="89" t="str">
        <f>A!Q734</f>
        <v>wonderful large, star shaped flowers with long pure white petals/golden anthers</v>
      </c>
      <c r="I743" s="69"/>
      <c r="J743" s="202"/>
      <c r="K743" s="83">
        <f>IF(A!G734="y",1,0)</f>
        <v>0</v>
      </c>
      <c r="L743" s="83">
        <f>IF(A!H734="y",1,0)</f>
        <v>0</v>
      </c>
      <c r="M743" s="84" t="str">
        <f>IF(A!F734="y","NEW","")</f>
        <v/>
      </c>
      <c r="N743" s="85">
        <f>A!I734</f>
        <v>0</v>
      </c>
      <c r="O743" s="380">
        <f>A!O734</f>
        <v>4</v>
      </c>
      <c r="P743" s="541"/>
      <c r="Q743" s="541">
        <f>A!E734</f>
        <v>0</v>
      </c>
      <c r="R743" s="541" t="s">
        <v>836</v>
      </c>
      <c r="S743" s="541">
        <f t="shared" si="328"/>
        <v>0</v>
      </c>
      <c r="T743" s="541" t="str">
        <f>A!R734</f>
        <v>x1</v>
      </c>
      <c r="U743" s="541">
        <f>A!S734</f>
        <v>40</v>
      </c>
      <c r="V743" s="541">
        <f>A!T734</f>
        <v>8.3333333333333329E-2</v>
      </c>
      <c r="W743" s="541">
        <f>V743*B743</f>
        <v>0</v>
      </c>
      <c r="X743" s="541"/>
    </row>
    <row r="744" spans="1:24" ht="11.25" customHeight="1" x14ac:dyDescent="0.25">
      <c r="A744" s="121" t="str">
        <f>IF(S744=0,"",COUNTIF(A$23:A743,"&gt;0")+1)</f>
        <v/>
      </c>
      <c r="B744" s="379"/>
      <c r="C744" s="76" t="str">
        <f t="shared" si="327"/>
        <v>x1</v>
      </c>
      <c r="D744" s="98" t="str">
        <f>A!C735</f>
        <v>N. Attraction</v>
      </c>
      <c r="E744" s="78"/>
      <c r="F744" s="78"/>
      <c r="G744" s="125"/>
      <c r="H744" s="89" t="str">
        <f>A!Q735</f>
        <v>attractive red flowers have broad petals and orange stamens</v>
      </c>
      <c r="I744" s="69"/>
      <c r="J744" s="202"/>
      <c r="K744" s="83">
        <f>IF(A!G735="y",1,0)</f>
        <v>1</v>
      </c>
      <c r="L744" s="83">
        <f>IF(A!H735="y",1,0)</f>
        <v>1</v>
      </c>
      <c r="M744" s="136" t="str">
        <f>IF(A!F791="y","NEW","")</f>
        <v/>
      </c>
      <c r="N744" s="85" t="str">
        <f>A!I735</f>
        <v>Y</v>
      </c>
      <c r="O744" s="380">
        <f>A!O735</f>
        <v>4</v>
      </c>
      <c r="P744" s="541"/>
      <c r="Q744" s="541" t="str">
        <f>A!E735</f>
        <v>y</v>
      </c>
      <c r="R744" s="541" t="s">
        <v>836</v>
      </c>
      <c r="S744" s="541">
        <f t="shared" si="328"/>
        <v>0</v>
      </c>
      <c r="T744" s="541" t="str">
        <f>A!R735</f>
        <v>x1</v>
      </c>
      <c r="U744" s="541">
        <f>A!S735</f>
        <v>40</v>
      </c>
      <c r="V744" s="541">
        <f>A!T735</f>
        <v>8.3333333333333329E-2</v>
      </c>
      <c r="W744" s="541">
        <f t="shared" ref="W744:W778" si="329">V744*B744</f>
        <v>0</v>
      </c>
      <c r="X744" s="541"/>
    </row>
    <row r="745" spans="1:24" ht="11.25" hidden="1" customHeight="1" x14ac:dyDescent="0.25">
      <c r="A745" s="121" t="str">
        <f>IF(S745=0,"",COUNTIF(A$23:A744,"&gt;0")+1)</f>
        <v/>
      </c>
      <c r="B745" s="379"/>
      <c r="C745" s="76" t="str">
        <f t="shared" si="327"/>
        <v>x1</v>
      </c>
      <c r="D745" s="98" t="str">
        <f>A!C736</f>
        <v>N. Barbara Dobbins</v>
      </c>
      <c r="E745" s="78"/>
      <c r="F745" s="78"/>
      <c r="G745" s="125"/>
      <c r="H745" s="89">
        <f>A!Q736</f>
        <v>0</v>
      </c>
      <c r="I745" s="69"/>
      <c r="J745" s="202"/>
      <c r="K745" s="83">
        <f>IF(A!G736="y",1,0)</f>
        <v>0</v>
      </c>
      <c r="L745" s="83">
        <f>IF(A!H736="y",1,0)</f>
        <v>0</v>
      </c>
      <c r="M745" s="84" t="str">
        <f>IF(A!F736="y","NEW","")</f>
        <v/>
      </c>
      <c r="N745" s="85">
        <f>A!I736</f>
        <v>0</v>
      </c>
      <c r="O745" s="380">
        <f>A!O736</f>
        <v>4</v>
      </c>
      <c r="P745" s="541"/>
      <c r="Q745" s="541">
        <f>A!E736</f>
        <v>0</v>
      </c>
      <c r="R745" s="541" t="s">
        <v>836</v>
      </c>
      <c r="S745" s="541">
        <f t="shared" si="328"/>
        <v>0</v>
      </c>
      <c r="T745" s="541" t="str">
        <f>A!R736</f>
        <v>x1</v>
      </c>
      <c r="U745" s="541">
        <f>A!S736</f>
        <v>40</v>
      </c>
      <c r="V745" s="541">
        <f>A!T736</f>
        <v>8.3333333333333329E-2</v>
      </c>
      <c r="W745" s="541">
        <f t="shared" si="329"/>
        <v>0</v>
      </c>
      <c r="X745" s="541"/>
    </row>
    <row r="746" spans="1:24" ht="11.25" hidden="1" customHeight="1" x14ac:dyDescent="0.25">
      <c r="A746" s="121" t="str">
        <f>IF(S746=0,"",COUNTIF(A$23:A745,"&gt;0")+1)</f>
        <v/>
      </c>
      <c r="B746" s="379"/>
      <c r="C746" s="76" t="str">
        <f t="shared" si="327"/>
        <v>x1</v>
      </c>
      <c r="D746" s="98" t="str">
        <f>A!C737</f>
        <v>N. Charles de Meurville</v>
      </c>
      <c r="E746" s="78"/>
      <c r="F746" s="78"/>
      <c r="G746" s="125"/>
      <c r="H746" s="89" t="str">
        <f>A!Q737</f>
        <v>free flowering, large red blooms with outer petals flecked with white</v>
      </c>
      <c r="I746" s="69"/>
      <c r="J746" s="202"/>
      <c r="K746" s="83">
        <f>IF(A!G737="y",1,0)</f>
        <v>0</v>
      </c>
      <c r="L746" s="83">
        <f>IF(A!H737="y",1,0)</f>
        <v>0</v>
      </c>
      <c r="M746" s="84" t="str">
        <f>IF(A!F737="y","NEW","")</f>
        <v/>
      </c>
      <c r="N746" s="85">
        <f>A!I737</f>
        <v>0</v>
      </c>
      <c r="O746" s="380">
        <f>A!O737</f>
        <v>4</v>
      </c>
      <c r="P746" s="541"/>
      <c r="Q746" s="541">
        <f>A!E737</f>
        <v>0</v>
      </c>
      <c r="R746" s="541" t="s">
        <v>836</v>
      </c>
      <c r="S746" s="541">
        <f t="shared" si="328"/>
        <v>0</v>
      </c>
      <c r="T746" s="541" t="str">
        <f>A!R737</f>
        <v>x1</v>
      </c>
      <c r="U746" s="541">
        <f>A!S737</f>
        <v>40</v>
      </c>
      <c r="V746" s="541">
        <f>A!T737</f>
        <v>8.3333333333333329E-2</v>
      </c>
      <c r="W746" s="541">
        <f t="shared" si="329"/>
        <v>0</v>
      </c>
      <c r="X746" s="541"/>
    </row>
    <row r="747" spans="1:24" ht="11.25" hidden="1" customHeight="1" x14ac:dyDescent="0.25">
      <c r="A747" s="121" t="str">
        <f>IF(S747=0,"",COUNTIF(A$23:A746,"&gt;0")+1)</f>
        <v/>
      </c>
      <c r="B747" s="379"/>
      <c r="C747" s="76" t="str">
        <f t="shared" si="327"/>
        <v>x1</v>
      </c>
      <c r="D747" s="98" t="str">
        <f>A!C738</f>
        <v>N. Chromatella</v>
      </c>
      <c r="E747" s="78"/>
      <c r="F747" s="78"/>
      <c r="G747" s="125"/>
      <c r="H747" s="89" t="str">
        <f>A!Q738</f>
        <v>free flowering, lovely yellow flowers over heavily mottled leaves</v>
      </c>
      <c r="I747" s="69"/>
      <c r="J747" s="202"/>
      <c r="K747" s="83">
        <f>IF(A!G738="y",1,0)</f>
        <v>0</v>
      </c>
      <c r="L747" s="83">
        <f>IF(A!H738="y",1,0)</f>
        <v>0</v>
      </c>
      <c r="M747" s="84" t="str">
        <f>IF(A!F738="y","NEW","")</f>
        <v/>
      </c>
      <c r="N747" s="85">
        <f>A!I738</f>
        <v>0</v>
      </c>
      <c r="O747" s="380">
        <f>A!O738</f>
        <v>4</v>
      </c>
      <c r="P747" s="541"/>
      <c r="Q747" s="541">
        <f>A!E738</f>
        <v>0</v>
      </c>
      <c r="R747" s="541" t="s">
        <v>836</v>
      </c>
      <c r="S747" s="541">
        <f t="shared" si="328"/>
        <v>0</v>
      </c>
      <c r="T747" s="541" t="str">
        <f>A!R738</f>
        <v>x1</v>
      </c>
      <c r="U747" s="541">
        <f>A!S738</f>
        <v>40</v>
      </c>
      <c r="V747" s="541">
        <f>A!T738</f>
        <v>8.3333333333333329E-2</v>
      </c>
      <c r="W747" s="541">
        <f t="shared" si="329"/>
        <v>0</v>
      </c>
      <c r="X747" s="541"/>
    </row>
    <row r="748" spans="1:24" ht="11.25" hidden="1" customHeight="1" x14ac:dyDescent="0.25">
      <c r="A748" s="121" t="str">
        <f>IF(S748=0,"",COUNTIF(A$23:A747,"&gt;0")+1)</f>
        <v/>
      </c>
      <c r="B748" s="379"/>
      <c r="C748" s="76" t="str">
        <f t="shared" si="327"/>
        <v>x1</v>
      </c>
      <c r="D748" s="98" t="str">
        <f>A!C739</f>
        <v>N. Collosea</v>
      </c>
      <c r="E748" s="78"/>
      <c r="F748" s="78"/>
      <c r="G748" s="125"/>
      <c r="H748" s="89">
        <f>A!Q739</f>
        <v>0</v>
      </c>
      <c r="I748" s="69"/>
      <c r="J748" s="202"/>
      <c r="K748" s="83">
        <f>IF(A!G739="y",1,0)</f>
        <v>0</v>
      </c>
      <c r="L748" s="83">
        <f>IF(A!H739="y",1,0)</f>
        <v>0</v>
      </c>
      <c r="M748" s="84" t="str">
        <f>IF(A!F739="y","NEW","")</f>
        <v/>
      </c>
      <c r="N748" s="85">
        <f>A!I739</f>
        <v>0</v>
      </c>
      <c r="O748" s="380">
        <f>A!O739</f>
        <v>4</v>
      </c>
      <c r="P748" s="541"/>
      <c r="Q748" s="541">
        <f>A!E739</f>
        <v>0</v>
      </c>
      <c r="R748" s="541" t="s">
        <v>836</v>
      </c>
      <c r="S748" s="541">
        <f t="shared" si="328"/>
        <v>0</v>
      </c>
      <c r="T748" s="541" t="str">
        <f>A!R739</f>
        <v>x1</v>
      </c>
      <c r="U748" s="541">
        <f>A!S739</f>
        <v>40</v>
      </c>
      <c r="V748" s="541">
        <f>A!T739</f>
        <v>8.3333333333333329E-2</v>
      </c>
      <c r="W748" s="541">
        <f t="shared" si="329"/>
        <v>0</v>
      </c>
      <c r="X748" s="541"/>
    </row>
    <row r="749" spans="1:24" ht="11.25" hidden="1" customHeight="1" x14ac:dyDescent="0.25">
      <c r="A749" s="121" t="str">
        <f>IF(S749=0,"",COUNTIF(A$23:A748,"&gt;0")+1)</f>
        <v/>
      </c>
      <c r="B749" s="379"/>
      <c r="C749" s="76" t="str">
        <f t="shared" si="327"/>
        <v>x1</v>
      </c>
      <c r="D749" s="98" t="str">
        <f>A!C740</f>
        <v>N. Colonel A J Welch</v>
      </c>
      <c r="E749" s="78"/>
      <c r="F749" s="78"/>
      <c r="G749" s="125"/>
      <c r="H749" s="89" t="str">
        <f>A!Q740</f>
        <v>beautiful canary-yellow blooms, lightly maroon marbled foliage</v>
      </c>
      <c r="I749" s="69"/>
      <c r="J749" s="202"/>
      <c r="K749" s="83">
        <f>IF(A!G740="y",1,0)</f>
        <v>0</v>
      </c>
      <c r="L749" s="83">
        <f>IF(A!H740="y",1,0)</f>
        <v>0</v>
      </c>
      <c r="M749" s="164" t="str">
        <f>IF(A!F800="y","NEW","")</f>
        <v/>
      </c>
      <c r="N749" s="85">
        <f>A!I740</f>
        <v>0</v>
      </c>
      <c r="O749" s="380">
        <f>A!O740</f>
        <v>4</v>
      </c>
      <c r="P749" s="541"/>
      <c r="Q749" s="541">
        <f>A!E740</f>
        <v>0</v>
      </c>
      <c r="R749" s="541" t="s">
        <v>836</v>
      </c>
      <c r="S749" s="541">
        <f t="shared" si="328"/>
        <v>0</v>
      </c>
      <c r="T749" s="541" t="str">
        <f>A!R740</f>
        <v>x1</v>
      </c>
      <c r="U749" s="541">
        <f>A!S740</f>
        <v>40</v>
      </c>
      <c r="V749" s="541">
        <f>A!T740</f>
        <v>8.3333333333333329E-2</v>
      </c>
      <c r="W749" s="541">
        <f t="shared" si="329"/>
        <v>0</v>
      </c>
      <c r="X749" s="541"/>
    </row>
    <row r="750" spans="1:24" ht="11.25" hidden="1" customHeight="1" x14ac:dyDescent="0.25">
      <c r="A750" s="121" t="str">
        <f>IF(S750=0,"",COUNTIF(A$23:A749,"&gt;0")+1)</f>
        <v/>
      </c>
      <c r="B750" s="379"/>
      <c r="C750" s="76" t="str">
        <f t="shared" si="327"/>
        <v>x1</v>
      </c>
      <c r="D750" s="98" t="str">
        <f>A!C741</f>
        <v>N. Colorado</v>
      </c>
      <c r="E750" s="78"/>
      <c r="F750" s="78"/>
      <c r="G750" s="125"/>
      <c r="H750" s="89" t="str">
        <f>A!Q741</f>
        <v>modern hybrid, blooms are a salmon pink, that sit 3 to 4 inches above the water</v>
      </c>
      <c r="I750" s="69"/>
      <c r="J750" s="202"/>
      <c r="K750" s="83">
        <f>IF(A!G741="y",1,0)</f>
        <v>0</v>
      </c>
      <c r="L750" s="83">
        <f>IF(A!H741="y",1,0)</f>
        <v>0</v>
      </c>
      <c r="M750" s="84" t="str">
        <f>IF(A!F741="y","NEW","")</f>
        <v/>
      </c>
      <c r="N750" s="85">
        <f>A!I741</f>
        <v>0</v>
      </c>
      <c r="O750" s="380">
        <f>A!O741</f>
        <v>4</v>
      </c>
      <c r="P750" s="541"/>
      <c r="Q750" s="541">
        <f>A!E741</f>
        <v>0</v>
      </c>
      <c r="R750" s="541" t="s">
        <v>836</v>
      </c>
      <c r="S750" s="541">
        <f t="shared" si="328"/>
        <v>0</v>
      </c>
      <c r="T750" s="541" t="str">
        <f>A!R741</f>
        <v>x1</v>
      </c>
      <c r="U750" s="541">
        <f>A!S741</f>
        <v>40</v>
      </c>
      <c r="V750" s="541">
        <f>A!T741</f>
        <v>8.3333333333333329E-2</v>
      </c>
      <c r="W750" s="541">
        <f t="shared" si="329"/>
        <v>0</v>
      </c>
      <c r="X750" s="541"/>
    </row>
    <row r="751" spans="1:24" ht="11.25" hidden="1" customHeight="1" x14ac:dyDescent="0.25">
      <c r="A751" s="121" t="str">
        <f>IF(S751=0,"",COUNTIF(A$23:A750,"&gt;0")+1)</f>
        <v/>
      </c>
      <c r="B751" s="379"/>
      <c r="C751" s="76" t="str">
        <f t="shared" si="327"/>
        <v>x1</v>
      </c>
      <c r="D751" s="98" t="str">
        <f>A!C742</f>
        <v>N. Conqueror</v>
      </c>
      <c r="E751" s="78"/>
      <c r="F751" s="78"/>
      <c r="G751" s="125"/>
      <c r="H751" s="89" t="str">
        <f>A!Q742</f>
        <v>deep red blooms with incurving petals and bright yellow stamens</v>
      </c>
      <c r="I751" s="69"/>
      <c r="J751" s="202"/>
      <c r="K751" s="83">
        <f>IF(A!G742="y",1,0)</f>
        <v>0</v>
      </c>
      <c r="L751" s="83">
        <f>IF(A!H742="y",1,0)</f>
        <v>0</v>
      </c>
      <c r="M751" s="136" t="str">
        <f>IF(A!F811="y","NEW","")</f>
        <v/>
      </c>
      <c r="N751" s="85">
        <f>A!I742</f>
        <v>0</v>
      </c>
      <c r="O751" s="380">
        <f>A!O742</f>
        <v>4</v>
      </c>
      <c r="P751" s="541"/>
      <c r="Q751" s="541">
        <f>A!E742</f>
        <v>0</v>
      </c>
      <c r="R751" s="541" t="s">
        <v>836</v>
      </c>
      <c r="S751" s="541">
        <f t="shared" si="328"/>
        <v>0</v>
      </c>
      <c r="T751" s="541" t="str">
        <f>A!R742</f>
        <v>x1</v>
      </c>
      <c r="U751" s="541">
        <f>A!S742</f>
        <v>40</v>
      </c>
      <c r="V751" s="541">
        <f>A!T742</f>
        <v>8.3333333333333329E-2</v>
      </c>
      <c r="W751" s="541">
        <f t="shared" si="329"/>
        <v>0</v>
      </c>
      <c r="X751" s="541"/>
    </row>
    <row r="752" spans="1:24" ht="11.25" hidden="1" customHeight="1" x14ac:dyDescent="0.25">
      <c r="A752" s="121" t="str">
        <f>IF(S752=0,"",COUNTIF(A$23:A751,"&gt;0")+1)</f>
        <v/>
      </c>
      <c r="B752" s="379"/>
      <c r="C752" s="76" t="str">
        <f t="shared" si="327"/>
        <v>x1</v>
      </c>
      <c r="D752" s="98" t="str">
        <f>A!C743</f>
        <v>N. Denver</v>
      </c>
      <c r="E752" s="78"/>
      <c r="F752" s="78"/>
      <c r="G752" s="125"/>
      <c r="H752" s="89">
        <f>A!Q743</f>
        <v>0</v>
      </c>
      <c r="I752" s="69"/>
      <c r="J752" s="202"/>
      <c r="K752" s="83">
        <f>IF(A!G743="y",1,0)</f>
        <v>0</v>
      </c>
      <c r="L752" s="83">
        <f>IF(A!H743="y",1,0)</f>
        <v>0</v>
      </c>
      <c r="M752" s="84" t="str">
        <f>IF(A!F743="y","NEW","")</f>
        <v/>
      </c>
      <c r="N752" s="85">
        <f>A!I743</f>
        <v>0</v>
      </c>
      <c r="O752" s="380">
        <f>A!O743</f>
        <v>4</v>
      </c>
      <c r="P752" s="541"/>
      <c r="Q752" s="541">
        <f>A!E743</f>
        <v>0</v>
      </c>
      <c r="R752" s="541" t="s">
        <v>836</v>
      </c>
      <c r="S752" s="541">
        <f t="shared" si="328"/>
        <v>0</v>
      </c>
      <c r="T752" s="541" t="str">
        <f>A!R743</f>
        <v>x1</v>
      </c>
      <c r="U752" s="541">
        <f>A!S743</f>
        <v>40</v>
      </c>
      <c r="V752" s="541">
        <f>A!T743</f>
        <v>8.3333333333333329E-2</v>
      </c>
      <c r="W752" s="541">
        <f t="shared" si="329"/>
        <v>0</v>
      </c>
      <c r="X752" s="541"/>
    </row>
    <row r="753" spans="1:24" ht="11.25" hidden="1" customHeight="1" x14ac:dyDescent="0.25">
      <c r="A753" s="121" t="str">
        <f>IF(S753=0,"",COUNTIF(A$23:A752,"&gt;0")+1)</f>
        <v/>
      </c>
      <c r="B753" s="379"/>
      <c r="C753" s="76" t="str">
        <f t="shared" si="327"/>
        <v>x1</v>
      </c>
      <c r="D753" s="98" t="str">
        <f>A!C744</f>
        <v>N. Fire Crest</v>
      </c>
      <c r="E753" s="78"/>
      <c r="F753" s="78"/>
      <c r="G753" s="125"/>
      <c r="H753" s="89">
        <f>A!Q744</f>
        <v>0</v>
      </c>
      <c r="I753" s="69"/>
      <c r="J753" s="202"/>
      <c r="K753" s="83">
        <f>IF(A!G744="y",1,0)</f>
        <v>0</v>
      </c>
      <c r="L753" s="83">
        <f>IF(A!H744="y",1,0)</f>
        <v>0</v>
      </c>
      <c r="M753" s="84" t="str">
        <f>IF(A!F744="y","NEW","")</f>
        <v/>
      </c>
      <c r="N753" s="85">
        <f>A!I744</f>
        <v>0</v>
      </c>
      <c r="O753" s="380">
        <f>A!O744</f>
        <v>4</v>
      </c>
      <c r="P753" s="541"/>
      <c r="Q753" s="541">
        <f>A!E744</f>
        <v>0</v>
      </c>
      <c r="R753" s="541" t="s">
        <v>836</v>
      </c>
      <c r="S753" s="541">
        <f t="shared" si="328"/>
        <v>0</v>
      </c>
      <c r="T753" s="541" t="str">
        <f>A!R744</f>
        <v>x1</v>
      </c>
      <c r="U753" s="541">
        <f>A!S744</f>
        <v>40</v>
      </c>
      <c r="V753" s="541">
        <f>A!T744</f>
        <v>8.3333333333333329E-2</v>
      </c>
      <c r="W753" s="541">
        <f t="shared" si="329"/>
        <v>0</v>
      </c>
      <c r="X753" s="541"/>
    </row>
    <row r="754" spans="1:24" ht="11.25" hidden="1" customHeight="1" x14ac:dyDescent="0.25">
      <c r="A754" s="121" t="str">
        <f>IF(S754=0,"",COUNTIF(A$23:A753,"&gt;0")+1)</f>
        <v/>
      </c>
      <c r="B754" s="379"/>
      <c r="C754" s="76" t="str">
        <f t="shared" si="327"/>
        <v>x1</v>
      </c>
      <c r="D754" s="98" t="str">
        <f>A!C745</f>
        <v>N. Frobelii</v>
      </c>
      <c r="E754" s="78"/>
      <c r="F754" s="78"/>
      <c r="G754" s="125"/>
      <c r="H754" s="89" t="str">
        <f>A!Q745</f>
        <v>beautiful vivid red- wine cupped- shaped flowers throughout the summer</v>
      </c>
      <c r="I754" s="69"/>
      <c r="J754" s="202"/>
      <c r="K754" s="83">
        <f>IF(A!G745="y",1,0)</f>
        <v>0</v>
      </c>
      <c r="L754" s="83">
        <f>IF(A!H745="y",1,0)</f>
        <v>0</v>
      </c>
      <c r="M754" s="84" t="str">
        <f>IF(A!F745="y","NEW","")</f>
        <v/>
      </c>
      <c r="N754" s="85">
        <f>A!I745</f>
        <v>0</v>
      </c>
      <c r="O754" s="380">
        <f>A!O745</f>
        <v>4</v>
      </c>
      <c r="P754" s="541"/>
      <c r="Q754" s="541">
        <f>A!E745</f>
        <v>0</v>
      </c>
      <c r="R754" s="541" t="s">
        <v>836</v>
      </c>
      <c r="S754" s="541">
        <f t="shared" si="328"/>
        <v>0</v>
      </c>
      <c r="T754" s="541" t="str">
        <f>A!R745</f>
        <v>x1</v>
      </c>
      <c r="U754" s="541">
        <f>A!S745</f>
        <v>40</v>
      </c>
      <c r="V754" s="541">
        <f>A!T745</f>
        <v>8.3333333333333329E-2</v>
      </c>
      <c r="W754" s="541">
        <f t="shared" si="329"/>
        <v>0</v>
      </c>
      <c r="X754" s="541"/>
    </row>
    <row r="755" spans="1:24" ht="11.25" customHeight="1" x14ac:dyDescent="0.25">
      <c r="A755" s="121" t="str">
        <f>IF(S755=0,"",COUNTIF(A$23:A754,"&gt;0")+1)</f>
        <v/>
      </c>
      <c r="B755" s="379"/>
      <c r="C755" s="76" t="str">
        <f t="shared" si="327"/>
        <v>x1</v>
      </c>
      <c r="D755" s="98" t="str">
        <f>A!C746</f>
        <v>N. Gladstonianna</v>
      </c>
      <c r="E755" s="78"/>
      <c r="F755" s="78"/>
      <c r="G755" s="125"/>
      <c r="H755" s="89" t="str">
        <f>A!Q746</f>
        <v>vigorous, large growing waterlily, large-cup shaped white flowers</v>
      </c>
      <c r="I755" s="69"/>
      <c r="J755" s="202"/>
      <c r="K755" s="83">
        <f>IF(A!G746="y",1,0)</f>
        <v>1</v>
      </c>
      <c r="L755" s="83">
        <f>IF(A!H746="y",1,0)</f>
        <v>0</v>
      </c>
      <c r="M755" s="84" t="str">
        <f>IF(A!F746="y","NEW","")</f>
        <v/>
      </c>
      <c r="N755" s="85">
        <f>A!I746</f>
        <v>0</v>
      </c>
      <c r="O755" s="380">
        <f>A!O746</f>
        <v>4</v>
      </c>
      <c r="P755" s="541"/>
      <c r="Q755" s="541" t="str">
        <f>A!E746</f>
        <v>y</v>
      </c>
      <c r="R755" s="541" t="s">
        <v>836</v>
      </c>
      <c r="S755" s="541">
        <f t="shared" si="328"/>
        <v>0</v>
      </c>
      <c r="T755" s="541" t="str">
        <f>A!R746</f>
        <v>x1</v>
      </c>
      <c r="U755" s="541">
        <f>A!S746</f>
        <v>40</v>
      </c>
      <c r="V755" s="541">
        <f>A!T746</f>
        <v>8.3333333333333329E-2</v>
      </c>
      <c r="W755" s="541">
        <f t="shared" si="329"/>
        <v>0</v>
      </c>
      <c r="X755" s="541"/>
    </row>
    <row r="756" spans="1:24" ht="11.25" hidden="1" customHeight="1" x14ac:dyDescent="0.25">
      <c r="A756" s="121" t="str">
        <f>IF(S756=0,"",COUNTIF(A$23:A755,"&gt;0")+1)</f>
        <v/>
      </c>
      <c r="B756" s="379"/>
      <c r="C756" s="76" t="str">
        <f t="shared" si="327"/>
        <v>x1</v>
      </c>
      <c r="D756" s="98" t="str">
        <f>A!C747</f>
        <v>N. Gloriosa</v>
      </c>
      <c r="E756" s="78"/>
      <c r="F756" s="78"/>
      <c r="G756" s="125"/>
      <c r="H756" s="89">
        <f>A!Q747</f>
        <v>0</v>
      </c>
      <c r="I756" s="69"/>
      <c r="J756" s="202"/>
      <c r="K756" s="83">
        <f>IF(A!G747="y",1,0)</f>
        <v>0</v>
      </c>
      <c r="L756" s="83">
        <f>IF(A!H747="y",1,0)</f>
        <v>0</v>
      </c>
      <c r="M756" s="84" t="str">
        <f>IF(A!F747="y","NEW","")</f>
        <v/>
      </c>
      <c r="N756" s="85">
        <f>A!I747</f>
        <v>0</v>
      </c>
      <c r="O756" s="380">
        <f>A!O747</f>
        <v>4</v>
      </c>
      <c r="P756" s="541"/>
      <c r="Q756" s="541">
        <f>A!E747</f>
        <v>0</v>
      </c>
      <c r="R756" s="541" t="s">
        <v>836</v>
      </c>
      <c r="S756" s="541">
        <f t="shared" si="328"/>
        <v>0</v>
      </c>
      <c r="T756" s="541" t="str">
        <f>A!R747</f>
        <v>x1</v>
      </c>
      <c r="U756" s="541">
        <f>A!S747</f>
        <v>40</v>
      </c>
      <c r="V756" s="541">
        <f>A!T747</f>
        <v>8.3333333333333329E-2</v>
      </c>
      <c r="W756" s="541">
        <f t="shared" si="329"/>
        <v>0</v>
      </c>
      <c r="X756" s="541"/>
    </row>
    <row r="757" spans="1:24" ht="11.25" hidden="1" customHeight="1" x14ac:dyDescent="0.25">
      <c r="A757" s="121" t="str">
        <f>IF(S757=0,"",COUNTIF(A$23:A756,"&gt;0")+1)</f>
        <v/>
      </c>
      <c r="B757" s="379"/>
      <c r="C757" s="76" t="str">
        <f t="shared" si="327"/>
        <v>x1</v>
      </c>
      <c r="D757" s="98" t="str">
        <f>A!C748</f>
        <v>N. Gonnere</v>
      </c>
      <c r="E757" s="78"/>
      <c r="F757" s="78"/>
      <c r="G757" s="125"/>
      <c r="H757" s="89">
        <f>A!Q748</f>
        <v>0</v>
      </c>
      <c r="I757" s="69"/>
      <c r="J757" s="202"/>
      <c r="K757" s="83">
        <f>IF(A!G748="y",1,0)</f>
        <v>0</v>
      </c>
      <c r="L757" s="83">
        <f>IF(A!H748="y",1,0)</f>
        <v>0</v>
      </c>
      <c r="M757" s="84" t="str">
        <f>IF(A!F748="y","NEW","")</f>
        <v/>
      </c>
      <c r="N757" s="85">
        <f>A!I748</f>
        <v>0</v>
      </c>
      <c r="O757" s="380">
        <f>A!O748</f>
        <v>4</v>
      </c>
      <c r="P757" s="541"/>
      <c r="Q757" s="541">
        <f>A!E748</f>
        <v>0</v>
      </c>
      <c r="R757" s="541" t="s">
        <v>836</v>
      </c>
      <c r="S757" s="541">
        <f t="shared" si="328"/>
        <v>0</v>
      </c>
      <c r="T757" s="541" t="str">
        <f>A!R748</f>
        <v>x1</v>
      </c>
      <c r="U757" s="541">
        <f>A!S748</f>
        <v>40</v>
      </c>
      <c r="V757" s="541">
        <f>A!T748</f>
        <v>8.3333333333333329E-2</v>
      </c>
      <c r="W757" s="541">
        <f t="shared" si="329"/>
        <v>0</v>
      </c>
      <c r="X757" s="541"/>
    </row>
    <row r="758" spans="1:24" ht="11.25" customHeight="1" x14ac:dyDescent="0.25">
      <c r="A758" s="121" t="str">
        <f>IF(S758=0,"",COUNTIF(A$23:A757,"&gt;0")+1)</f>
        <v/>
      </c>
      <c r="B758" s="379"/>
      <c r="C758" s="76" t="str">
        <f t="shared" si="327"/>
        <v>x1</v>
      </c>
      <c r="D758" s="98" t="str">
        <f>A!C749</f>
        <v>N. Hollandia</v>
      </c>
      <c r="E758" s="78"/>
      <c r="F758" s="78"/>
      <c r="G758" s="125"/>
      <c r="H758" s="89" t="str">
        <f>A!Q749</f>
        <v>large double pale pink flowers, inner petals deeper coloured than outer ones</v>
      </c>
      <c r="I758" s="69"/>
      <c r="J758" s="202"/>
      <c r="K758" s="83">
        <f>IF(A!G749="y",1,0)</f>
        <v>1</v>
      </c>
      <c r="L758" s="83">
        <f>IF(A!H749="y",1,0)</f>
        <v>0</v>
      </c>
      <c r="M758" s="140" t="str">
        <f>IF(A!F818="y","NEW","")</f>
        <v/>
      </c>
      <c r="N758" s="163"/>
      <c r="O758" s="380">
        <f>A!O749</f>
        <v>4</v>
      </c>
      <c r="P758" s="541"/>
      <c r="Q758" s="541" t="str">
        <f>A!E749</f>
        <v>y</v>
      </c>
      <c r="R758" s="541" t="s">
        <v>836</v>
      </c>
      <c r="S758" s="541">
        <f t="shared" si="328"/>
        <v>0</v>
      </c>
      <c r="T758" s="541" t="str">
        <f>A!R749</f>
        <v>x1</v>
      </c>
      <c r="U758" s="541">
        <f>A!S749</f>
        <v>40</v>
      </c>
      <c r="V758" s="541">
        <f>A!T749</f>
        <v>8.3333333333333329E-2</v>
      </c>
      <c r="W758" s="541">
        <f t="shared" si="329"/>
        <v>0</v>
      </c>
      <c r="X758" s="541"/>
    </row>
    <row r="759" spans="1:24" ht="11.25" hidden="1" customHeight="1" x14ac:dyDescent="0.25">
      <c r="A759" s="121" t="str">
        <f>IF(S759=0,"",COUNTIF(A$23:A758,"&gt;0")+1)</f>
        <v/>
      </c>
      <c r="B759" s="379"/>
      <c r="C759" s="76" t="str">
        <f t="shared" si="327"/>
        <v>x1</v>
      </c>
      <c r="D759" s="98" t="str">
        <f>A!C750</f>
        <v>N. Inner Light</v>
      </c>
      <c r="E759" s="78"/>
      <c r="F759" s="78"/>
      <c r="G759" s="125"/>
      <c r="H759" s="89" t="str">
        <f>A!Q750</f>
        <v>originating from the USA, wonderful yellow double-petalled blooms</v>
      </c>
      <c r="I759" s="69"/>
      <c r="J759" s="202"/>
      <c r="K759" s="83">
        <f>IF(A!G750="y",1,0)</f>
        <v>0</v>
      </c>
      <c r="L759" s="83">
        <f>IF(A!H750="y",1,0)</f>
        <v>0</v>
      </c>
      <c r="M759" s="137" t="str">
        <f>IF(A!F819="y","NEW","")</f>
        <v/>
      </c>
      <c r="N759" s="85">
        <f>A!I750</f>
        <v>0</v>
      </c>
      <c r="O759" s="380">
        <f>A!O750</f>
        <v>4</v>
      </c>
      <c r="P759" s="541"/>
      <c r="Q759" s="541">
        <f>A!E750</f>
        <v>0</v>
      </c>
      <c r="R759" s="541" t="s">
        <v>836</v>
      </c>
      <c r="S759" s="541">
        <f t="shared" si="328"/>
        <v>0</v>
      </c>
      <c r="T759" s="541" t="str">
        <f>A!R750</f>
        <v>x1</v>
      </c>
      <c r="U759" s="541">
        <f>A!S750</f>
        <v>40</v>
      </c>
      <c r="V759" s="541">
        <f>A!T750</f>
        <v>8.3333333333333329E-2</v>
      </c>
      <c r="W759" s="541">
        <f t="shared" si="329"/>
        <v>0</v>
      </c>
      <c r="X759" s="541"/>
    </row>
    <row r="760" spans="1:24" ht="11.25" hidden="1" customHeight="1" x14ac:dyDescent="0.25">
      <c r="A760" s="121" t="str">
        <f>IF(S760=0,"",COUNTIF(A$23:A759,"&gt;0")+1)</f>
        <v/>
      </c>
      <c r="B760" s="379"/>
      <c r="C760" s="76" t="str">
        <f t="shared" si="327"/>
        <v>x1</v>
      </c>
      <c r="D760" s="98" t="str">
        <f>A!C751</f>
        <v>N. James Brydon</v>
      </c>
      <c r="E760" s="78"/>
      <c r="F760" s="78"/>
      <c r="G760" s="125"/>
      <c r="H760" s="89" t="str">
        <f>A!Q751</f>
        <v>very free-flowering, very adaptable and easy to grow</v>
      </c>
      <c r="I760" s="69"/>
      <c r="J760" s="202"/>
      <c r="K760" s="83">
        <f>IF(A!G751="y",1,0)</f>
        <v>0</v>
      </c>
      <c r="L760" s="83">
        <f>IF(A!H751="y",1,0)</f>
        <v>0</v>
      </c>
      <c r="M760" s="84" t="str">
        <f>IF(A!F751="y","NEW","")</f>
        <v/>
      </c>
      <c r="N760" s="85">
        <f>A!I751</f>
        <v>0</v>
      </c>
      <c r="O760" s="380">
        <f>A!O751</f>
        <v>4</v>
      </c>
      <c r="P760" s="541"/>
      <c r="Q760" s="541">
        <f>A!E751</f>
        <v>0</v>
      </c>
      <c r="R760" s="541" t="s">
        <v>836</v>
      </c>
      <c r="S760" s="541">
        <f t="shared" si="328"/>
        <v>0</v>
      </c>
      <c r="T760" s="541" t="str">
        <f>A!R751</f>
        <v>x1</v>
      </c>
      <c r="U760" s="541">
        <f>A!S751</f>
        <v>40</v>
      </c>
      <c r="V760" s="541">
        <f>A!T751</f>
        <v>8.3333333333333329E-2</v>
      </c>
      <c r="W760" s="541">
        <f t="shared" si="329"/>
        <v>0</v>
      </c>
      <c r="X760" s="541"/>
    </row>
    <row r="761" spans="1:24" ht="11.25" customHeight="1" x14ac:dyDescent="0.25">
      <c r="A761" s="121" t="str">
        <f>IF(S761=0,"",COUNTIF(A$23:A760,"&gt;0")+1)</f>
        <v/>
      </c>
      <c r="B761" s="379"/>
      <c r="C761" s="76" t="str">
        <f t="shared" si="327"/>
        <v>x1</v>
      </c>
      <c r="D761" s="98" t="str">
        <f>A!C752</f>
        <v>N. Joey Tomocik</v>
      </c>
      <c r="E761" s="78"/>
      <c r="F761" s="78"/>
      <c r="G761" s="125"/>
      <c r="H761" s="89" t="str">
        <f>A!Q752</f>
        <v>relatively new hybrid, double yellow blossoms and free flowering</v>
      </c>
      <c r="I761" s="69"/>
      <c r="J761" s="202"/>
      <c r="K761" s="83">
        <f>IF(A!G752="y",1,0)</f>
        <v>1</v>
      </c>
      <c r="L761" s="83">
        <f>IF(A!H752="y",1,0)</f>
        <v>0</v>
      </c>
      <c r="M761" s="137" t="str">
        <f>IF(A!F821="y","NEW","")</f>
        <v/>
      </c>
      <c r="N761" s="85" t="str">
        <f>A!I752</f>
        <v>y</v>
      </c>
      <c r="O761" s="380">
        <f>A!O752</f>
        <v>4</v>
      </c>
      <c r="P761" s="541"/>
      <c r="Q761" s="541" t="str">
        <f>A!E752</f>
        <v>y</v>
      </c>
      <c r="R761" s="541" t="s">
        <v>836</v>
      </c>
      <c r="S761" s="541">
        <f t="shared" si="328"/>
        <v>0</v>
      </c>
      <c r="T761" s="541" t="str">
        <f>A!R752</f>
        <v>x1</v>
      </c>
      <c r="U761" s="541">
        <f>A!S752</f>
        <v>40</v>
      </c>
      <c r="V761" s="541">
        <f>A!T752</f>
        <v>8.3333333333333329E-2</v>
      </c>
      <c r="W761" s="541">
        <f t="shared" si="329"/>
        <v>0</v>
      </c>
      <c r="X761" s="541"/>
    </row>
    <row r="762" spans="1:24" ht="11.25" hidden="1" customHeight="1" x14ac:dyDescent="0.25">
      <c r="A762" s="121" t="str">
        <f>IF(S762=0,"",COUNTIF(A$23:A761,"&gt;0")+1)</f>
        <v/>
      </c>
      <c r="B762" s="379"/>
      <c r="C762" s="76" t="str">
        <f t="shared" si="327"/>
        <v>x1</v>
      </c>
      <c r="D762" s="98" t="str">
        <f>A!C753</f>
        <v>N. Lemon Mist</v>
      </c>
      <c r="E762" s="78"/>
      <c r="F762" s="78"/>
      <c r="G762" s="125"/>
      <c r="H762" s="89">
        <f>A!Q753</f>
        <v>0</v>
      </c>
      <c r="I762" s="69"/>
      <c r="J762" s="202"/>
      <c r="K762" s="83">
        <f>IF(A!G753="y",1,0)</f>
        <v>0</v>
      </c>
      <c r="L762" s="83">
        <f>IF(A!H753="y",1,0)</f>
        <v>0</v>
      </c>
      <c r="M762" s="84" t="str">
        <f>IF(A!F753="y","NEW","")</f>
        <v/>
      </c>
      <c r="N762" s="85">
        <f>A!I753</f>
        <v>0</v>
      </c>
      <c r="O762" s="380">
        <f>A!O753</f>
        <v>4</v>
      </c>
      <c r="P762" s="541"/>
      <c r="Q762" s="541">
        <f>A!E753</f>
        <v>0</v>
      </c>
      <c r="R762" s="541" t="s">
        <v>836</v>
      </c>
      <c r="S762" s="541">
        <f t="shared" si="328"/>
        <v>0</v>
      </c>
      <c r="T762" s="541" t="str">
        <f>A!R753</f>
        <v>x1</v>
      </c>
      <c r="U762" s="541">
        <f>A!S753</f>
        <v>40</v>
      </c>
      <c r="V762" s="541">
        <f>A!T753</f>
        <v>8.3333333333333329E-2</v>
      </c>
      <c r="W762" s="541">
        <f t="shared" si="329"/>
        <v>0</v>
      </c>
      <c r="X762" s="541"/>
    </row>
    <row r="763" spans="1:24" ht="11.25" hidden="1" customHeight="1" x14ac:dyDescent="0.25">
      <c r="A763" s="121" t="str">
        <f>IF(S763=0,"",COUNTIF(A$23:A762,"&gt;0")+1)</f>
        <v/>
      </c>
      <c r="B763" s="379"/>
      <c r="C763" s="76" t="str">
        <f t="shared" si="327"/>
        <v>x1</v>
      </c>
      <c r="D763" s="98" t="str">
        <f>A!C754</f>
        <v>N. Madame Wilfron Gonnere</v>
      </c>
      <c r="E763" s="78"/>
      <c r="F763" s="78"/>
      <c r="G763" s="125"/>
      <c r="H763" s="89" t="str">
        <f>A!Q754</f>
        <v>this beautiful variety has large, cup-shaped double flowers in rose pink</v>
      </c>
      <c r="I763" s="69"/>
      <c r="J763" s="202"/>
      <c r="K763" s="83">
        <f>IF(A!G754="y",1,0)</f>
        <v>0</v>
      </c>
      <c r="L763" s="83">
        <f>IF(A!H754="y",1,0)</f>
        <v>0</v>
      </c>
      <c r="M763" s="84" t="str">
        <f>IF(A!F754="y","NEW","")</f>
        <v/>
      </c>
      <c r="N763" s="85">
        <f>A!I754</f>
        <v>0</v>
      </c>
      <c r="O763" s="380">
        <f>A!O754</f>
        <v>4</v>
      </c>
      <c r="P763" s="541"/>
      <c r="Q763" s="541">
        <f>A!E754</f>
        <v>0</v>
      </c>
      <c r="R763" s="541" t="s">
        <v>836</v>
      </c>
      <c r="S763" s="541">
        <f t="shared" si="328"/>
        <v>0</v>
      </c>
      <c r="T763" s="541" t="str">
        <f>A!R754</f>
        <v>x1</v>
      </c>
      <c r="U763" s="541">
        <f>A!S754</f>
        <v>40</v>
      </c>
      <c r="V763" s="541">
        <f>A!T754</f>
        <v>8.3333333333333329E-2</v>
      </c>
      <c r="W763" s="541">
        <f t="shared" si="329"/>
        <v>0</v>
      </c>
      <c r="X763" s="541"/>
    </row>
    <row r="764" spans="1:24" ht="11.25" hidden="1" customHeight="1" x14ac:dyDescent="0.25">
      <c r="A764" s="121" t="str">
        <f>IF(S764=0,"",COUNTIF(A$23:A763,"&gt;0")+1)</f>
        <v/>
      </c>
      <c r="B764" s="379"/>
      <c r="C764" s="76" t="str">
        <f t="shared" si="327"/>
        <v>x1</v>
      </c>
      <c r="D764" s="98" t="str">
        <f>A!C755</f>
        <v>N. Marliacea Albida</v>
      </c>
      <c r="E764" s="78"/>
      <c r="F764" s="78"/>
      <c r="G764" s="125"/>
      <c r="H764" s="89" t="str">
        <f>A!Q755</f>
        <v>gorgeous cup shaped, snow white flowers that are very fragrant</v>
      </c>
      <c r="I764" s="69"/>
      <c r="J764" s="202"/>
      <c r="K764" s="83">
        <f>IF(A!G755="y",1,0)</f>
        <v>0</v>
      </c>
      <c r="L764" s="83">
        <f>IF(A!H755="y",1,0)</f>
        <v>0</v>
      </c>
      <c r="M764" s="84" t="str">
        <f>IF(A!F755="y","NEW","")</f>
        <v/>
      </c>
      <c r="N764" s="85">
        <f>A!I755</f>
        <v>0</v>
      </c>
      <c r="O764" s="380">
        <f>A!O755</f>
        <v>4</v>
      </c>
      <c r="P764" s="541"/>
      <c r="Q764" s="541">
        <f>A!E755</f>
        <v>0</v>
      </c>
      <c r="R764" s="541" t="s">
        <v>836</v>
      </c>
      <c r="S764" s="541">
        <f t="shared" si="328"/>
        <v>0</v>
      </c>
      <c r="T764" s="541" t="str">
        <f>A!R755</f>
        <v>x1</v>
      </c>
      <c r="U764" s="541">
        <f>A!S755</f>
        <v>40</v>
      </c>
      <c r="V764" s="541">
        <f>A!T755</f>
        <v>8.3333333333333329E-2</v>
      </c>
      <c r="W764" s="541">
        <f t="shared" si="329"/>
        <v>0</v>
      </c>
      <c r="X764" s="541"/>
    </row>
    <row r="765" spans="1:24" ht="11.25" customHeight="1" thickBot="1" x14ac:dyDescent="0.3">
      <c r="A765" s="121" t="str">
        <f>IF(S765=0,"",COUNTIF(A$23:A764,"&gt;0")+1)</f>
        <v/>
      </c>
      <c r="B765" s="382"/>
      <c r="C765" s="383" t="str">
        <f t="shared" si="327"/>
        <v>x1</v>
      </c>
      <c r="D765" s="384" t="str">
        <f>A!C756</f>
        <v>N. Marliacea Carnea</v>
      </c>
      <c r="E765" s="385"/>
      <c r="F765" s="385"/>
      <c r="G765" s="386"/>
      <c r="H765" s="388" t="str">
        <f>A!Q756</f>
        <v>fairly vigorous variety, with very pale pink flowers, leaves tinged purple</v>
      </c>
      <c r="I765" s="401"/>
      <c r="J765" s="402"/>
      <c r="K765" s="403">
        <f>IF(A!G756="y",1,0)</f>
        <v>1</v>
      </c>
      <c r="L765" s="403">
        <f>IF(A!H756="y",1,0)</f>
        <v>1</v>
      </c>
      <c r="M765" s="415" t="str">
        <f>IF(A!F756="y","NEW","")</f>
        <v/>
      </c>
      <c r="N765" s="404" t="str">
        <f>A!I756</f>
        <v>Y</v>
      </c>
      <c r="O765" s="390">
        <f>A!O756</f>
        <v>4</v>
      </c>
      <c r="P765" s="541"/>
      <c r="Q765" s="541" t="str">
        <f>A!E756</f>
        <v>y</v>
      </c>
      <c r="R765" s="541" t="s">
        <v>836</v>
      </c>
      <c r="S765" s="541">
        <f t="shared" si="328"/>
        <v>0</v>
      </c>
      <c r="T765" s="541" t="str">
        <f>A!R756</f>
        <v>x1</v>
      </c>
      <c r="U765" s="541">
        <f>A!S756</f>
        <v>40</v>
      </c>
      <c r="V765" s="541">
        <f>A!T756</f>
        <v>8.3333333333333329E-2</v>
      </c>
      <c r="W765" s="541">
        <f>V765*B765</f>
        <v>0</v>
      </c>
      <c r="X765" s="541"/>
    </row>
    <row r="766" spans="1:24" ht="11.25" hidden="1" customHeight="1" x14ac:dyDescent="0.25">
      <c r="A766" s="121" t="str">
        <f>IF(S766=0,"",COUNTIF(A$23:A765,"&gt;0")+1)</f>
        <v/>
      </c>
      <c r="B766" s="377"/>
      <c r="C766" s="128" t="str">
        <f t="shared" si="327"/>
        <v>x1</v>
      </c>
      <c r="D766" s="119" t="str">
        <f>A!C757</f>
        <v>N. Marliacea Chromatella</v>
      </c>
      <c r="E766" s="113"/>
      <c r="F766" s="113"/>
      <c r="G766" s="278"/>
      <c r="H766" s="129">
        <f>A!Q757</f>
        <v>0</v>
      </c>
      <c r="I766" s="130"/>
      <c r="J766" s="203"/>
      <c r="K766" s="131">
        <f>IF(A!G757="y",1,0)</f>
        <v>0</v>
      </c>
      <c r="L766" s="131">
        <f>IF(A!H757="y",1,0)</f>
        <v>0</v>
      </c>
      <c r="M766" s="132" t="str">
        <f>IF(A!F757="y","NEW","")</f>
        <v/>
      </c>
      <c r="N766" s="133">
        <f>A!I757</f>
        <v>0</v>
      </c>
      <c r="O766" s="378">
        <f>A!O757</f>
        <v>4</v>
      </c>
      <c r="P766" s="541"/>
      <c r="Q766" s="541">
        <f>A!E757</f>
        <v>0</v>
      </c>
      <c r="R766" s="541" t="s">
        <v>836</v>
      </c>
      <c r="S766" s="541">
        <f t="shared" si="328"/>
        <v>0</v>
      </c>
      <c r="T766" s="541" t="str">
        <f>A!R757</f>
        <v>x1</v>
      </c>
      <c r="U766" s="541">
        <f>A!S757</f>
        <v>40</v>
      </c>
      <c r="V766" s="541">
        <f>A!T757</f>
        <v>8.3333333333333329E-2</v>
      </c>
      <c r="W766" s="541">
        <f t="shared" si="329"/>
        <v>0</v>
      </c>
      <c r="X766" s="541"/>
    </row>
    <row r="767" spans="1:24" ht="11.25" hidden="1" customHeight="1" x14ac:dyDescent="0.25">
      <c r="A767" s="121" t="str">
        <f>IF(S767=0,"",COUNTIF(A$23:A766,"&gt;0")+1)</f>
        <v/>
      </c>
      <c r="B767" s="379"/>
      <c r="C767" s="76" t="str">
        <f t="shared" si="327"/>
        <v>x1</v>
      </c>
      <c r="D767" s="98" t="str">
        <f>A!C758</f>
        <v>N. Mayla</v>
      </c>
      <c r="E767" s="78"/>
      <c r="F767" s="78"/>
      <c r="G767" s="125"/>
      <c r="H767" s="89">
        <f>A!Q758</f>
        <v>0</v>
      </c>
      <c r="I767" s="69"/>
      <c r="J767" s="202"/>
      <c r="K767" s="83">
        <f>IF(A!G758="y",1,0)</f>
        <v>0</v>
      </c>
      <c r="L767" s="83">
        <f>IF(A!H758="y",1,0)</f>
        <v>0</v>
      </c>
      <c r="M767" s="84" t="str">
        <f>IF(A!F758="y","NEW","")</f>
        <v/>
      </c>
      <c r="N767" s="85">
        <f>A!I758</f>
        <v>0</v>
      </c>
      <c r="O767" s="380">
        <f>A!O758</f>
        <v>4</v>
      </c>
      <c r="P767" s="541"/>
      <c r="Q767" s="541">
        <f>A!E758</f>
        <v>0</v>
      </c>
      <c r="R767" s="541" t="s">
        <v>836</v>
      </c>
      <c r="S767" s="541">
        <f t="shared" si="328"/>
        <v>0</v>
      </c>
      <c r="T767" s="541" t="str">
        <f>A!R758</f>
        <v>x1</v>
      </c>
      <c r="U767" s="541">
        <f>A!S758</f>
        <v>40</v>
      </c>
      <c r="V767" s="541">
        <f>A!T758</f>
        <v>8.3333333333333329E-2</v>
      </c>
      <c r="W767" s="541">
        <f t="shared" si="329"/>
        <v>0</v>
      </c>
      <c r="X767" s="541"/>
    </row>
    <row r="768" spans="1:24" ht="11.25" hidden="1" customHeight="1" x14ac:dyDescent="0.25">
      <c r="A768" s="121" t="str">
        <f>IF(S768=0,"",COUNTIF(A$23:A767,"&gt;0")+1)</f>
        <v/>
      </c>
      <c r="B768" s="379"/>
      <c r="C768" s="76" t="str">
        <f t="shared" si="327"/>
        <v>x1</v>
      </c>
      <c r="D768" s="98" t="str">
        <f>A!C759</f>
        <v>N. Moorei</v>
      </c>
      <c r="E768" s="78"/>
      <c r="F768" s="78"/>
      <c r="G768" s="125"/>
      <c r="H768" s="89" t="str">
        <f>A!Q759</f>
        <v>rich yellow flowers with golden stamens, leaves are green with maroon blotches</v>
      </c>
      <c r="I768" s="69"/>
      <c r="J768" s="202"/>
      <c r="K768" s="83">
        <f>IF(A!G759="y",1,0)</f>
        <v>0</v>
      </c>
      <c r="L768" s="83">
        <f>IF(A!H759="y",1,0)</f>
        <v>0</v>
      </c>
      <c r="M768" s="84" t="str">
        <f>IF(A!F759="y","NEW","")</f>
        <v/>
      </c>
      <c r="N768" s="85">
        <f>A!I759</f>
        <v>0</v>
      </c>
      <c r="O768" s="380">
        <f>A!O759</f>
        <v>4</v>
      </c>
      <c r="P768" s="541"/>
      <c r="Q768" s="541">
        <f>A!E759</f>
        <v>0</v>
      </c>
      <c r="R768" s="541" t="s">
        <v>836</v>
      </c>
      <c r="S768" s="541">
        <f t="shared" si="328"/>
        <v>0</v>
      </c>
      <c r="T768" s="541" t="str">
        <f>A!R759</f>
        <v>x1</v>
      </c>
      <c r="U768" s="541">
        <f>A!S759</f>
        <v>40</v>
      </c>
      <c r="V768" s="541">
        <f>A!T759</f>
        <v>8.3333333333333329E-2</v>
      </c>
      <c r="W768" s="541">
        <f t="shared" si="329"/>
        <v>0</v>
      </c>
      <c r="X768" s="541"/>
    </row>
    <row r="769" spans="1:24" ht="11.25" hidden="1" customHeight="1" thickBot="1" x14ac:dyDescent="0.3">
      <c r="A769" s="121" t="str">
        <f>IF(S769=0,"",COUNTIF(A$23:A768,"&gt;0")+1)</f>
        <v/>
      </c>
      <c r="B769" s="382"/>
      <c r="C769" s="383" t="str">
        <f t="shared" si="327"/>
        <v>x1</v>
      </c>
      <c r="D769" s="384" t="str">
        <f>A!C760</f>
        <v>N. Mrs Richmond</v>
      </c>
      <c r="E769" s="385"/>
      <c r="F769" s="385"/>
      <c r="G769" s="386"/>
      <c r="H769" s="388" t="str">
        <f>A!Q760</f>
        <v>deep pink flowers with prolific foliage</v>
      </c>
      <c r="I769" s="401"/>
      <c r="J769" s="402"/>
      <c r="K769" s="403">
        <f>IF(A!G760="y",1,0)</f>
        <v>0</v>
      </c>
      <c r="L769" s="403">
        <f>IF(A!H760="y",1,0)</f>
        <v>0</v>
      </c>
      <c r="M769" s="618" t="str">
        <f>IF(A!F829="y","NEW","")</f>
        <v/>
      </c>
      <c r="N769" s="404">
        <f>A!I760</f>
        <v>0</v>
      </c>
      <c r="O769" s="390">
        <f>A!O760</f>
        <v>4</v>
      </c>
      <c r="P769" s="541"/>
      <c r="Q769" s="541">
        <f>A!E760</f>
        <v>0</v>
      </c>
      <c r="R769" s="541" t="s">
        <v>836</v>
      </c>
      <c r="S769" s="541">
        <f t="shared" si="328"/>
        <v>0</v>
      </c>
      <c r="T769" s="541" t="str">
        <f>A!R760</f>
        <v>x1</v>
      </c>
      <c r="U769" s="541">
        <f>A!S760</f>
        <v>40</v>
      </c>
      <c r="V769" s="541">
        <f>A!T760</f>
        <v>8.3333333333333329E-2</v>
      </c>
      <c r="W769" s="541">
        <f t="shared" si="329"/>
        <v>0</v>
      </c>
      <c r="X769" s="541"/>
    </row>
    <row r="770" spans="1:24" ht="12" hidden="1" customHeight="1" x14ac:dyDescent="0.25">
      <c r="A770" s="121" t="str">
        <f>IF(S770=0,"",COUNTIF(A$23:A769,"&gt;0")+1)</f>
        <v/>
      </c>
      <c r="B770" s="377"/>
      <c r="C770" s="128" t="str">
        <f t="shared" si="327"/>
        <v>x1</v>
      </c>
      <c r="D770" s="119" t="str">
        <f>A!C761</f>
        <v>N. Odorata Alba</v>
      </c>
      <c r="E770" s="113"/>
      <c r="F770" s="113"/>
      <c r="G770" s="278"/>
      <c r="H770" s="129">
        <f>A!Q761</f>
        <v>0</v>
      </c>
      <c r="I770" s="130"/>
      <c r="J770" s="203"/>
      <c r="K770" s="131">
        <f>IF(A!G761="y",1,0)</f>
        <v>0</v>
      </c>
      <c r="L770" s="131">
        <f>IF(A!H761="y",1,0)</f>
        <v>0</v>
      </c>
      <c r="M770" s="132" t="str">
        <f>IF(A!F761="y","NEW","")</f>
        <v/>
      </c>
      <c r="N770" s="133">
        <f>A!I761</f>
        <v>0</v>
      </c>
      <c r="O770" s="378">
        <f>A!O761</f>
        <v>4</v>
      </c>
      <c r="P770" s="541"/>
      <c r="Q770" s="541">
        <f>A!E761</f>
        <v>0</v>
      </c>
      <c r="R770" s="541" t="s">
        <v>836</v>
      </c>
      <c r="S770" s="541">
        <f t="shared" si="328"/>
        <v>0</v>
      </c>
      <c r="T770" s="541" t="str">
        <f>A!R761</f>
        <v>x1</v>
      </c>
      <c r="U770" s="541">
        <f>A!S761</f>
        <v>40</v>
      </c>
      <c r="V770" s="541">
        <f>A!T761</f>
        <v>8.3333333333333329E-2</v>
      </c>
      <c r="W770" s="541">
        <f t="shared" si="329"/>
        <v>0</v>
      </c>
      <c r="X770" s="541"/>
    </row>
    <row r="771" spans="1:24" ht="12" hidden="1" customHeight="1" x14ac:dyDescent="0.25">
      <c r="A771" s="121" t="str">
        <f>IF(S771=0,"",COUNTIF(A$23:A770,"&gt;0")+1)</f>
        <v/>
      </c>
      <c r="B771" s="379"/>
      <c r="C771" s="76" t="str">
        <f t="shared" si="327"/>
        <v>x1</v>
      </c>
      <c r="D771" s="98" t="str">
        <f>A!C762</f>
        <v>N. Odorata Sulphurea</v>
      </c>
      <c r="E771" s="78"/>
      <c r="F771" s="78"/>
      <c r="G771" s="125"/>
      <c r="H771" s="89">
        <f>A!Q762</f>
        <v>0</v>
      </c>
      <c r="I771" s="69"/>
      <c r="J771" s="202"/>
      <c r="K771" s="83">
        <f>IF(A!G762="y",1,0)</f>
        <v>0</v>
      </c>
      <c r="L771" s="83">
        <f>IF(A!H762="y",1,0)</f>
        <v>0</v>
      </c>
      <c r="M771" s="84" t="str">
        <f>IF(A!F762="y","NEW","")</f>
        <v/>
      </c>
      <c r="N771" s="85">
        <f>A!I762</f>
        <v>0</v>
      </c>
      <c r="O771" s="380">
        <f>A!O762</f>
        <v>4</v>
      </c>
      <c r="P771" s="541"/>
      <c r="Q771" s="541">
        <f>A!E762</f>
        <v>0</v>
      </c>
      <c r="R771" s="541" t="s">
        <v>836</v>
      </c>
      <c r="S771" s="541">
        <f t="shared" si="328"/>
        <v>0</v>
      </c>
      <c r="T771" s="541" t="str">
        <f>A!R762</f>
        <v>x1</v>
      </c>
      <c r="U771" s="541">
        <f>A!S762</f>
        <v>40</v>
      </c>
      <c r="V771" s="541">
        <f>A!T762</f>
        <v>8.3333333333333329E-2</v>
      </c>
      <c r="W771" s="541">
        <f t="shared" si="329"/>
        <v>0</v>
      </c>
      <c r="X771" s="541"/>
    </row>
    <row r="772" spans="1:24" ht="12" hidden="1" customHeight="1" x14ac:dyDescent="0.25">
      <c r="A772" s="121" t="str">
        <f>IF(S772=0,"",COUNTIF(A$23:A771,"&gt;0")+1)</f>
        <v/>
      </c>
      <c r="B772" s="379"/>
      <c r="C772" s="76" t="str">
        <f t="shared" si="327"/>
        <v>x1</v>
      </c>
      <c r="D772" s="98" t="str">
        <f>A!C763</f>
        <v>N. Rene Gerard</v>
      </c>
      <c r="E772" s="78"/>
      <c r="F772" s="78"/>
      <c r="G772" s="125"/>
      <c r="H772" s="89">
        <f>A!Q763</f>
        <v>0</v>
      </c>
      <c r="I772" s="69"/>
      <c r="J772" s="202"/>
      <c r="K772" s="83">
        <f>IF(A!G763="y",1,0)</f>
        <v>0</v>
      </c>
      <c r="L772" s="83">
        <f>IF(A!H763="y",1,0)</f>
        <v>0</v>
      </c>
      <c r="M772" s="84" t="str">
        <f>IF(A!F763="y","NEW","")</f>
        <v/>
      </c>
      <c r="N772" s="85">
        <f>A!I763</f>
        <v>0</v>
      </c>
      <c r="O772" s="380">
        <f>A!O763</f>
        <v>4</v>
      </c>
      <c r="P772" s="541"/>
      <c r="Q772" s="541">
        <f>A!E763</f>
        <v>0</v>
      </c>
      <c r="R772" s="541" t="s">
        <v>836</v>
      </c>
      <c r="S772" s="541">
        <f t="shared" si="328"/>
        <v>0</v>
      </c>
      <c r="T772" s="541" t="str">
        <f>A!R763</f>
        <v>x1</v>
      </c>
      <c r="U772" s="541">
        <f>A!S763</f>
        <v>40</v>
      </c>
      <c r="V772" s="541">
        <f>A!T763</f>
        <v>8.3333333333333329E-2</v>
      </c>
      <c r="W772" s="541">
        <f t="shared" si="329"/>
        <v>0</v>
      </c>
      <c r="X772" s="541"/>
    </row>
    <row r="773" spans="1:24" ht="12" hidden="1" customHeight="1" x14ac:dyDescent="0.25">
      <c r="A773" s="121" t="str">
        <f>IF(S773=0,"",COUNTIF(A$23:A772,"&gt;0")+1)</f>
        <v/>
      </c>
      <c r="B773" s="379"/>
      <c r="C773" s="76" t="str">
        <f t="shared" si="327"/>
        <v>x1</v>
      </c>
      <c r="D773" s="98" t="str">
        <f>A!C764</f>
        <v>N. Rose Arey</v>
      </c>
      <c r="E773" s="78"/>
      <c r="F773" s="78"/>
      <c r="G773" s="125"/>
      <c r="H773" s="89" t="str">
        <f>A!Q764</f>
        <v>beautiful stellate flowers are a rich pink with golden stamens, deep green leaves</v>
      </c>
      <c r="I773" s="69"/>
      <c r="J773" s="202"/>
      <c r="K773" s="83">
        <f>IF(A!G764="y",1,0)</f>
        <v>0</v>
      </c>
      <c r="L773" s="83">
        <f>IF(A!H764="y",1,0)</f>
        <v>0</v>
      </c>
      <c r="M773" s="84" t="str">
        <f>IF(A!F764="y","NEW","")</f>
        <v/>
      </c>
      <c r="N773" s="85">
        <f>A!I764</f>
        <v>0</v>
      </c>
      <c r="O773" s="380">
        <f>A!O764</f>
        <v>4</v>
      </c>
      <c r="P773" s="541"/>
      <c r="Q773" s="541">
        <f>A!E764</f>
        <v>0</v>
      </c>
      <c r="R773" s="541" t="s">
        <v>836</v>
      </c>
      <c r="S773" s="541">
        <f t="shared" si="328"/>
        <v>0</v>
      </c>
      <c r="T773" s="541" t="str">
        <f>A!R764</f>
        <v>x1</v>
      </c>
      <c r="U773" s="541">
        <f>A!S764</f>
        <v>40</v>
      </c>
      <c r="V773" s="541">
        <f>A!T764</f>
        <v>8.3333333333333329E-2</v>
      </c>
      <c r="W773" s="541">
        <f t="shared" si="329"/>
        <v>0</v>
      </c>
      <c r="X773" s="541"/>
    </row>
    <row r="774" spans="1:24" ht="12" hidden="1" customHeight="1" thickBot="1" x14ac:dyDescent="0.3">
      <c r="A774" s="121" t="str">
        <f>IF(S774=0,"",COUNTIF(A$23:A773,"&gt;0")+1)</f>
        <v/>
      </c>
      <c r="B774" s="382"/>
      <c r="C774" s="383" t="str">
        <f t="shared" si="327"/>
        <v>x1</v>
      </c>
      <c r="D774" s="384" t="str">
        <f>A!C765</f>
        <v>N. Rose Nymphe</v>
      </c>
      <c r="E774" s="385"/>
      <c r="F774" s="385"/>
      <c r="G774" s="386"/>
      <c r="H774" s="388" t="str">
        <f>A!Q765</f>
        <v>flowers are a pale waxy-pink with long outer petals, leaves are deep green</v>
      </c>
      <c r="I774" s="401"/>
      <c r="J774" s="402"/>
      <c r="K774" s="403">
        <f>IF(A!G765="y",1,0)</f>
        <v>0</v>
      </c>
      <c r="L774" s="403">
        <f>IF(A!H765="y",1,0)</f>
        <v>0</v>
      </c>
      <c r="M774" s="415" t="str">
        <f>IF(A!F765="y","NEW","")</f>
        <v/>
      </c>
      <c r="N774" s="404">
        <f>A!I765</f>
        <v>0</v>
      </c>
      <c r="O774" s="390">
        <f>A!O765</f>
        <v>4</v>
      </c>
      <c r="P774" s="541"/>
      <c r="Q774" s="541">
        <f>A!E765</f>
        <v>0</v>
      </c>
      <c r="R774" s="541" t="s">
        <v>836</v>
      </c>
      <c r="S774" s="541">
        <f t="shared" si="328"/>
        <v>0</v>
      </c>
      <c r="T774" s="541" t="str">
        <f>A!R765</f>
        <v>x1</v>
      </c>
      <c r="U774" s="541">
        <f>A!S765</f>
        <v>40</v>
      </c>
      <c r="V774" s="541">
        <f>A!T765</f>
        <v>8.3333333333333329E-2</v>
      </c>
      <c r="W774" s="541">
        <f t="shared" si="329"/>
        <v>0</v>
      </c>
      <c r="X774" s="541"/>
    </row>
    <row r="775" spans="1:24" ht="12" hidden="1" customHeight="1" x14ac:dyDescent="0.25">
      <c r="A775" s="121" t="str">
        <f>IF(S775=0,"",COUNTIF(A$23:A774,"&gt;0")+1)</f>
        <v/>
      </c>
      <c r="B775" s="127"/>
      <c r="C775" s="128" t="str">
        <f t="shared" si="327"/>
        <v>x1</v>
      </c>
      <c r="D775" s="119" t="str">
        <f>A!C766</f>
        <v>N. Sioux</v>
      </c>
      <c r="E775" s="113"/>
      <c r="F775" s="113"/>
      <c r="G775" s="278"/>
      <c r="H775" s="129">
        <f>A!Q766</f>
        <v>0</v>
      </c>
      <c r="I775" s="130"/>
      <c r="J775" s="203">
        <f>A!P766</f>
        <v>0</v>
      </c>
      <c r="K775" s="131">
        <f>IF(A!G766="y",1,0)</f>
        <v>0</v>
      </c>
      <c r="L775" s="131">
        <f>IF(A!H766="y",1,0)</f>
        <v>0</v>
      </c>
      <c r="M775" s="132" t="str">
        <f>IF(A!F766="y","NEW","")</f>
        <v/>
      </c>
      <c r="N775" s="133">
        <f>A!I766</f>
        <v>0</v>
      </c>
      <c r="O775" s="134">
        <f>A!O766</f>
        <v>4</v>
      </c>
      <c r="P775" s="541"/>
      <c r="Q775" s="541">
        <f>A!E766</f>
        <v>0</v>
      </c>
      <c r="R775" s="541" t="s">
        <v>836</v>
      </c>
      <c r="S775" s="541">
        <f t="shared" si="328"/>
        <v>0</v>
      </c>
      <c r="T775" s="541" t="str">
        <f>A!R766</f>
        <v>x1</v>
      </c>
      <c r="U775" s="541">
        <f>A!S766</f>
        <v>40</v>
      </c>
      <c r="V775" s="541">
        <f>A!T766</f>
        <v>8.3333333333333329E-2</v>
      </c>
      <c r="W775" s="541">
        <f t="shared" si="329"/>
        <v>0</v>
      </c>
      <c r="X775" s="541"/>
    </row>
    <row r="776" spans="1:24" ht="12" hidden="1" customHeight="1" x14ac:dyDescent="0.25">
      <c r="A776" s="121" t="str">
        <f>IF(S776=0,"",COUNTIF(A$23:A775,"&gt;0")+1)</f>
        <v/>
      </c>
      <c r="B776" s="90"/>
      <c r="C776" s="76" t="str">
        <f t="shared" si="327"/>
        <v>x1</v>
      </c>
      <c r="D776" s="98" t="str">
        <f>A!C767</f>
        <v>N. Virginalis</v>
      </c>
      <c r="E776" s="78"/>
      <c r="F776" s="78"/>
      <c r="G776" s="125"/>
      <c r="H776" s="89">
        <f>A!Q767</f>
        <v>0</v>
      </c>
      <c r="I776" s="69"/>
      <c r="J776" s="202">
        <f>A!P767</f>
        <v>0</v>
      </c>
      <c r="K776" s="83">
        <f>IF(A!G767="y",1,0)</f>
        <v>0</v>
      </c>
      <c r="L776" s="83">
        <f>IF(A!H767="y",1,0)</f>
        <v>0</v>
      </c>
      <c r="M776" s="84" t="str">
        <f>IF(A!F767="y","NEW","")</f>
        <v/>
      </c>
      <c r="N776" s="85">
        <f>A!I767</f>
        <v>0</v>
      </c>
      <c r="O776" s="82">
        <f>A!O767</f>
        <v>4</v>
      </c>
      <c r="P776" s="541"/>
      <c r="Q776" s="541">
        <f>A!E767</f>
        <v>0</v>
      </c>
      <c r="R776" s="541" t="s">
        <v>836</v>
      </c>
      <c r="S776" s="541">
        <f t="shared" si="328"/>
        <v>0</v>
      </c>
      <c r="T776" s="541" t="str">
        <f>A!R767</f>
        <v>x1</v>
      </c>
      <c r="U776" s="541">
        <f>A!S767</f>
        <v>40</v>
      </c>
      <c r="V776" s="541">
        <f>A!T767</f>
        <v>8.3333333333333329E-2</v>
      </c>
      <c r="W776" s="541">
        <f t="shared" si="329"/>
        <v>0</v>
      </c>
      <c r="X776" s="541"/>
    </row>
    <row r="777" spans="1:24" ht="12" hidden="1" customHeight="1" x14ac:dyDescent="0.25">
      <c r="A777" s="121" t="str">
        <f>IF(S777=0,"",COUNTIF(A$23:A776,"&gt;0")+1)</f>
        <v/>
      </c>
      <c r="B777" s="90"/>
      <c r="C777" s="76" t="str">
        <f t="shared" si="327"/>
        <v>x1</v>
      </c>
      <c r="D777" s="98" t="str">
        <f>A!C768</f>
        <v>N. Wanvisa</v>
      </c>
      <c r="E777" s="78"/>
      <c r="F777" s="78"/>
      <c r="G777" s="125"/>
      <c r="H777" s="89">
        <f>A!Q768</f>
        <v>0</v>
      </c>
      <c r="I777" s="69"/>
      <c r="J777" s="202">
        <f>A!P768</f>
        <v>0</v>
      </c>
      <c r="K777" s="83">
        <f>IF(A!G768="y",1,0)</f>
        <v>0</v>
      </c>
      <c r="L777" s="83">
        <f>IF(A!H768="y",1,0)</f>
        <v>0</v>
      </c>
      <c r="M777" s="84" t="str">
        <f>IF(A!F768="y","NEW","")</f>
        <v/>
      </c>
      <c r="N777" s="85">
        <f>A!I768</f>
        <v>0</v>
      </c>
      <c r="O777" s="82">
        <f>A!O768</f>
        <v>4</v>
      </c>
      <c r="P777" s="541"/>
      <c r="Q777" s="541">
        <f>A!E768</f>
        <v>0</v>
      </c>
      <c r="R777" s="541" t="s">
        <v>836</v>
      </c>
      <c r="S777" s="541">
        <f t="shared" si="328"/>
        <v>0</v>
      </c>
      <c r="T777" s="541" t="str">
        <f>A!R768</f>
        <v>x1</v>
      </c>
      <c r="U777" s="541">
        <f>A!S768</f>
        <v>40</v>
      </c>
      <c r="V777" s="541">
        <f>A!T768</f>
        <v>8.3333333333333329E-2</v>
      </c>
      <c r="W777" s="541">
        <f t="shared" si="329"/>
        <v>0</v>
      </c>
      <c r="X777" s="541"/>
    </row>
    <row r="778" spans="1:24" ht="12" hidden="1" customHeight="1" x14ac:dyDescent="0.25">
      <c r="A778" s="121" t="str">
        <f>IF(S778=0,"",COUNTIF(A$23:A777,"&gt;0")+1)</f>
        <v/>
      </c>
      <c r="B778" s="90"/>
      <c r="C778" s="76" t="str">
        <f t="shared" si="327"/>
        <v>x1</v>
      </c>
      <c r="D778" s="98" t="str">
        <f>A!C769</f>
        <v>Tropical Blue</v>
      </c>
      <c r="E778" s="78"/>
      <c r="F778" s="78"/>
      <c r="G778" s="125"/>
      <c r="H778" s="89">
        <f>A!Q769</f>
        <v>0</v>
      </c>
      <c r="I778" s="69"/>
      <c r="J778" s="202">
        <f>A!P769</f>
        <v>0</v>
      </c>
      <c r="K778" s="83">
        <f>IF(A!G769="y",1,0)</f>
        <v>0</v>
      </c>
      <c r="L778" s="83">
        <f>IF(A!H769="y",1,0)</f>
        <v>0</v>
      </c>
      <c r="M778" s="84" t="str">
        <f>IF(A!F769="y","NEW","")</f>
        <v/>
      </c>
      <c r="N778" s="85">
        <f>A!I769</f>
        <v>0</v>
      </c>
      <c r="O778" s="82">
        <f>A!O769</f>
        <v>4</v>
      </c>
      <c r="P778" s="541"/>
      <c r="Q778" s="541">
        <f>A!E769</f>
        <v>0</v>
      </c>
      <c r="R778" s="541" t="s">
        <v>836</v>
      </c>
      <c r="S778" s="541">
        <f t="shared" si="328"/>
        <v>0</v>
      </c>
      <c r="T778" s="541" t="str">
        <f>A!R769</f>
        <v>x1</v>
      </c>
      <c r="U778" s="541">
        <f>A!S769</f>
        <v>40</v>
      </c>
      <c r="V778" s="541">
        <f>A!T769</f>
        <v>8.3333333333333329E-2</v>
      </c>
      <c r="W778" s="541">
        <f t="shared" si="329"/>
        <v>0</v>
      </c>
      <c r="X778" s="541"/>
    </row>
    <row r="779" spans="1:24" x14ac:dyDescent="0.25">
      <c r="A779" s="121" t="str">
        <f>IF(S779=0,"",COUNTIF(A$23:A778,"&gt;0")+1)</f>
        <v/>
      </c>
      <c r="B779" s="92">
        <f>SUM(B741:B778)</f>
        <v>0</v>
      </c>
      <c r="C779" s="92"/>
      <c r="D779" s="93" t="s">
        <v>1364</v>
      </c>
      <c r="E779" s="56"/>
      <c r="F779" s="56"/>
      <c r="G779" s="56"/>
      <c r="H779" s="56"/>
      <c r="I779" s="56"/>
      <c r="J779" s="200"/>
      <c r="K779" s="56"/>
      <c r="L779" s="56"/>
      <c r="M779" s="58"/>
      <c r="N779" s="56"/>
      <c r="O779" s="94"/>
      <c r="P779" s="541"/>
      <c r="Q779" s="540"/>
      <c r="R779" s="541" t="s">
        <v>836</v>
      </c>
      <c r="S779" s="541">
        <f t="shared" si="328"/>
        <v>0</v>
      </c>
      <c r="T779" s="541" t="s">
        <v>548</v>
      </c>
      <c r="U779" s="541"/>
      <c r="V779" s="541"/>
      <c r="W779" s="541"/>
      <c r="X779" s="541"/>
    </row>
    <row r="780" spans="1:24" ht="8.25" customHeight="1" thickBot="1" x14ac:dyDescent="0.3">
      <c r="A780" s="121" t="str">
        <f>IF(S780=0,"",COUNTIF(A$23:A779,"&gt;0")+1)</f>
        <v/>
      </c>
      <c r="P780" s="541"/>
      <c r="Q780" s="541"/>
      <c r="R780" s="541"/>
      <c r="S780" s="541"/>
      <c r="T780" s="541"/>
      <c r="U780" s="541"/>
      <c r="V780" s="541"/>
      <c r="W780" s="541"/>
      <c r="X780" s="541"/>
    </row>
    <row r="781" spans="1:24" ht="8.25" customHeight="1" x14ac:dyDescent="0.25">
      <c r="A781" s="121" t="str">
        <f>IF(S781=0,"",COUNTIF(A$23:A780,"&gt;0")+1)</f>
        <v/>
      </c>
      <c r="B781" s="900" t="s">
        <v>115</v>
      </c>
      <c r="C781" s="901"/>
      <c r="D781" s="896" t="s">
        <v>1245</v>
      </c>
      <c r="E781" s="897"/>
      <c r="F781" s="897"/>
      <c r="G781" s="897"/>
      <c r="H781" s="897"/>
      <c r="I781" s="897"/>
      <c r="J781" s="897"/>
      <c r="K781" s="897"/>
      <c r="L781" s="1105" t="s">
        <v>1129</v>
      </c>
      <c r="M781" s="1105"/>
      <c r="N781" s="1105"/>
      <c r="O781" s="375"/>
      <c r="P781" s="541"/>
      <c r="Q781" s="541"/>
      <c r="R781" s="541"/>
      <c r="S781" s="541"/>
      <c r="T781" s="541"/>
      <c r="U781" s="541"/>
      <c r="V781" s="541"/>
      <c r="W781" s="541"/>
      <c r="X781" s="541"/>
    </row>
    <row r="782" spans="1:24" ht="9.75" customHeight="1" thickBot="1" x14ac:dyDescent="0.3">
      <c r="A782" s="121" t="str">
        <f>IF(S782=0,"",COUNTIF(A$23:A781,"&gt;0")+1)</f>
        <v/>
      </c>
      <c r="B782" s="889" t="s">
        <v>210</v>
      </c>
      <c r="C782" s="890"/>
      <c r="D782" s="898"/>
      <c r="E782" s="899"/>
      <c r="F782" s="899"/>
      <c r="G782" s="899"/>
      <c r="H782" s="899"/>
      <c r="I782" s="899"/>
      <c r="J782" s="899"/>
      <c r="K782" s="899"/>
      <c r="L782" s="1106"/>
      <c r="M782" s="1106"/>
      <c r="N782" s="1106"/>
      <c r="O782" s="408" t="s">
        <v>41</v>
      </c>
      <c r="P782" s="541"/>
      <c r="Q782" s="748"/>
      <c r="R782" s="541"/>
      <c r="S782" s="541"/>
      <c r="T782" s="541"/>
      <c r="U782" s="541"/>
      <c r="V782" s="541"/>
      <c r="W782" s="541"/>
      <c r="X782" s="541"/>
    </row>
    <row r="783" spans="1:24" ht="11.25" customHeight="1" x14ac:dyDescent="0.25">
      <c r="A783" s="121" t="str">
        <f>IF(S783=0,"",COUNTIF(A$23:A782,"&gt;0")+1)</f>
        <v/>
      </c>
      <c r="B783" s="377"/>
      <c r="C783" s="128" t="str">
        <f t="shared" ref="C783" si="330">T783</f>
        <v>x1</v>
      </c>
      <c r="D783" s="119" t="str">
        <f>A!C780</f>
        <v>3L Double Planted Waterlily (White, Red)</v>
      </c>
      <c r="E783" s="113"/>
      <c r="F783" s="113"/>
      <c r="G783" s="278"/>
      <c r="H783" s="129" t="str">
        <f>A!Q780</f>
        <v>offering the best of 2 worlds, white &amp; red blooms</v>
      </c>
      <c r="I783" s="116"/>
      <c r="K783" s="1116">
        <v>5021353014945</v>
      </c>
      <c r="L783" s="1116"/>
      <c r="M783" s="1116"/>
      <c r="N783" s="1116"/>
      <c r="O783" s="378">
        <f>A!O780</f>
        <v>4</v>
      </c>
      <c r="P783" s="541"/>
      <c r="Q783" s="541" t="str">
        <f>A!E780</f>
        <v>y</v>
      </c>
      <c r="R783" s="541" t="s">
        <v>942</v>
      </c>
      <c r="S783" s="541">
        <f t="shared" ref="S783" si="331">B783</f>
        <v>0</v>
      </c>
      <c r="T783" s="541" t="str">
        <f>A!R780</f>
        <v>x1</v>
      </c>
      <c r="U783" s="541">
        <f>A!S780</f>
        <v>35</v>
      </c>
      <c r="V783" s="541">
        <f>A!T780</f>
        <v>7.1428571428571425E-2</v>
      </c>
      <c r="W783" s="541">
        <f t="shared" ref="W783:W785" si="332">V783*B783</f>
        <v>0</v>
      </c>
      <c r="X783" s="541"/>
    </row>
    <row r="784" spans="1:24" ht="11.25" customHeight="1" x14ac:dyDescent="0.25">
      <c r="A784" s="121" t="str">
        <f>IF(S784=0,"",COUNTIF(A$23:A783,"&gt;0")+1)</f>
        <v/>
      </c>
      <c r="B784" s="379"/>
      <c r="C784" s="76" t="str">
        <f t="shared" ref="C784:C785" si="333">T784</f>
        <v>x1</v>
      </c>
      <c r="D784" s="98" t="str">
        <f>A!C781</f>
        <v>3L Double Planted Waterlily (Yellow, Pink)</v>
      </c>
      <c r="E784" s="78"/>
      <c r="F784" s="78"/>
      <c r="G784" s="125"/>
      <c r="H784" s="89" t="str">
        <f>A!Q781</f>
        <v>offering the best of 2 worlds, yellow &amp; pink blooms</v>
      </c>
      <c r="I784" s="81"/>
      <c r="J784" s="424"/>
      <c r="K784" s="1110">
        <v>5021353014945</v>
      </c>
      <c r="L784" s="1110"/>
      <c r="M784" s="1110"/>
      <c r="N784" s="1110"/>
      <c r="O784" s="380">
        <f>A!O781</f>
        <v>4</v>
      </c>
      <c r="P784" s="541"/>
      <c r="Q784" s="541" t="str">
        <f>A!E781</f>
        <v>y</v>
      </c>
      <c r="R784" s="541" t="s">
        <v>942</v>
      </c>
      <c r="S784" s="541">
        <f t="shared" ref="S784:S786" si="334">B784</f>
        <v>0</v>
      </c>
      <c r="T784" s="541" t="str">
        <f>A!R781</f>
        <v>x1</v>
      </c>
      <c r="U784" s="541">
        <f>A!S781</f>
        <v>35</v>
      </c>
      <c r="V784" s="541">
        <f>A!T781</f>
        <v>7.1428571428571425E-2</v>
      </c>
      <c r="W784" s="541">
        <f t="shared" si="332"/>
        <v>0</v>
      </c>
      <c r="X784" s="541"/>
    </row>
    <row r="785" spans="1:24" ht="11.25" customHeight="1" thickBot="1" x14ac:dyDescent="0.3">
      <c r="A785" s="121" t="str">
        <f>IF(S785=0,"",COUNTIF(A$23:A784,"&gt;0")+1)</f>
        <v/>
      </c>
      <c r="B785" s="382"/>
      <c r="C785" s="383" t="str">
        <f t="shared" si="333"/>
        <v>x1</v>
      </c>
      <c r="D785" s="384" t="str">
        <f>A!C782</f>
        <v>3L Triple Planted Waterlily</v>
      </c>
      <c r="E785" s="385"/>
      <c r="F785" s="385"/>
      <c r="G785" s="386"/>
      <c r="H785" s="388" t="str">
        <f>A!Q782</f>
        <v>our premium lily giving red, yellow &amp; white blooms</v>
      </c>
      <c r="I785" s="414"/>
      <c r="J785" s="425"/>
      <c r="K785" s="1111">
        <v>5021353014952</v>
      </c>
      <c r="L785" s="1111"/>
      <c r="M785" s="1111"/>
      <c r="N785" s="1111"/>
      <c r="O785" s="390">
        <f>A!O782</f>
        <v>4</v>
      </c>
      <c r="P785" s="541"/>
      <c r="Q785" s="541" t="str">
        <f>A!E782</f>
        <v>y</v>
      </c>
      <c r="R785" s="541" t="s">
        <v>942</v>
      </c>
      <c r="S785" s="541">
        <f t="shared" si="334"/>
        <v>0</v>
      </c>
      <c r="T785" s="541" t="str">
        <f>A!R782</f>
        <v>x1</v>
      </c>
      <c r="U785" s="541">
        <f>A!S782</f>
        <v>35</v>
      </c>
      <c r="V785" s="541">
        <f>A!T782</f>
        <v>7.1428571428571425E-2</v>
      </c>
      <c r="W785" s="541">
        <f t="shared" si="332"/>
        <v>0</v>
      </c>
      <c r="X785" s="541"/>
    </row>
    <row r="786" spans="1:24" x14ac:dyDescent="0.25">
      <c r="A786" s="121" t="str">
        <f>IF(S786=0,"",COUNTIF(A$23:A785,"&gt;0")+1)</f>
        <v/>
      </c>
      <c r="B786" s="104">
        <f>SUM(B783:B785)</f>
        <v>0</v>
      </c>
      <c r="C786" s="104"/>
      <c r="D786" s="285" t="s">
        <v>1363</v>
      </c>
      <c r="O786" s="105"/>
      <c r="P786" s="541"/>
      <c r="Q786" s="540"/>
      <c r="R786" s="541" t="s">
        <v>942</v>
      </c>
      <c r="S786" s="541">
        <f t="shared" si="334"/>
        <v>0</v>
      </c>
      <c r="T786" s="541" t="s">
        <v>548</v>
      </c>
      <c r="U786" s="541"/>
      <c r="V786" s="541"/>
      <c r="W786" s="541"/>
      <c r="X786" s="541"/>
    </row>
    <row r="787" spans="1:24" ht="15" hidden="1" customHeight="1" x14ac:dyDescent="0.25">
      <c r="A787" s="121" t="str">
        <f>IF(S787=0,"",COUNTIF(A$23:A786,"&gt;0")+1)</f>
        <v/>
      </c>
      <c r="P787" s="541"/>
      <c r="Q787" s="541"/>
      <c r="R787" s="541"/>
      <c r="S787" s="541"/>
      <c r="T787" s="541"/>
      <c r="U787" s="541"/>
      <c r="V787" s="541"/>
      <c r="W787" s="541"/>
      <c r="X787" s="541"/>
    </row>
    <row r="788" spans="1:24" ht="9" customHeight="1" thickBot="1" x14ac:dyDescent="0.3">
      <c r="A788" s="121" t="str">
        <f>IF(S788=0,"",COUNTIF(A$23:A787,"&gt;0")+1)</f>
        <v/>
      </c>
      <c r="P788" s="541"/>
      <c r="Q788" s="541"/>
      <c r="R788" s="541"/>
      <c r="S788" s="541"/>
      <c r="T788" s="541"/>
      <c r="U788" s="541"/>
      <c r="V788" s="541"/>
      <c r="W788" s="541"/>
      <c r="X788" s="541"/>
    </row>
    <row r="789" spans="1:24" ht="12" customHeight="1" x14ac:dyDescent="0.25">
      <c r="A789" s="121" t="str">
        <f>IF(S789=0,"",COUNTIF(A$23:A788,"&gt;0")+1)</f>
        <v/>
      </c>
      <c r="B789" s="900" t="s">
        <v>115</v>
      </c>
      <c r="C789" s="901"/>
      <c r="D789" s="896" t="s">
        <v>1062</v>
      </c>
      <c r="E789" s="897"/>
      <c r="F789" s="897"/>
      <c r="G789" s="897"/>
      <c r="H789" s="897"/>
      <c r="I789" s="374"/>
      <c r="J789" s="650"/>
      <c r="K789" s="374"/>
      <c r="L789" s="374"/>
      <c r="M789" s="651"/>
      <c r="N789" s="374"/>
      <c r="O789" s="375"/>
      <c r="P789" s="541"/>
      <c r="Q789" s="541"/>
      <c r="R789" s="541"/>
      <c r="S789" s="541"/>
      <c r="T789" s="541"/>
      <c r="U789" s="541"/>
      <c r="V789" s="541"/>
      <c r="W789" s="541"/>
      <c r="X789" s="541"/>
    </row>
    <row r="790" spans="1:24" ht="12" customHeight="1" thickBot="1" x14ac:dyDescent="0.3">
      <c r="A790" s="121" t="str">
        <f>IF(S790=0,"",COUNTIF(A$23:A789,"&gt;0")+1)</f>
        <v/>
      </c>
      <c r="B790" s="889" t="s">
        <v>210</v>
      </c>
      <c r="C790" s="890"/>
      <c r="D790" s="898"/>
      <c r="E790" s="899"/>
      <c r="F790" s="899"/>
      <c r="G790" s="899"/>
      <c r="H790" s="899"/>
      <c r="I790" s="405"/>
      <c r="J790" s="406"/>
      <c r="K790" s="407"/>
      <c r="L790" s="407"/>
      <c r="M790" s="653" t="s">
        <v>926</v>
      </c>
      <c r="N790" s="407"/>
      <c r="O790" s="408" t="s">
        <v>41</v>
      </c>
      <c r="P790" s="541"/>
      <c r="Q790" s="748"/>
      <c r="R790" s="541"/>
      <c r="S790" s="541"/>
      <c r="T790" s="541"/>
      <c r="U790" s="541"/>
      <c r="V790" s="541"/>
      <c r="W790" s="541"/>
      <c r="X790" s="541"/>
    </row>
    <row r="791" spans="1:24" ht="12" hidden="1" customHeight="1" x14ac:dyDescent="0.25">
      <c r="A791" s="121" t="str">
        <f>IF(S791=0,"",COUNTIF(A$23:A790,"&gt;0")+1)</f>
        <v/>
      </c>
      <c r="B791" s="377"/>
      <c r="C791" s="128" t="str">
        <f t="shared" ref="C791:C795" si="335">T791</f>
        <v>x1</v>
      </c>
      <c r="D791" s="119" t="str">
        <f>A!C775</f>
        <v xml:space="preserve">Assorted Waterlilies </v>
      </c>
      <c r="E791" s="113"/>
      <c r="F791" s="113" t="s">
        <v>1380</v>
      </c>
      <c r="G791" s="278"/>
      <c r="H791" s="129" t="str">
        <f>A!Q775</f>
        <v>offering an established lily selected with buds/ flowers</v>
      </c>
      <c r="I791" s="130"/>
      <c r="J791" s="203"/>
      <c r="K791" s="131">
        <f>IF(A!G775="y",1,0)</f>
        <v>1</v>
      </c>
      <c r="L791" s="131">
        <f>IF(A!H775="y",1,0)</f>
        <v>0</v>
      </c>
      <c r="M791" s="132" t="str">
        <f>IF(A!F775="y","NEW","")</f>
        <v/>
      </c>
      <c r="N791" s="133">
        <f>A!I775</f>
        <v>0</v>
      </c>
      <c r="O791" s="378">
        <f>A!O775</f>
        <v>4</v>
      </c>
      <c r="P791" s="541"/>
      <c r="Q791" s="541">
        <f>A!E775</f>
        <v>0</v>
      </c>
      <c r="R791" s="541" t="s">
        <v>1061</v>
      </c>
      <c r="S791" s="541">
        <f t="shared" ref="S791:S796" si="336">B791</f>
        <v>0</v>
      </c>
      <c r="T791" s="541" t="str">
        <f>A!R775</f>
        <v>x1</v>
      </c>
      <c r="U791" s="541">
        <f>A!S775</f>
        <v>40</v>
      </c>
      <c r="V791" s="541">
        <f>A!T775</f>
        <v>0.1</v>
      </c>
      <c r="W791" s="541">
        <f t="shared" ref="W791:W795" si="337">V791*B791</f>
        <v>0</v>
      </c>
      <c r="X791" s="541"/>
    </row>
    <row r="792" spans="1:24" ht="12" customHeight="1" x14ac:dyDescent="0.25">
      <c r="A792" s="121" t="str">
        <f>IF(S792=0,"",COUNTIF(A$23:A791,"&gt;0")+1)</f>
        <v/>
      </c>
      <c r="B792" s="379"/>
      <c r="C792" s="76" t="str">
        <f t="shared" si="335"/>
        <v>x1</v>
      </c>
      <c r="D792" s="98" t="str">
        <f>A!C776</f>
        <v>White Waterlily</v>
      </c>
      <c r="E792" s="78"/>
      <c r="F792" s="78" t="s">
        <v>1380</v>
      </c>
      <c r="G792" s="125"/>
      <c r="H792" s="89" t="str">
        <f>A!Q776</f>
        <v>established lily selected with buds/ flowers in white</v>
      </c>
      <c r="I792" s="69"/>
      <c r="J792" s="202"/>
      <c r="K792" s="83">
        <f>IF(A!G776="y",1,0)</f>
        <v>0</v>
      </c>
      <c r="L792" s="83">
        <f>IF(A!H776="y",1,0)</f>
        <v>0</v>
      </c>
      <c r="M792" s="144" t="str">
        <f>IF(A!F776="y","NEW","")</f>
        <v/>
      </c>
      <c r="N792" s="85">
        <f>A!I776</f>
        <v>0</v>
      </c>
      <c r="O792" s="380">
        <f>A!O776</f>
        <v>4</v>
      </c>
      <c r="P792" s="541"/>
      <c r="Q792" s="541" t="str">
        <f>A!E776</f>
        <v>y</v>
      </c>
      <c r="R792" s="541" t="s">
        <v>1061</v>
      </c>
      <c r="S792" s="541">
        <f t="shared" si="336"/>
        <v>0</v>
      </c>
      <c r="T792" s="541" t="str">
        <f>A!R776</f>
        <v>x1</v>
      </c>
      <c r="U792" s="541">
        <f>A!S776</f>
        <v>40</v>
      </c>
      <c r="V792" s="541">
        <f>A!T776</f>
        <v>0.1</v>
      </c>
      <c r="W792" s="541">
        <f t="shared" si="337"/>
        <v>0</v>
      </c>
      <c r="X792" s="541"/>
    </row>
    <row r="793" spans="1:24" ht="12" customHeight="1" x14ac:dyDescent="0.25">
      <c r="A793" s="121" t="str">
        <f>IF(S793=0,"",COUNTIF(A$23:A792,"&gt;0")+1)</f>
        <v/>
      </c>
      <c r="B793" s="379"/>
      <c r="C793" s="76" t="str">
        <f t="shared" si="335"/>
        <v>x1</v>
      </c>
      <c r="D793" s="98" t="str">
        <f>A!C777</f>
        <v>Pink Waterlily</v>
      </c>
      <c r="E793" s="78"/>
      <c r="F793" s="78" t="s">
        <v>1380</v>
      </c>
      <c r="G793" s="125"/>
      <c r="H793" s="89" t="str">
        <f>A!Q777</f>
        <v>established lily selected with buds/ flowerst in pink</v>
      </c>
      <c r="I793" s="69"/>
      <c r="J793" s="202"/>
      <c r="K793" s="83">
        <f>IF(A!G777="y",1,0)</f>
        <v>1</v>
      </c>
      <c r="L793" s="83">
        <f>IF(A!H777="y",1,0)</f>
        <v>0</v>
      </c>
      <c r="M793" s="140" t="str">
        <f>IF(A!F777="y","NEW","")</f>
        <v/>
      </c>
      <c r="N793" s="85">
        <f>A!I777</f>
        <v>0</v>
      </c>
      <c r="O793" s="380">
        <f>A!O777</f>
        <v>4</v>
      </c>
      <c r="P793" s="541"/>
      <c r="Q793" s="541" t="str">
        <f>A!E777</f>
        <v>y</v>
      </c>
      <c r="R793" s="541" t="s">
        <v>1061</v>
      </c>
      <c r="S793" s="541">
        <f t="shared" si="336"/>
        <v>0</v>
      </c>
      <c r="T793" s="541" t="str">
        <f>A!R777</f>
        <v>x1</v>
      </c>
      <c r="U793" s="541">
        <f>A!S777</f>
        <v>40</v>
      </c>
      <c r="V793" s="541">
        <f>A!T777</f>
        <v>0.1</v>
      </c>
      <c r="W793" s="541">
        <f t="shared" si="337"/>
        <v>0</v>
      </c>
      <c r="X793" s="541"/>
    </row>
    <row r="794" spans="1:24" ht="12" customHeight="1" x14ac:dyDescent="0.25">
      <c r="A794" s="121" t="str">
        <f>IF(S794=0,"",COUNTIF(A$23:A793,"&gt;0")+1)</f>
        <v/>
      </c>
      <c r="B794" s="379"/>
      <c r="C794" s="76" t="str">
        <f t="shared" si="335"/>
        <v>x1</v>
      </c>
      <c r="D794" s="98" t="str">
        <f>A!C778</f>
        <v>Red Waterlily</v>
      </c>
      <c r="E794" s="78"/>
      <c r="F794" s="78" t="s">
        <v>1380</v>
      </c>
      <c r="G794" s="125"/>
      <c r="H794" s="89" t="str">
        <f>A!Q778</f>
        <v>established lily selected with buds/ flowers in red</v>
      </c>
      <c r="I794" s="69"/>
      <c r="J794" s="202"/>
      <c r="K794" s="83">
        <f>IF(A!G778="y",1,0)</f>
        <v>1</v>
      </c>
      <c r="L794" s="83">
        <f>IF(A!H778="y",1,0)</f>
        <v>0</v>
      </c>
      <c r="M794" s="188" t="str">
        <f>IF(A!F778="y","NEW","")</f>
        <v/>
      </c>
      <c r="N794" s="85" t="str">
        <f>A!I778</f>
        <v>y</v>
      </c>
      <c r="O794" s="380">
        <f>A!O778</f>
        <v>4</v>
      </c>
      <c r="P794" s="541"/>
      <c r="Q794" s="541" t="str">
        <f>A!E778</f>
        <v>y</v>
      </c>
      <c r="R794" s="541" t="s">
        <v>1061</v>
      </c>
      <c r="S794" s="541">
        <f t="shared" si="336"/>
        <v>0</v>
      </c>
      <c r="T794" s="541" t="str">
        <f>A!R778</f>
        <v>x1</v>
      </c>
      <c r="U794" s="541">
        <f>A!S778</f>
        <v>40</v>
      </c>
      <c r="V794" s="541">
        <f>A!T778</f>
        <v>0.1</v>
      </c>
      <c r="W794" s="541">
        <f t="shared" si="337"/>
        <v>0</v>
      </c>
      <c r="X794" s="541"/>
    </row>
    <row r="795" spans="1:24" ht="12" customHeight="1" thickBot="1" x14ac:dyDescent="0.3">
      <c r="A795" s="121" t="str">
        <f>IF(S795=0,"",COUNTIF(A$23:A794,"&gt;0")+1)</f>
        <v/>
      </c>
      <c r="B795" s="382"/>
      <c r="C795" s="383" t="str">
        <f t="shared" si="335"/>
        <v>x1</v>
      </c>
      <c r="D795" s="384" t="str">
        <f>A!C779</f>
        <v>Yellow Waterlily</v>
      </c>
      <c r="E795" s="385"/>
      <c r="F795" s="385" t="s">
        <v>1380</v>
      </c>
      <c r="G795" s="386"/>
      <c r="H795" s="388" t="str">
        <f>A!Q779</f>
        <v>established lily selected with buds/ flowers in yellow</v>
      </c>
      <c r="I795" s="401"/>
      <c r="J795" s="402"/>
      <c r="K795" s="403">
        <f>IF(A!G779="y",1,0)</f>
        <v>1</v>
      </c>
      <c r="L795" s="403">
        <f>IF(A!H779="y",1,0)</f>
        <v>0</v>
      </c>
      <c r="M795" s="652" t="str">
        <f>IF(A!F779="y","NEW","")</f>
        <v/>
      </c>
      <c r="N795" s="404" t="str">
        <f>A!I779</f>
        <v>y</v>
      </c>
      <c r="O795" s="390">
        <f>A!O779</f>
        <v>4</v>
      </c>
      <c r="P795" s="541"/>
      <c r="Q795" s="541" t="str">
        <f>A!E779</f>
        <v>y</v>
      </c>
      <c r="R795" s="541" t="s">
        <v>1061</v>
      </c>
      <c r="S795" s="541">
        <f t="shared" si="336"/>
        <v>0</v>
      </c>
      <c r="T795" s="541" t="str">
        <f>A!R779</f>
        <v>x1</v>
      </c>
      <c r="U795" s="541">
        <f>A!S779</f>
        <v>40</v>
      </c>
      <c r="V795" s="541">
        <f>A!T779</f>
        <v>0.1</v>
      </c>
      <c r="W795" s="541">
        <f t="shared" si="337"/>
        <v>0</v>
      </c>
      <c r="X795" s="541"/>
    </row>
    <row r="796" spans="1:24" x14ac:dyDescent="0.25">
      <c r="A796" s="121" t="str">
        <f>IF(S796=0,"",COUNTIF(A$23:A795,"&gt;0")+1)</f>
        <v/>
      </c>
      <c r="B796" s="490">
        <f>SUM(B791:B795)</f>
        <v>0</v>
      </c>
      <c r="C796" s="490"/>
      <c r="D796" s="491" t="s">
        <v>1362</v>
      </c>
      <c r="E796" s="492"/>
      <c r="F796" s="492"/>
      <c r="G796" s="492"/>
      <c r="H796" s="492"/>
      <c r="I796" s="492"/>
      <c r="J796" s="493"/>
      <c r="K796" s="492"/>
      <c r="L796" s="492"/>
      <c r="M796" s="494"/>
      <c r="N796" s="492"/>
      <c r="O796" s="495"/>
      <c r="P796" s="541"/>
      <c r="Q796" s="540"/>
      <c r="R796" s="541" t="s">
        <v>1061</v>
      </c>
      <c r="S796" s="541">
        <f t="shared" si="336"/>
        <v>0</v>
      </c>
      <c r="T796" s="541" t="s">
        <v>548</v>
      </c>
      <c r="U796" s="541"/>
      <c r="V796" s="541"/>
      <c r="W796" s="541"/>
      <c r="X796" s="541"/>
    </row>
    <row r="797" spans="1:24" ht="11.25" customHeight="1" thickBot="1" x14ac:dyDescent="0.3">
      <c r="A797" s="121" t="str">
        <f>IF(S797=0,"",COUNTIF(A$23:A796,"&gt;0")+1)</f>
        <v/>
      </c>
      <c r="P797" s="541"/>
      <c r="Q797" s="541"/>
      <c r="R797" s="541"/>
      <c r="S797" s="541"/>
      <c r="T797" s="541"/>
      <c r="U797" s="541"/>
      <c r="V797" s="541"/>
      <c r="W797" s="541"/>
      <c r="X797" s="541"/>
    </row>
    <row r="798" spans="1:24" ht="12" customHeight="1" x14ac:dyDescent="0.25">
      <c r="A798" s="121" t="str">
        <f>IF(S798=0,"",COUNTIF(A$23:A797,"&gt;0")+1)</f>
        <v/>
      </c>
      <c r="B798" s="900" t="s">
        <v>115</v>
      </c>
      <c r="C798" s="901"/>
      <c r="D798" s="896" t="s">
        <v>929</v>
      </c>
      <c r="E798" s="897"/>
      <c r="F798" s="897"/>
      <c r="G798" s="897"/>
      <c r="H798" s="897"/>
      <c r="I798" s="374"/>
      <c r="J798" s="650"/>
      <c r="K798" s="374"/>
      <c r="L798" s="374"/>
      <c r="M798" s="651"/>
      <c r="N798" s="374"/>
      <c r="O798" s="375"/>
      <c r="P798" s="541"/>
      <c r="Q798" s="541"/>
      <c r="R798" s="541"/>
      <c r="S798" s="541"/>
      <c r="T798" s="541"/>
      <c r="U798" s="541"/>
      <c r="V798" s="541"/>
      <c r="W798" s="541"/>
      <c r="X798" s="541"/>
    </row>
    <row r="799" spans="1:24" ht="9" customHeight="1" thickBot="1" x14ac:dyDescent="0.3">
      <c r="A799" s="121" t="str">
        <f>IF(S799=0,"",COUNTIF(A$23:A798,"&gt;0")+1)</f>
        <v/>
      </c>
      <c r="B799" s="889" t="s">
        <v>210</v>
      </c>
      <c r="C799" s="890"/>
      <c r="D799" s="898"/>
      <c r="E799" s="899"/>
      <c r="F799" s="899"/>
      <c r="G799" s="899"/>
      <c r="H799" s="899"/>
      <c r="I799" s="405"/>
      <c r="J799" s="406"/>
      <c r="K799" s="407"/>
      <c r="L799" s="407"/>
      <c r="M799" s="405"/>
      <c r="N799" s="407"/>
      <c r="O799" s="408" t="s">
        <v>41</v>
      </c>
      <c r="P799" s="541"/>
      <c r="Q799" s="748"/>
      <c r="R799" s="541"/>
      <c r="S799" s="541"/>
      <c r="T799" s="541"/>
      <c r="U799" s="541"/>
      <c r="V799" s="541"/>
      <c r="W799" s="541"/>
      <c r="X799" s="541"/>
    </row>
    <row r="800" spans="1:24" ht="12" hidden="1" customHeight="1" x14ac:dyDescent="0.25">
      <c r="A800" s="121" t="str">
        <f>IF(S800=0,"",COUNTIF(A$23:A799,"&gt;0")+1)</f>
        <v/>
      </c>
      <c r="B800" s="377"/>
      <c r="C800" s="128" t="str">
        <f t="shared" ref="C800:C804" si="338">T800</f>
        <v>x1</v>
      </c>
      <c r="D800" s="119" t="str">
        <f>A!C770</f>
        <v xml:space="preserve">Assorted Waterlilies </v>
      </c>
      <c r="E800" s="113"/>
      <c r="F800" s="113"/>
      <c r="G800" s="278"/>
      <c r="H800" s="129" t="str">
        <f>A!Q770</f>
        <v>offering an established lily selected with buds/ flowers</v>
      </c>
      <c r="I800" s="130"/>
      <c r="J800" s="203">
        <f>A!P770</f>
        <v>0</v>
      </c>
      <c r="K800" s="131">
        <f>IF(A!G770="y",1,0)</f>
        <v>0</v>
      </c>
      <c r="L800" s="131">
        <f>IF(A!H770="y",1,0)</f>
        <v>0</v>
      </c>
      <c r="M800" s="348"/>
      <c r="N800" s="133">
        <f>A!I770</f>
        <v>0</v>
      </c>
      <c r="O800" s="378">
        <f>A!O770</f>
        <v>4</v>
      </c>
      <c r="P800" s="541"/>
      <c r="Q800" s="541">
        <f>A!E770</f>
        <v>0</v>
      </c>
      <c r="R800" s="541" t="s">
        <v>837</v>
      </c>
      <c r="S800" s="541">
        <f t="shared" ref="S800:S805" si="339">B800</f>
        <v>0</v>
      </c>
      <c r="T800" s="541" t="str">
        <f>A!R770</f>
        <v>x1</v>
      </c>
      <c r="U800" s="541">
        <f>A!S770</f>
        <v>45</v>
      </c>
      <c r="V800" s="541">
        <f>A!T770</f>
        <v>0.3</v>
      </c>
      <c r="W800" s="541">
        <f t="shared" ref="W800:W805" si="340">V800*B800</f>
        <v>0</v>
      </c>
      <c r="X800" s="541"/>
    </row>
    <row r="801" spans="1:24" ht="12" hidden="1" customHeight="1" x14ac:dyDescent="0.25">
      <c r="A801" s="121" t="str">
        <f>IF(S801=0,"",COUNTIF(A$23:A800,"&gt;0")+1)</f>
        <v/>
      </c>
      <c r="B801" s="379"/>
      <c r="C801" s="76" t="str">
        <f t="shared" si="338"/>
        <v>x1</v>
      </c>
      <c r="D801" s="98" t="str">
        <f>A!C771</f>
        <v>White Waterlily</v>
      </c>
      <c r="E801" s="78"/>
      <c r="F801" s="78"/>
      <c r="G801" s="125"/>
      <c r="H801" s="89" t="str">
        <f>A!Q771</f>
        <v>established lily selected with buds/ flowers in white</v>
      </c>
      <c r="I801" s="69"/>
      <c r="J801" s="202">
        <f>A!P771</f>
        <v>0</v>
      </c>
      <c r="K801" s="83">
        <f>IF(A!G771="y",1,0)</f>
        <v>0</v>
      </c>
      <c r="L801" s="83">
        <f>IF(A!H771="y",1,0)</f>
        <v>0</v>
      </c>
      <c r="M801" s="141" t="str">
        <f>IF(A!F771="y","NEW","")</f>
        <v/>
      </c>
      <c r="N801" s="85">
        <f>A!I771</f>
        <v>0</v>
      </c>
      <c r="O801" s="380">
        <f>A!O771</f>
        <v>4</v>
      </c>
      <c r="P801" s="541"/>
      <c r="Q801" s="541">
        <f>A!E771</f>
        <v>0</v>
      </c>
      <c r="R801" s="541" t="s">
        <v>837</v>
      </c>
      <c r="S801" s="541">
        <f t="shared" si="339"/>
        <v>0</v>
      </c>
      <c r="T801" s="541" t="str">
        <f>A!R771</f>
        <v>x1</v>
      </c>
      <c r="U801" s="541">
        <f>A!S771</f>
        <v>45</v>
      </c>
      <c r="V801" s="541">
        <f>A!T771</f>
        <v>0.3</v>
      </c>
      <c r="W801" s="541">
        <f t="shared" si="340"/>
        <v>0</v>
      </c>
      <c r="X801" s="541"/>
    </row>
    <row r="802" spans="1:24" ht="12" customHeight="1" x14ac:dyDescent="0.25">
      <c r="A802" s="121" t="str">
        <f>IF(S802=0,"",COUNTIF(A$23:A801,"&gt;0")+1)</f>
        <v/>
      </c>
      <c r="B802" s="379"/>
      <c r="C802" s="76" t="str">
        <f t="shared" si="338"/>
        <v>x1</v>
      </c>
      <c r="D802" s="98" t="str">
        <f>A!C772</f>
        <v>Pink Waterlily</v>
      </c>
      <c r="E802" s="78"/>
      <c r="F802" s="78"/>
      <c r="G802" s="125"/>
      <c r="H802" s="89" t="str">
        <f>A!Q772</f>
        <v>established lily selected with buds/ flowerst in pink</v>
      </c>
      <c r="I802" s="69"/>
      <c r="J802" s="202">
        <f>A!P772</f>
        <v>0</v>
      </c>
      <c r="K802" s="83">
        <f>IF(A!G772="y",1,0)</f>
        <v>1</v>
      </c>
      <c r="L802" s="83">
        <f>IF(A!H772="y",1,0)</f>
        <v>0</v>
      </c>
      <c r="M802" s="140" t="str">
        <f>IF(A!F772="y","NEW","")</f>
        <v/>
      </c>
      <c r="N802" s="85" t="str">
        <f>A!I772</f>
        <v>y</v>
      </c>
      <c r="O802" s="380">
        <f>A!O772</f>
        <v>4</v>
      </c>
      <c r="P802" s="541"/>
      <c r="Q802" s="541" t="str">
        <f>A!E772</f>
        <v>y</v>
      </c>
      <c r="R802" s="541" t="s">
        <v>837</v>
      </c>
      <c r="S802" s="541">
        <f t="shared" si="339"/>
        <v>0</v>
      </c>
      <c r="T802" s="541" t="str">
        <f>A!R772</f>
        <v>x1</v>
      </c>
      <c r="U802" s="541">
        <f>A!S772</f>
        <v>45</v>
      </c>
      <c r="V802" s="541">
        <f>A!T772</f>
        <v>0.3</v>
      </c>
      <c r="W802" s="541">
        <f t="shared" si="340"/>
        <v>0</v>
      </c>
      <c r="X802" s="541"/>
    </row>
    <row r="803" spans="1:24" ht="12" customHeight="1" x14ac:dyDescent="0.25">
      <c r="A803" s="121" t="str">
        <f>IF(S803=0,"",COUNTIF(A$23:A802,"&gt;0")+1)</f>
        <v/>
      </c>
      <c r="B803" s="379"/>
      <c r="C803" s="76" t="str">
        <f t="shared" si="338"/>
        <v>x1</v>
      </c>
      <c r="D803" s="98" t="str">
        <f>A!C773</f>
        <v>Red Waterlily</v>
      </c>
      <c r="E803" s="78"/>
      <c r="F803" s="78"/>
      <c r="G803" s="125"/>
      <c r="H803" s="89" t="str">
        <f>A!Q773</f>
        <v>established lily selected with buds/ flowers in red</v>
      </c>
      <c r="I803" s="69"/>
      <c r="J803" s="202">
        <f>A!P773</f>
        <v>0</v>
      </c>
      <c r="K803" s="83">
        <f>IF(A!G773="y",1,0)</f>
        <v>1</v>
      </c>
      <c r="L803" s="83">
        <f>IF(A!H773="y",1,0)</f>
        <v>0</v>
      </c>
      <c r="M803" s="136" t="str">
        <f>IF(A!F773="y","NEW","")</f>
        <v/>
      </c>
      <c r="N803" s="85" t="str">
        <f>A!I773</f>
        <v>y</v>
      </c>
      <c r="O803" s="380">
        <f>A!O773</f>
        <v>4</v>
      </c>
      <c r="P803" s="541"/>
      <c r="Q803" s="541" t="str">
        <f>A!E773</f>
        <v>y</v>
      </c>
      <c r="R803" s="541" t="s">
        <v>837</v>
      </c>
      <c r="S803" s="541">
        <f t="shared" si="339"/>
        <v>0</v>
      </c>
      <c r="T803" s="541" t="str">
        <f>A!R773</f>
        <v>x1</v>
      </c>
      <c r="U803" s="541">
        <f>A!S773</f>
        <v>45</v>
      </c>
      <c r="V803" s="541">
        <f>A!T773</f>
        <v>0.3</v>
      </c>
      <c r="W803" s="541">
        <f t="shared" si="340"/>
        <v>0</v>
      </c>
      <c r="X803" s="541"/>
    </row>
    <row r="804" spans="1:24" ht="12" customHeight="1" thickBot="1" x14ac:dyDescent="0.3">
      <c r="A804" s="121" t="str">
        <f>IF(S804=0,"",COUNTIF(A$23:A803,"&gt;0")+1)</f>
        <v/>
      </c>
      <c r="B804" s="649"/>
      <c r="C804" s="638" t="str">
        <f t="shared" si="338"/>
        <v>x1</v>
      </c>
      <c r="D804" s="639" t="str">
        <f>A!C774</f>
        <v>Yellow Waterlily</v>
      </c>
      <c r="E804" s="640"/>
      <c r="F804" s="640"/>
      <c r="G804" s="755"/>
      <c r="H804" s="642" t="str">
        <f>A!Q774</f>
        <v>established lily selected with buds/ flowers in yellow</v>
      </c>
      <c r="I804" s="643"/>
      <c r="J804" s="644">
        <f>A!P774</f>
        <v>0</v>
      </c>
      <c r="K804" s="645">
        <f>IF(A!G774="y",1,0)</f>
        <v>1</v>
      </c>
      <c r="L804" s="645">
        <f>IF(A!H774="y",1,0)</f>
        <v>0</v>
      </c>
      <c r="M804" s="759" t="str">
        <f>IF(A!F774="y","NEW","")</f>
        <v/>
      </c>
      <c r="N804" s="647" t="str">
        <f>A!I774</f>
        <v>y</v>
      </c>
      <c r="O804" s="648">
        <f>A!O774</f>
        <v>4</v>
      </c>
      <c r="P804" s="541"/>
      <c r="Q804" s="541" t="str">
        <f>A!E774</f>
        <v>y</v>
      </c>
      <c r="R804" s="541" t="s">
        <v>837</v>
      </c>
      <c r="S804" s="541">
        <f t="shared" si="339"/>
        <v>0</v>
      </c>
      <c r="T804" s="541" t="str">
        <f>A!R774</f>
        <v>x1</v>
      </c>
      <c r="U804" s="541">
        <f>A!S774</f>
        <v>45</v>
      </c>
      <c r="V804" s="541">
        <f>A!T774</f>
        <v>0.3</v>
      </c>
      <c r="W804" s="541">
        <f t="shared" si="340"/>
        <v>0</v>
      </c>
      <c r="X804" s="541"/>
    </row>
    <row r="805" spans="1:24" x14ac:dyDescent="0.25">
      <c r="A805" s="121" t="str">
        <f>IF(S805=0,"",COUNTIF(A$23:A804,"&gt;0")+1)</f>
        <v/>
      </c>
      <c r="B805" s="490">
        <f>SUM(B800:B804)</f>
        <v>0</v>
      </c>
      <c r="C805" s="490"/>
      <c r="D805" s="491" t="s">
        <v>838</v>
      </c>
      <c r="E805" s="492"/>
      <c r="F805" s="492"/>
      <c r="G805" s="492"/>
      <c r="H805" s="492"/>
      <c r="I805" s="492"/>
      <c r="J805" s="493"/>
      <c r="K805" s="492"/>
      <c r="L805" s="492"/>
      <c r="M805" s="494"/>
      <c r="N805" s="492"/>
      <c r="O805" s="495"/>
      <c r="P805" s="543"/>
      <c r="Q805" s="540"/>
      <c r="R805" s="541" t="s">
        <v>837</v>
      </c>
      <c r="S805" s="541">
        <f t="shared" si="339"/>
        <v>0</v>
      </c>
      <c r="T805" s="541" t="s">
        <v>548</v>
      </c>
      <c r="U805" s="541"/>
      <c r="V805" s="541"/>
      <c r="W805" s="541">
        <f t="shared" si="340"/>
        <v>0</v>
      </c>
      <c r="X805" s="541"/>
    </row>
    <row r="806" spans="1:24" ht="7.5" customHeight="1" thickBot="1" x14ac:dyDescent="0.3">
      <c r="A806" s="121" t="str">
        <f>IF(S806=0,"",COUNTIF(A$23:A805,"&gt;0")+1)</f>
        <v/>
      </c>
      <c r="P806" s="541"/>
      <c r="Q806" s="541"/>
      <c r="R806" s="541"/>
      <c r="S806" s="541"/>
      <c r="T806" s="541"/>
      <c r="U806" s="541"/>
      <c r="V806" s="541"/>
      <c r="W806" s="541"/>
      <c r="X806" s="541"/>
    </row>
    <row r="807" spans="1:24" ht="8.25" customHeight="1" x14ac:dyDescent="0.25">
      <c r="A807" s="121" t="str">
        <f>IF(S807=0,"",COUNTIF(A$23:A806,"&gt;0")+1)</f>
        <v/>
      </c>
      <c r="B807" s="900" t="s">
        <v>115</v>
      </c>
      <c r="C807" s="901"/>
      <c r="D807" s="1054" t="s">
        <v>1075</v>
      </c>
      <c r="E807" s="1055"/>
      <c r="F807" s="1055"/>
      <c r="G807" s="1055"/>
      <c r="H807" s="1011" t="s">
        <v>1179</v>
      </c>
      <c r="I807" s="906" t="s">
        <v>1260</v>
      </c>
      <c r="J807" s="906"/>
      <c r="K807" s="906"/>
      <c r="L807" s="906"/>
      <c r="M807" s="906"/>
      <c r="N807" s="906"/>
      <c r="O807" s="907"/>
      <c r="P807" s="541"/>
      <c r="Q807" s="541"/>
      <c r="R807" s="541"/>
      <c r="S807" s="541"/>
      <c r="T807" s="541"/>
      <c r="U807" s="541"/>
      <c r="V807" s="541"/>
      <c r="W807" s="541"/>
      <c r="X807" s="541"/>
    </row>
    <row r="808" spans="1:24" ht="9.75" customHeight="1" thickBot="1" x14ac:dyDescent="0.3">
      <c r="A808" s="121" t="str">
        <f>IF(S808=0,"",COUNTIF(A$23:A807,"&gt;0")+1)</f>
        <v/>
      </c>
      <c r="B808" s="889" t="s">
        <v>210</v>
      </c>
      <c r="C808" s="890"/>
      <c r="D808" s="1056"/>
      <c r="E808" s="1057"/>
      <c r="F808" s="1057"/>
      <c r="G808" s="1057"/>
      <c r="H808" s="1012"/>
      <c r="I808" s="405" t="s">
        <v>114</v>
      </c>
      <c r="J808" s="406"/>
      <c r="K808" s="407"/>
      <c r="L808" s="407"/>
      <c r="M808" s="405"/>
      <c r="N808" s="407"/>
      <c r="O808" s="408" t="s">
        <v>41</v>
      </c>
      <c r="P808" s="541"/>
      <c r="Q808" s="540" t="s">
        <v>113</v>
      </c>
      <c r="R808" s="541"/>
      <c r="S808" s="541"/>
      <c r="T808" s="541"/>
      <c r="U808" s="541"/>
      <c r="V808" s="541"/>
      <c r="W808" s="541"/>
      <c r="X808" s="541"/>
    </row>
    <row r="809" spans="1:24" ht="11.25" customHeight="1" x14ac:dyDescent="0.25">
      <c r="A809" s="121" t="str">
        <f>IF(S809=0,"",COUNTIF(A$23:A808,"&gt;0")+1)</f>
        <v/>
      </c>
      <c r="B809" s="515"/>
      <c r="C809" s="516" t="str">
        <f t="shared" ref="C809:C815" si="341">T809</f>
        <v>x1</v>
      </c>
      <c r="D809" s="517" t="str">
        <f>A!C512</f>
        <v>Assorted Deep Water Plants</v>
      </c>
      <c r="E809" s="518"/>
      <c r="F809" s="518"/>
      <c r="G809" s="654" t="str">
        <f>A!N512</f>
        <v>Our best selection</v>
      </c>
      <c r="H809" s="520" t="str">
        <f>A!Q512</f>
        <v>Our best selection</v>
      </c>
      <c r="I809" s="655"/>
      <c r="J809" s="522"/>
      <c r="K809" s="523"/>
      <c r="L809" s="523"/>
      <c r="M809" s="583"/>
      <c r="N809" s="521"/>
      <c r="O809" s="524">
        <f>A!O512</f>
        <v>4</v>
      </c>
      <c r="P809" s="541"/>
      <c r="Q809" s="541" t="str">
        <f>A!E512</f>
        <v>y</v>
      </c>
      <c r="R809" s="541" t="s">
        <v>725</v>
      </c>
      <c r="S809" s="541">
        <f t="shared" ref="S809:S816" si="342">B809</f>
        <v>0</v>
      </c>
      <c r="T809" s="541" t="str">
        <f>A!R512</f>
        <v>x1</v>
      </c>
      <c r="U809" s="541">
        <f>A!S512</f>
        <v>25</v>
      </c>
      <c r="V809" s="541">
        <f>A!T512</f>
        <v>0.02</v>
      </c>
      <c r="W809" s="541">
        <f t="shared" ref="W809:W815" si="343">V809*B809</f>
        <v>0</v>
      </c>
      <c r="X809" s="541"/>
    </row>
    <row r="810" spans="1:24" ht="11.25" hidden="1" customHeight="1" x14ac:dyDescent="0.25">
      <c r="A810" s="121" t="str">
        <f>IF(S810=0,"",COUNTIF(A$23:A809,"&gt;0")+1)</f>
        <v/>
      </c>
      <c r="B810" s="379"/>
      <c r="C810" s="76" t="str">
        <f t="shared" si="341"/>
        <v>x1</v>
      </c>
      <c r="D810" s="98" t="str">
        <f>A!C513</f>
        <v>Aponogeton Distachyum</v>
      </c>
      <c r="E810" s="78"/>
      <c r="F810" s="78"/>
      <c r="G810" s="99" t="str">
        <f>A!N513</f>
        <v>water hawthorne</v>
      </c>
      <c r="H810" s="89" t="str">
        <f>A!Q513</f>
        <v>a wonderful sweetly scented deep marginal</v>
      </c>
      <c r="I810" s="69">
        <f>A!M513</f>
        <v>1</v>
      </c>
      <c r="J810" s="202">
        <f>A!P513</f>
        <v>0</v>
      </c>
      <c r="K810" s="83">
        <f>IF(A!G513="y",1,0)</f>
        <v>0</v>
      </c>
      <c r="L810" s="83">
        <f>IF(A!H513="y",1,0)</f>
        <v>0</v>
      </c>
      <c r="M810" s="84" t="str">
        <f>IF(A!F513="y","NEW","")</f>
        <v/>
      </c>
      <c r="N810" s="85">
        <f>A!I513</f>
        <v>0</v>
      </c>
      <c r="O810" s="380">
        <f>A!O513</f>
        <v>4</v>
      </c>
      <c r="P810" s="541"/>
      <c r="Q810" s="541">
        <f>A!E513</f>
        <v>0</v>
      </c>
      <c r="R810" s="541" t="s">
        <v>725</v>
      </c>
      <c r="S810" s="541">
        <f t="shared" si="342"/>
        <v>0</v>
      </c>
      <c r="T810" s="541" t="str">
        <f>A!R513</f>
        <v>x1</v>
      </c>
      <c r="U810" s="541">
        <f>A!S513</f>
        <v>25</v>
      </c>
      <c r="V810" s="541">
        <f>A!T513</f>
        <v>0.02</v>
      </c>
      <c r="W810" s="541">
        <f t="shared" si="343"/>
        <v>0</v>
      </c>
      <c r="X810" s="541"/>
    </row>
    <row r="811" spans="1:24" ht="12" hidden="1" customHeight="1" x14ac:dyDescent="0.25">
      <c r="A811" s="121" t="str">
        <f>IF(S811=0,"",COUNTIF(A$23:A810,"&gt;0")+1)</f>
        <v/>
      </c>
      <c r="B811" s="379"/>
      <c r="C811" s="76" t="str">
        <f t="shared" si="341"/>
        <v>x1</v>
      </c>
      <c r="D811" s="98" t="str">
        <f>A!C514</f>
        <v>Nuphar Advenum</v>
      </c>
      <c r="E811" s="78"/>
      <c r="F811" s="78"/>
      <c r="G811" s="99" t="str">
        <f>A!N514</f>
        <v>spatterdock</v>
      </c>
      <c r="H811" s="89">
        <f>A!Q514</f>
        <v>0</v>
      </c>
      <c r="I811" s="69">
        <f>A!M514</f>
        <v>3</v>
      </c>
      <c r="J811" s="202">
        <f>A!P514</f>
        <v>0</v>
      </c>
      <c r="K811" s="83">
        <f>IF(A!G514="y",1,0)</f>
        <v>0</v>
      </c>
      <c r="L811" s="83">
        <f>IF(A!H514="y",1,0)</f>
        <v>0</v>
      </c>
      <c r="M811" s="84" t="str">
        <f>IF(A!F514="y","NEW","")</f>
        <v/>
      </c>
      <c r="N811" s="85">
        <f>A!I514</f>
        <v>0</v>
      </c>
      <c r="O811" s="380">
        <f>A!O514</f>
        <v>4</v>
      </c>
      <c r="P811" s="541"/>
      <c r="Q811" s="541">
        <f>A!E514</f>
        <v>0</v>
      </c>
      <c r="R811" s="541" t="s">
        <v>725</v>
      </c>
      <c r="S811" s="541">
        <f t="shared" si="342"/>
        <v>0</v>
      </c>
      <c r="T811" s="541" t="str">
        <f>A!R514</f>
        <v>x1</v>
      </c>
      <c r="U811" s="541">
        <f>A!S514</f>
        <v>25</v>
      </c>
      <c r="V811" s="541">
        <f>A!T514</f>
        <v>0.02</v>
      </c>
      <c r="W811" s="541">
        <f t="shared" si="343"/>
        <v>0</v>
      </c>
      <c r="X811" s="541"/>
    </row>
    <row r="812" spans="1:24" ht="11.25" customHeight="1" x14ac:dyDescent="0.25">
      <c r="A812" s="121" t="str">
        <f>IF(S812=0,"",COUNTIF(A$23:A811,"&gt;0")+1)</f>
        <v/>
      </c>
      <c r="B812" s="416"/>
      <c r="C812" s="76" t="str">
        <f t="shared" si="341"/>
        <v>x1</v>
      </c>
      <c r="D812" s="98" t="str">
        <f>A!C515</f>
        <v>Nuphar luteum</v>
      </c>
      <c r="E812" s="78"/>
      <c r="F812" s="78"/>
      <c r="G812" s="99" t="str">
        <f>A!N515</f>
        <v>brandy bottle</v>
      </c>
      <c r="H812" s="89" t="str">
        <f>A!Q515</f>
        <v>this native deep water plant is often referred to as 'poor mans lily'</v>
      </c>
      <c r="I812" s="69">
        <f>A!M515</f>
        <v>2</v>
      </c>
      <c r="J812" s="202" t="str">
        <f>A!P515</f>
        <v>Yes</v>
      </c>
      <c r="K812" s="83">
        <f>IF(A!G515="y",1,0)</f>
        <v>0</v>
      </c>
      <c r="L812" s="83">
        <f>IF(A!H515="y",1,0)</f>
        <v>0</v>
      </c>
      <c r="M812" s="84" t="str">
        <f>IF(A!F515="y","NEW","")</f>
        <v>NEW</v>
      </c>
      <c r="N812" s="163"/>
      <c r="O812" s="380">
        <f>A!O515</f>
        <v>4</v>
      </c>
      <c r="P812" s="541"/>
      <c r="Q812" s="541" t="str">
        <f>A!E515</f>
        <v>Y</v>
      </c>
      <c r="R812" s="541" t="s">
        <v>725</v>
      </c>
      <c r="S812" s="541">
        <f t="shared" si="342"/>
        <v>0</v>
      </c>
      <c r="T812" s="541" t="str">
        <f>A!R515</f>
        <v>x1</v>
      </c>
      <c r="U812" s="541">
        <f>A!S515</f>
        <v>25</v>
      </c>
      <c r="V812" s="541">
        <f>A!T515</f>
        <v>0.02</v>
      </c>
      <c r="W812" s="541">
        <f t="shared" si="343"/>
        <v>0</v>
      </c>
      <c r="X812" s="541"/>
    </row>
    <row r="813" spans="1:24" ht="11.25" customHeight="1" x14ac:dyDescent="0.25">
      <c r="A813" s="121" t="str">
        <f>IF(S813=0,"",COUNTIF(A$23:A812,"&gt;0")+1)</f>
        <v/>
      </c>
      <c r="B813" s="416"/>
      <c r="C813" s="76" t="str">
        <f t="shared" si="341"/>
        <v>x1</v>
      </c>
      <c r="D813" s="98" t="str">
        <f>A!C516</f>
        <v>Nymphoides Peltata</v>
      </c>
      <c r="E813" s="78"/>
      <c r="F813" s="78"/>
      <c r="G813" s="99" t="str">
        <f>A!N516</f>
        <v>floating heart</v>
      </c>
      <c r="H813" s="89" t="str">
        <f>A!Q516</f>
        <v>origination from East Asia and the Mediterranean</v>
      </c>
      <c r="I813" s="69">
        <f>A!M516</f>
        <v>2</v>
      </c>
      <c r="J813" s="202">
        <f>A!P516</f>
        <v>0</v>
      </c>
      <c r="K813" s="83">
        <f>IF(A!G516="y",1,0)</f>
        <v>0</v>
      </c>
      <c r="L813" s="83">
        <f>IF(A!H516="y",1,0)</f>
        <v>0</v>
      </c>
      <c r="M813" s="84" t="str">
        <f>IF(A!F516="y","NEW","")</f>
        <v/>
      </c>
      <c r="N813" s="85"/>
      <c r="O813" s="380">
        <f>A!O516</f>
        <v>4</v>
      </c>
      <c r="P813" s="541"/>
      <c r="Q813" s="541" t="str">
        <f>A!E516</f>
        <v>y</v>
      </c>
      <c r="R813" s="541" t="s">
        <v>725</v>
      </c>
      <c r="S813" s="541">
        <f t="shared" si="342"/>
        <v>0</v>
      </c>
      <c r="T813" s="541" t="str">
        <f>A!R516</f>
        <v>x1</v>
      </c>
      <c r="U813" s="541">
        <f>A!S516</f>
        <v>25</v>
      </c>
      <c r="V813" s="541">
        <f>A!T516</f>
        <v>0.02</v>
      </c>
      <c r="W813" s="541">
        <f t="shared" si="343"/>
        <v>0</v>
      </c>
      <c r="X813" s="541"/>
    </row>
    <row r="814" spans="1:24" ht="12" customHeight="1" thickBot="1" x14ac:dyDescent="0.3">
      <c r="A814" s="121" t="str">
        <f>IF(S814=0,"",COUNTIF(A$23:A813,"&gt;0")+1)</f>
        <v/>
      </c>
      <c r="B814" s="417"/>
      <c r="C814" s="638" t="str">
        <f t="shared" si="341"/>
        <v>x1</v>
      </c>
      <c r="D814" s="639" t="str">
        <f>A!C517</f>
        <v>Orontium aquaticum</v>
      </c>
      <c r="E814" s="640"/>
      <c r="F814" s="640"/>
      <c r="G814" s="656" t="str">
        <f>A!N517</f>
        <v>golden club</v>
      </c>
      <c r="H814" s="642" t="str">
        <f>A!Q517</f>
        <v>offering striking yellow/white pokers over lush velvety leaves</v>
      </c>
      <c r="I814" s="643">
        <f>A!M517</f>
        <v>2</v>
      </c>
      <c r="J814" s="644" t="str">
        <f>A!P517</f>
        <v>Yes</v>
      </c>
      <c r="K814" s="645">
        <f>IF(A!G517="y",1,0)</f>
        <v>1</v>
      </c>
      <c r="L814" s="645">
        <f>IF(A!H517="y",1,0)</f>
        <v>0</v>
      </c>
      <c r="M814" s="653" t="str">
        <f>IF(A!F517="y","NEW","")</f>
        <v/>
      </c>
      <c r="N814" s="647"/>
      <c r="O814" s="648">
        <f>A!O517</f>
        <v>4</v>
      </c>
      <c r="P814" s="541"/>
      <c r="Q814" s="541" t="str">
        <f>A!E517</f>
        <v>y</v>
      </c>
      <c r="R814" s="541" t="s">
        <v>725</v>
      </c>
      <c r="S814" s="541">
        <f t="shared" si="342"/>
        <v>0</v>
      </c>
      <c r="T814" s="541" t="str">
        <f>A!R517</f>
        <v>x1</v>
      </c>
      <c r="U814" s="541">
        <f>A!S517</f>
        <v>25</v>
      </c>
      <c r="V814" s="541">
        <f>A!T517</f>
        <v>0.02</v>
      </c>
      <c r="W814" s="541">
        <f t="shared" si="343"/>
        <v>0</v>
      </c>
      <c r="X814" s="541"/>
    </row>
    <row r="815" spans="1:24" ht="12" hidden="1" customHeight="1" x14ac:dyDescent="0.25">
      <c r="A815" s="121" t="str">
        <f>IF(S815=0,"",COUNTIF(A$23:A814,"&gt;0")+1)</f>
        <v/>
      </c>
      <c r="B815" s="127"/>
      <c r="C815" s="128" t="str">
        <f t="shared" si="341"/>
        <v>x1</v>
      </c>
      <c r="D815" s="119" t="str">
        <f>A!C518</f>
        <v>Vallisneria gigantea</v>
      </c>
      <c r="E815" s="113"/>
      <c r="F815" s="113"/>
      <c r="G815" s="526" t="str">
        <f>A!N518</f>
        <v>giant ribbon grass</v>
      </c>
      <c r="H815" s="129">
        <f>A!Q518</f>
        <v>0</v>
      </c>
      <c r="I815" s="130">
        <f>A!M518</f>
        <v>3</v>
      </c>
      <c r="J815" s="203">
        <f>A!P518</f>
        <v>0</v>
      </c>
      <c r="K815" s="131">
        <f>IF(A!G518="y",1,0)</f>
        <v>0</v>
      </c>
      <c r="L815" s="131">
        <f>IF(A!H518="y",1,0)</f>
        <v>0</v>
      </c>
      <c r="M815" s="132" t="str">
        <f>IF(A!F518="y","NEW","")</f>
        <v/>
      </c>
      <c r="N815" s="133"/>
      <c r="O815" s="134">
        <f>A!O518</f>
        <v>4</v>
      </c>
      <c r="P815" s="541"/>
      <c r="Q815" s="541">
        <f>A!E518</f>
        <v>0</v>
      </c>
      <c r="R815" s="541" t="s">
        <v>725</v>
      </c>
      <c r="S815" s="541">
        <f t="shared" si="342"/>
        <v>0</v>
      </c>
      <c r="T815" s="541" t="str">
        <f>A!R518</f>
        <v>x1</v>
      </c>
      <c r="U815" s="541">
        <f>A!S518</f>
        <v>25</v>
      </c>
      <c r="V815" s="541">
        <f>A!T518</f>
        <v>0.02</v>
      </c>
      <c r="W815" s="541">
        <f t="shared" si="343"/>
        <v>0</v>
      </c>
      <c r="X815" s="541"/>
    </row>
    <row r="816" spans="1:24" x14ac:dyDescent="0.25">
      <c r="A816" s="121" t="str">
        <f>IF(S816=0,"",COUNTIF(A$23:A815,"&gt;0")+1)</f>
        <v/>
      </c>
      <c r="B816" s="124">
        <f>SUM(B809:B815)</f>
        <v>0</v>
      </c>
      <c r="C816" s="124"/>
      <c r="D816" s="93" t="s">
        <v>1365</v>
      </c>
      <c r="E816" s="56"/>
      <c r="F816" s="56"/>
      <c r="G816" s="657"/>
      <c r="H816" s="56"/>
      <c r="I816" s="56"/>
      <c r="J816" s="200"/>
      <c r="K816" s="56"/>
      <c r="L816" s="56"/>
      <c r="M816" s="58"/>
      <c r="N816" s="56"/>
      <c r="O816" s="94"/>
      <c r="P816" s="541"/>
      <c r="Q816" s="540"/>
      <c r="R816" s="541" t="s">
        <v>725</v>
      </c>
      <c r="S816" s="541">
        <f t="shared" si="342"/>
        <v>0</v>
      </c>
      <c r="T816" s="541" t="s">
        <v>548</v>
      </c>
      <c r="U816" s="541"/>
      <c r="V816" s="541"/>
      <c r="W816" s="541"/>
      <c r="X816" s="541"/>
    </row>
    <row r="817" spans="1:24" ht="9" customHeight="1" thickBot="1" x14ac:dyDescent="0.3">
      <c r="A817" s="121" t="str">
        <f>IF(S817=0,"",COUNTIF(A$23:A816,"&gt;0")+1)</f>
        <v/>
      </c>
      <c r="P817" s="541"/>
      <c r="Q817" s="541"/>
      <c r="R817" s="541"/>
      <c r="S817" s="541"/>
      <c r="T817" s="541"/>
      <c r="U817" s="541"/>
      <c r="V817" s="541"/>
      <c r="W817" s="541"/>
      <c r="X817" s="541"/>
    </row>
    <row r="818" spans="1:24" ht="11.25" customHeight="1" x14ac:dyDescent="0.25">
      <c r="A818" s="121" t="str">
        <f>IF(S818=0,"",COUNTIF(A$23:A817,"&gt;0")+1)</f>
        <v/>
      </c>
      <c r="B818" s="900" t="s">
        <v>115</v>
      </c>
      <c r="C818" s="901"/>
      <c r="D818" s="896" t="s">
        <v>1076</v>
      </c>
      <c r="E818" s="897"/>
      <c r="F818" s="897"/>
      <c r="G818" s="897"/>
      <c r="H818" s="1011" t="s">
        <v>1180</v>
      </c>
      <c r="I818" s="906" t="s">
        <v>1261</v>
      </c>
      <c r="J818" s="906"/>
      <c r="K818" s="906"/>
      <c r="L818" s="906"/>
      <c r="M818" s="906"/>
      <c r="N818" s="906"/>
      <c r="O818" s="907"/>
      <c r="P818" s="541"/>
      <c r="Q818" s="541"/>
      <c r="R818" s="541"/>
      <c r="S818" s="541"/>
      <c r="T818" s="541"/>
      <c r="U818" s="541"/>
      <c r="V818" s="541"/>
      <c r="W818" s="541"/>
      <c r="X818" s="541"/>
    </row>
    <row r="819" spans="1:24" ht="9" customHeight="1" thickBot="1" x14ac:dyDescent="0.3">
      <c r="A819" s="121" t="str">
        <f>IF(S819=0,"",COUNTIF(A$23:A818,"&gt;0")+1)</f>
        <v/>
      </c>
      <c r="B819" s="889" t="s">
        <v>210</v>
      </c>
      <c r="C819" s="890"/>
      <c r="D819" s="898"/>
      <c r="E819" s="899"/>
      <c r="F819" s="899"/>
      <c r="G819" s="899"/>
      <c r="H819" s="1012"/>
      <c r="I819" s="405" t="s">
        <v>114</v>
      </c>
      <c r="J819" s="406"/>
      <c r="K819" s="407"/>
      <c r="L819" s="407"/>
      <c r="M819" s="405"/>
      <c r="N819" s="407"/>
      <c r="O819" s="408" t="s">
        <v>41</v>
      </c>
      <c r="P819" s="541"/>
      <c r="Q819" s="540" t="s">
        <v>113</v>
      </c>
      <c r="R819" s="541"/>
      <c r="S819" s="541"/>
      <c r="T819" s="541"/>
      <c r="U819" s="541"/>
      <c r="V819" s="541"/>
      <c r="W819" s="541"/>
      <c r="X819" s="541"/>
    </row>
    <row r="820" spans="1:24" ht="11.25" customHeight="1" x14ac:dyDescent="0.25">
      <c r="A820" s="121" t="str">
        <f>IF(S820=0,"",COUNTIF(A$23:A819,"&gt;0")+1)</f>
        <v/>
      </c>
      <c r="B820" s="377"/>
      <c r="C820" s="128" t="str">
        <f t="shared" ref="C820:C826" si="344">T820</f>
        <v>x1</v>
      </c>
      <c r="D820" s="119" t="str">
        <f>A!C519</f>
        <v>Assorted Deep Water Plants</v>
      </c>
      <c r="E820" s="113"/>
      <c r="F820" s="113"/>
      <c r="G820" s="197" t="str">
        <f>A!N519</f>
        <v>Our best selection</v>
      </c>
      <c r="H820" s="129" t="str">
        <f>A!Q519</f>
        <v>Our best selection</v>
      </c>
      <c r="I820" s="349"/>
      <c r="J820" s="203"/>
      <c r="K820" s="131"/>
      <c r="L820" s="131"/>
      <c r="M820" s="132"/>
      <c r="N820" s="130"/>
      <c r="O820" s="378">
        <f>A!O519</f>
        <v>4</v>
      </c>
      <c r="P820" s="541"/>
      <c r="Q820" s="541" t="str">
        <f>A!E519</f>
        <v>y</v>
      </c>
      <c r="R820" s="541" t="s">
        <v>726</v>
      </c>
      <c r="S820" s="541">
        <f t="shared" ref="S820:S827" si="345">B820</f>
        <v>0</v>
      </c>
      <c r="T820" s="541" t="str">
        <f>A!R519</f>
        <v>x1</v>
      </c>
      <c r="U820" s="541">
        <f>A!S519</f>
        <v>30</v>
      </c>
      <c r="V820" s="541">
        <f>A!T519</f>
        <v>4.1666666666666664E-2</v>
      </c>
      <c r="W820" s="541">
        <f t="shared" ref="W820:W824" si="346">V820*B820</f>
        <v>0</v>
      </c>
      <c r="X820" s="541"/>
    </row>
    <row r="821" spans="1:24" ht="11.25" hidden="1" customHeight="1" x14ac:dyDescent="0.25">
      <c r="A821" s="121" t="str">
        <f>IF(S821=0,"",COUNTIF(A$23:A820,"&gt;0")+1)</f>
        <v/>
      </c>
      <c r="B821" s="379"/>
      <c r="C821" s="76" t="str">
        <f t="shared" si="344"/>
        <v>x1</v>
      </c>
      <c r="D821" s="98" t="str">
        <f>A!C520</f>
        <v>Aponogeton Distachyum</v>
      </c>
      <c r="E821" s="78"/>
      <c r="F821" s="78"/>
      <c r="G821" s="99" t="str">
        <f>A!N520</f>
        <v>water hawthorne</v>
      </c>
      <c r="H821" s="89" t="str">
        <f>A!Q520</f>
        <v>a wonderful sweetly scented deep marginal</v>
      </c>
      <c r="I821" s="69">
        <f>A!M520</f>
        <v>1</v>
      </c>
      <c r="J821" s="202">
        <f>A!P520</f>
        <v>0</v>
      </c>
      <c r="K821" s="83">
        <f>IF(A!G520="y",1,0)</f>
        <v>0</v>
      </c>
      <c r="L821" s="83">
        <f>IF(A!H520="y",1,0)</f>
        <v>0</v>
      </c>
      <c r="M821" s="84" t="str">
        <f>IF(A!F520="y","NEW","")</f>
        <v/>
      </c>
      <c r="N821" s="85"/>
      <c r="O821" s="380">
        <f>A!O520</f>
        <v>4</v>
      </c>
      <c r="P821" s="541"/>
      <c r="Q821" s="541">
        <f>A!E520</f>
        <v>0</v>
      </c>
      <c r="R821" s="541" t="s">
        <v>726</v>
      </c>
      <c r="S821" s="541">
        <f t="shared" si="345"/>
        <v>0</v>
      </c>
      <c r="T821" s="541" t="str">
        <f>A!R520</f>
        <v>x1</v>
      </c>
      <c r="U821" s="541">
        <f>A!S520</f>
        <v>30</v>
      </c>
      <c r="V821" s="541">
        <f>A!T520</f>
        <v>4.1666666666666664E-2</v>
      </c>
      <c r="W821" s="541">
        <f t="shared" si="346"/>
        <v>0</v>
      </c>
      <c r="X821" s="541"/>
    </row>
    <row r="822" spans="1:24" ht="12" hidden="1" customHeight="1" x14ac:dyDescent="0.25">
      <c r="A822" s="121" t="str">
        <f>IF(S822=0,"",COUNTIF(A$23:A821,"&gt;0")+1)</f>
        <v/>
      </c>
      <c r="B822" s="379"/>
      <c r="C822" s="76" t="str">
        <f t="shared" si="344"/>
        <v>x1</v>
      </c>
      <c r="D822" s="98" t="str">
        <f>A!C521</f>
        <v>Nuphar Advenum</v>
      </c>
      <c r="E822" s="78"/>
      <c r="F822" s="78"/>
      <c r="G822" s="99" t="str">
        <f>A!N521</f>
        <v>spatterdock</v>
      </c>
      <c r="H822" s="89">
        <f>A!Q521</f>
        <v>0</v>
      </c>
      <c r="I822" s="69">
        <f>A!M521</f>
        <v>3</v>
      </c>
      <c r="J822" s="202">
        <f>A!P521</f>
        <v>0</v>
      </c>
      <c r="K822" s="83">
        <f>IF(A!G521="y",1,0)</f>
        <v>0</v>
      </c>
      <c r="L822" s="83">
        <f>IF(A!H521="y",1,0)</f>
        <v>0</v>
      </c>
      <c r="M822" s="84" t="str">
        <f>IF(A!F521="y","NEW","")</f>
        <v/>
      </c>
      <c r="N822" s="85"/>
      <c r="O822" s="380">
        <f>A!O521</f>
        <v>4</v>
      </c>
      <c r="P822" s="541"/>
      <c r="Q822" s="541">
        <f>A!E521</f>
        <v>0</v>
      </c>
      <c r="R822" s="541" t="s">
        <v>726</v>
      </c>
      <c r="S822" s="541">
        <f t="shared" si="345"/>
        <v>0</v>
      </c>
      <c r="T822" s="541" t="str">
        <f>A!R521</f>
        <v>x1</v>
      </c>
      <c r="U822" s="541">
        <f>A!S521</f>
        <v>30</v>
      </c>
      <c r="V822" s="541">
        <f>A!T521</f>
        <v>4.1666666666666664E-2</v>
      </c>
      <c r="W822" s="541">
        <f t="shared" si="346"/>
        <v>0</v>
      </c>
      <c r="X822" s="541"/>
    </row>
    <row r="823" spans="1:24" ht="11.25" customHeight="1" x14ac:dyDescent="0.25">
      <c r="A823" s="121" t="str">
        <f>IF(S823=0,"",COUNTIF(A$23:A822,"&gt;0")+1)</f>
        <v/>
      </c>
      <c r="B823" s="379"/>
      <c r="C823" s="76" t="str">
        <f t="shared" si="344"/>
        <v>x1</v>
      </c>
      <c r="D823" s="98" t="str">
        <f>A!C522</f>
        <v>Nuphar luteum</v>
      </c>
      <c r="E823" s="78"/>
      <c r="F823" s="78"/>
      <c r="G823" s="99" t="str">
        <f>A!N522</f>
        <v>brandy bottle</v>
      </c>
      <c r="H823" s="89" t="str">
        <f>A!Q522</f>
        <v>this native deep water plant is often referred to as 'poor mans lily'</v>
      </c>
      <c r="I823" s="69">
        <f>A!M522</f>
        <v>2</v>
      </c>
      <c r="J823" s="202" t="str">
        <f>A!P522</f>
        <v>Yes</v>
      </c>
      <c r="K823" s="83">
        <f>IF(A!G522="y",1,0)</f>
        <v>0</v>
      </c>
      <c r="L823" s="83">
        <f>IF(A!H522="y",1,0)</f>
        <v>0</v>
      </c>
      <c r="M823" s="84" t="str">
        <f>IF(A!F522="y","NEW","")</f>
        <v>NEW</v>
      </c>
      <c r="N823" s="163"/>
      <c r="O823" s="380">
        <f>A!O522</f>
        <v>4</v>
      </c>
      <c r="P823" s="541"/>
      <c r="Q823" s="541" t="str">
        <f>A!E522</f>
        <v>Y</v>
      </c>
      <c r="R823" s="541" t="s">
        <v>726</v>
      </c>
      <c r="S823" s="541">
        <f t="shared" si="345"/>
        <v>0</v>
      </c>
      <c r="T823" s="541" t="str">
        <f>A!R522</f>
        <v>x1</v>
      </c>
      <c r="U823" s="541">
        <f>A!S522</f>
        <v>30</v>
      </c>
      <c r="V823" s="541">
        <f>A!T522</f>
        <v>4.1666666666666664E-2</v>
      </c>
      <c r="W823" s="541">
        <f t="shared" si="346"/>
        <v>0</v>
      </c>
      <c r="X823" s="541"/>
    </row>
    <row r="824" spans="1:24" ht="11.25" customHeight="1" x14ac:dyDescent="0.25">
      <c r="A824" s="121" t="str">
        <f>IF(S824=0,"",COUNTIF(A$23:A823,"&gt;0")+1)</f>
        <v/>
      </c>
      <c r="B824" s="379"/>
      <c r="C824" s="76" t="str">
        <f t="shared" si="344"/>
        <v>x1</v>
      </c>
      <c r="D824" s="98" t="str">
        <f>A!C523</f>
        <v>Nymphoides Peltata</v>
      </c>
      <c r="E824" s="78"/>
      <c r="F824" s="78"/>
      <c r="G824" s="99" t="str">
        <f>A!N523</f>
        <v>floating heart</v>
      </c>
      <c r="H824" s="89" t="str">
        <f>A!Q523</f>
        <v>origination from East Asia and the Mediterranean</v>
      </c>
      <c r="I824" s="69">
        <f>A!M523</f>
        <v>2</v>
      </c>
      <c r="J824" s="202">
        <f>A!P523</f>
        <v>0</v>
      </c>
      <c r="K824" s="83">
        <f>IF(A!G523="y",1,0)</f>
        <v>0</v>
      </c>
      <c r="L824" s="83">
        <f>IF(A!H523="y",1,0)</f>
        <v>0</v>
      </c>
      <c r="M824" s="84" t="str">
        <f>IF(A!F523="y","NEW","")</f>
        <v/>
      </c>
      <c r="N824" s="85">
        <f>A!I523</f>
        <v>0</v>
      </c>
      <c r="O824" s="380">
        <f>A!O523</f>
        <v>4</v>
      </c>
      <c r="P824" s="541"/>
      <c r="Q824" s="541" t="str">
        <f>A!E523</f>
        <v>y</v>
      </c>
      <c r="R824" s="541" t="s">
        <v>726</v>
      </c>
      <c r="S824" s="541">
        <f t="shared" si="345"/>
        <v>0</v>
      </c>
      <c r="T824" s="541" t="str">
        <f>A!R523</f>
        <v>x1</v>
      </c>
      <c r="U824" s="541">
        <f>A!S523</f>
        <v>30</v>
      </c>
      <c r="V824" s="541">
        <f>A!T523</f>
        <v>4.1666666666666664E-2</v>
      </c>
      <c r="W824" s="541">
        <f t="shared" si="346"/>
        <v>0</v>
      </c>
      <c r="X824" s="541"/>
    </row>
    <row r="825" spans="1:24" ht="11.25" customHeight="1" thickBot="1" x14ac:dyDescent="0.3">
      <c r="A825" s="121" t="str">
        <f>IF(S825=0,"",COUNTIF(A$23:A824,"&gt;0")+1)</f>
        <v/>
      </c>
      <c r="B825" s="382"/>
      <c r="C825" s="383" t="str">
        <f t="shared" si="344"/>
        <v>x1</v>
      </c>
      <c r="D825" s="384" t="str">
        <f>A!C524</f>
        <v>Orontium aquaticum</v>
      </c>
      <c r="E825" s="385"/>
      <c r="F825" s="385"/>
      <c r="G825" s="418" t="str">
        <f>A!N524</f>
        <v>golden club</v>
      </c>
      <c r="H825" s="388" t="str">
        <f>A!Q524</f>
        <v>offering striking yellow/white pokers over lush velvety leaves</v>
      </c>
      <c r="I825" s="401">
        <f>A!M524</f>
        <v>2</v>
      </c>
      <c r="J825" s="402" t="str">
        <f>A!P524</f>
        <v>Yes</v>
      </c>
      <c r="K825" s="403">
        <f>IF(A!G524="y",1,0)</f>
        <v>0</v>
      </c>
      <c r="L825" s="403">
        <f>IF(A!H524="y",1,0)</f>
        <v>0</v>
      </c>
      <c r="M825" s="419" t="str">
        <f>IF(A!F524="y","NEW","")</f>
        <v/>
      </c>
      <c r="N825" s="404">
        <f>A!I524</f>
        <v>0</v>
      </c>
      <c r="O825" s="390">
        <f>A!O524</f>
        <v>4</v>
      </c>
      <c r="P825" s="541"/>
      <c r="Q825" s="541" t="str">
        <f>A!E524</f>
        <v>y</v>
      </c>
      <c r="R825" s="541" t="s">
        <v>726</v>
      </c>
      <c r="S825" s="541">
        <f t="shared" si="345"/>
        <v>0</v>
      </c>
      <c r="T825" s="541" t="str">
        <f>A!R524</f>
        <v>x1</v>
      </c>
      <c r="U825" s="541">
        <f>A!S524</f>
        <v>30</v>
      </c>
      <c r="V825" s="541">
        <f>A!T524</f>
        <v>4.1666666666666664E-2</v>
      </c>
      <c r="W825" s="541">
        <f>V825*B825</f>
        <v>0</v>
      </c>
      <c r="X825" s="541"/>
    </row>
    <row r="826" spans="1:24" ht="12" hidden="1" customHeight="1" x14ac:dyDescent="0.25">
      <c r="A826" s="121" t="str">
        <f>IF(S826=0,"",COUNTIF(A$23:A825,"&gt;0")+1)</f>
        <v/>
      </c>
      <c r="B826" s="127"/>
      <c r="C826" s="128" t="str">
        <f t="shared" si="344"/>
        <v>x1</v>
      </c>
      <c r="D826" s="119" t="str">
        <f>A!C525</f>
        <v>Vallisneria gigantea</v>
      </c>
      <c r="E826" s="113"/>
      <c r="F826" s="113"/>
      <c r="G826" s="420" t="str">
        <f>A!N525</f>
        <v>giant ribbon grass</v>
      </c>
      <c r="H826" s="129">
        <f>A!Q525</f>
        <v>0</v>
      </c>
      <c r="I826" s="130">
        <f>A!M525</f>
        <v>3</v>
      </c>
      <c r="J826" s="203">
        <f>A!P525</f>
        <v>0</v>
      </c>
      <c r="K826" s="421">
        <f>IF(A!G525="y",1,0)</f>
        <v>0</v>
      </c>
      <c r="L826" s="131">
        <f>IF(A!H525="y",1,0)</f>
        <v>0</v>
      </c>
      <c r="M826" s="132" t="str">
        <f>IF(A!F525="y","NEW","")</f>
        <v/>
      </c>
      <c r="N826" s="133">
        <f>A!I525</f>
        <v>0</v>
      </c>
      <c r="O826" s="134">
        <f>A!O525</f>
        <v>4</v>
      </c>
      <c r="P826" s="541"/>
      <c r="Q826" s="541">
        <f>A!E525</f>
        <v>0</v>
      </c>
      <c r="R826" s="541" t="s">
        <v>726</v>
      </c>
      <c r="S826" s="541">
        <f t="shared" si="345"/>
        <v>0</v>
      </c>
      <c r="T826" s="541" t="str">
        <f>A!R525</f>
        <v>x1</v>
      </c>
      <c r="U826" s="541">
        <f>A!S525</f>
        <v>30</v>
      </c>
      <c r="V826" s="541">
        <f>A!T525</f>
        <v>4.1666666666666664E-2</v>
      </c>
      <c r="W826" s="541">
        <f t="shared" ref="W826" si="347">V826*B826</f>
        <v>0</v>
      </c>
      <c r="X826" s="541"/>
    </row>
    <row r="827" spans="1:24" x14ac:dyDescent="0.25">
      <c r="A827" s="121" t="str">
        <f>IF(S827=0,"",COUNTIF(A$23:A826,"&gt;0")+1)</f>
        <v/>
      </c>
      <c r="B827" s="124">
        <f>SUM(B820:B826)</f>
        <v>0</v>
      </c>
      <c r="C827" s="124"/>
      <c r="D827" s="93" t="s">
        <v>1366</v>
      </c>
      <c r="E827" s="56"/>
      <c r="F827" s="56"/>
      <c r="G827" s="56"/>
      <c r="H827" s="56"/>
      <c r="I827" s="56"/>
      <c r="J827" s="200"/>
      <c r="K827" s="57"/>
      <c r="L827" s="56"/>
      <c r="M827" s="58"/>
      <c r="N827" s="56"/>
      <c r="O827" s="94"/>
      <c r="P827" s="541"/>
      <c r="Q827" s="540"/>
      <c r="R827" s="541" t="s">
        <v>726</v>
      </c>
      <c r="S827" s="541">
        <f t="shared" si="345"/>
        <v>0</v>
      </c>
      <c r="T827" s="541" t="s">
        <v>548</v>
      </c>
      <c r="U827" s="541"/>
      <c r="V827" s="541"/>
      <c r="W827" s="541"/>
      <c r="X827" s="541"/>
    </row>
    <row r="828" spans="1:24" ht="5.25" customHeight="1" thickBot="1" x14ac:dyDescent="0.3">
      <c r="A828" s="121" t="str">
        <f>IF(S828=0,"",COUNTIF(A$23:A827,"&gt;0")+1)</f>
        <v/>
      </c>
      <c r="P828" s="541"/>
      <c r="Q828" s="541"/>
      <c r="R828" s="541"/>
      <c r="S828" s="541"/>
      <c r="T828" s="541"/>
      <c r="U828" s="541"/>
      <c r="V828" s="541"/>
      <c r="W828" s="541"/>
      <c r="X828" s="541"/>
    </row>
    <row r="829" spans="1:24" ht="9.75" customHeight="1" x14ac:dyDescent="0.25">
      <c r="A829" s="121" t="str">
        <f>IF(S829=0,"",COUNTIF(A$23:A828,"&gt;0")+1)</f>
        <v/>
      </c>
      <c r="B829" s="1003" t="s">
        <v>115</v>
      </c>
      <c r="C829" s="1004"/>
      <c r="D829" s="1005" t="s">
        <v>1291</v>
      </c>
      <c r="E829" s="1006"/>
      <c r="F829" s="1006"/>
      <c r="G829" s="1006"/>
      <c r="H829" s="1006"/>
      <c r="I829" s="708"/>
      <c r="J829" s="709"/>
      <c r="K829" s="710"/>
      <c r="L829" s="708"/>
      <c r="M829" s="711"/>
      <c r="N829" s="708"/>
      <c r="O829" s="712"/>
      <c r="P829" s="541"/>
      <c r="Q829" s="541"/>
      <c r="R829" s="541"/>
      <c r="S829" s="541"/>
      <c r="T829" s="541"/>
      <c r="U829" s="541"/>
      <c r="V829" s="541"/>
      <c r="W829" s="541"/>
      <c r="X829" s="541"/>
    </row>
    <row r="830" spans="1:24" ht="8.25" customHeight="1" thickBot="1" x14ac:dyDescent="0.3">
      <c r="A830" s="121" t="str">
        <f>IF(S830=0,"",COUNTIF(A$23:A829,"&gt;0")+1)</f>
        <v/>
      </c>
      <c r="B830" s="1015"/>
      <c r="C830" s="1016"/>
      <c r="D830" s="1007"/>
      <c r="E830" s="1008"/>
      <c r="F830" s="1008"/>
      <c r="G830" s="1008"/>
      <c r="H830" s="1008"/>
      <c r="I830" s="725"/>
      <c r="J830" s="726"/>
      <c r="K830" s="727"/>
      <c r="L830" s="728"/>
      <c r="M830" s="725"/>
      <c r="N830" s="728"/>
      <c r="O830" s="729"/>
      <c r="P830" s="541"/>
      <c r="Q830" s="540" t="s">
        <v>113</v>
      </c>
      <c r="R830" s="541"/>
      <c r="S830" s="541"/>
      <c r="T830" s="541"/>
      <c r="U830" s="541"/>
      <c r="V830" s="541"/>
      <c r="W830" s="541"/>
      <c r="X830" s="541"/>
    </row>
    <row r="831" spans="1:24" ht="12" customHeight="1" thickBot="1" x14ac:dyDescent="0.3">
      <c r="A831" s="121" t="str">
        <f>IF(S831=0,"",COUNTIF(A$23:A830,"&gt;0")+1)</f>
        <v/>
      </c>
      <c r="B831" s="713"/>
      <c r="C831" s="714" t="str">
        <f t="shared" ref="C831:C836" si="348">T831</f>
        <v>x50</v>
      </c>
      <c r="D831" s="715" t="str">
        <f>A!C812</f>
        <v>Snails Assorted</v>
      </c>
      <c r="E831" s="716"/>
      <c r="F831" s="716"/>
      <c r="G831" s="717"/>
      <c r="H831" s="718" t="str">
        <f>A!Q812</f>
        <v>A selection of available snails</v>
      </c>
      <c r="I831" s="719"/>
      <c r="J831" s="720" t="str">
        <f>A!P812</f>
        <v>Yes</v>
      </c>
      <c r="K831" s="721">
        <f>IF(A!G812="y",1,0)</f>
        <v>1</v>
      </c>
      <c r="L831" s="722">
        <f>IF(A!H812="y",1,0)</f>
        <v>0</v>
      </c>
      <c r="M831" s="723" t="str">
        <f>IF(A!F812="y","NEW","")</f>
        <v>NEW</v>
      </c>
      <c r="N831" s="423">
        <f>A!I812</f>
        <v>0</v>
      </c>
      <c r="O831" s="724"/>
      <c r="P831" s="541"/>
      <c r="Q831" s="541" t="str">
        <f>A!E812</f>
        <v>y</v>
      </c>
      <c r="R831" s="541" t="s">
        <v>676</v>
      </c>
      <c r="S831" s="541">
        <f t="shared" ref="S831:S836" si="349">B831</f>
        <v>0</v>
      </c>
      <c r="T831" s="541" t="str">
        <f>A!R812</f>
        <v>x50</v>
      </c>
      <c r="U831" s="541"/>
      <c r="V831" s="541"/>
      <c r="W831" s="541"/>
      <c r="X831" s="541"/>
    </row>
    <row r="832" spans="1:24" ht="12" hidden="1" customHeight="1" thickBot="1" x14ac:dyDescent="0.3">
      <c r="A832" s="121" t="str">
        <f>IF(S832=0,"",COUNTIF(A$23:A831,"&gt;0")+1)</f>
        <v/>
      </c>
      <c r="B832" s="707"/>
      <c r="C832" s="605" t="str">
        <f t="shared" si="348"/>
        <v>x50</v>
      </c>
      <c r="D832" s="606" t="str">
        <f>A!C813</f>
        <v>Ramshorn Snails</v>
      </c>
      <c r="E832" s="607"/>
      <c r="F832" s="607"/>
      <c r="G832" s="608"/>
      <c r="H832" s="609" t="str">
        <f>A!Q813</f>
        <v>will eat dead algae, dead foliage and uneaten fish food</v>
      </c>
      <c r="I832" s="610"/>
      <c r="J832" s="611" t="str">
        <f>A!P813</f>
        <v>Yes</v>
      </c>
      <c r="K832" s="612">
        <f>IF(A!G813="y",1,0)</f>
        <v>0</v>
      </c>
      <c r="L832" s="613">
        <f>IF(A!H813="y",1,0)</f>
        <v>0</v>
      </c>
      <c r="M832" s="614" t="str">
        <f>IF(A!F813="y","NEW","")</f>
        <v/>
      </c>
      <c r="N832" s="615">
        <f>A!I813</f>
        <v>0</v>
      </c>
      <c r="O832" s="616"/>
      <c r="P832" s="541"/>
      <c r="Q832" s="541">
        <f>A!E813</f>
        <v>0</v>
      </c>
      <c r="R832" s="541" t="s">
        <v>676</v>
      </c>
      <c r="S832" s="541">
        <f t="shared" si="349"/>
        <v>0</v>
      </c>
      <c r="T832" s="541" t="str">
        <f>A!R813</f>
        <v>x50</v>
      </c>
      <c r="U832" s="541">
        <f>A!S813</f>
        <v>0</v>
      </c>
      <c r="V832" s="541">
        <f>A!T813</f>
        <v>0</v>
      </c>
      <c r="W832" s="541"/>
      <c r="X832" s="541"/>
    </row>
    <row r="833" spans="1:24" ht="12" hidden="1" customHeight="1" x14ac:dyDescent="0.25">
      <c r="A833" s="121" t="str">
        <f>IF(S833=0,"",COUNTIF(A$23:A832,"&gt;0")+1)</f>
        <v/>
      </c>
      <c r="B833" s="118"/>
      <c r="C833" s="128" t="str">
        <f t="shared" si="348"/>
        <v>x50</v>
      </c>
      <c r="D833" s="119" t="str">
        <f>A!C814</f>
        <v>Stagnalis Snails</v>
      </c>
      <c r="E833" s="113"/>
      <c r="F833" s="113"/>
      <c r="G833" s="420"/>
      <c r="H833" s="129" t="str">
        <f>A!Q814</f>
        <v>will eat dead algae, dead foliage and uneaten fish food</v>
      </c>
      <c r="I833" s="130"/>
      <c r="J833" s="203" t="str">
        <f>A!P814</f>
        <v>Yes</v>
      </c>
      <c r="K833" s="421">
        <f>IF(A!G814="y",1,0)</f>
        <v>0</v>
      </c>
      <c r="L833" s="131">
        <f>IF(A!H814="y",1,0)</f>
        <v>0</v>
      </c>
      <c r="M833" s="132" t="str">
        <f>IF(A!F814="y","NEW","")</f>
        <v/>
      </c>
      <c r="N833" s="133">
        <f>A!I814</f>
        <v>0</v>
      </c>
      <c r="O833" s="422"/>
      <c r="P833" s="541"/>
      <c r="Q833" s="541">
        <f>A!E814</f>
        <v>0</v>
      </c>
      <c r="R833" s="541" t="s">
        <v>676</v>
      </c>
      <c r="S833" s="541">
        <f t="shared" si="349"/>
        <v>0</v>
      </c>
      <c r="T833" s="541" t="str">
        <f>A!R814</f>
        <v>x50</v>
      </c>
      <c r="U833" s="541">
        <f>A!S814</f>
        <v>0</v>
      </c>
      <c r="V833" s="541">
        <f>A!T814</f>
        <v>0</v>
      </c>
      <c r="W833" s="541"/>
      <c r="X833" s="541"/>
    </row>
    <row r="834" spans="1:24" ht="12" hidden="1" customHeight="1" x14ac:dyDescent="0.25">
      <c r="A834" s="121" t="str">
        <f>IF(S834=0,"",COUNTIF(A$23:A833,"&gt;0")+1)</f>
        <v/>
      </c>
      <c r="B834" s="75"/>
      <c r="C834" s="76" t="str">
        <f t="shared" si="348"/>
        <v>x10</v>
      </c>
      <c r="D834" s="98" t="str">
        <f>A!C815</f>
        <v>Swan Mussels</v>
      </c>
      <c r="E834" s="78"/>
      <c r="F834" s="78"/>
      <c r="G834" s="100"/>
      <c r="H834" s="89" t="str">
        <f>A!Q815</f>
        <v>offering a popular bivalve swam mussel</v>
      </c>
      <c r="I834" s="69"/>
      <c r="J834" s="202" t="str">
        <f>A!P815</f>
        <v>Yes</v>
      </c>
      <c r="K834" s="205">
        <f>IF(A!G815="y",1,0)</f>
        <v>0</v>
      </c>
      <c r="L834" s="83">
        <f>IF(A!H815="y",1,0)</f>
        <v>0</v>
      </c>
      <c r="M834" s="84" t="str">
        <f>IF(A!F815="y","NEW","")</f>
        <v/>
      </c>
      <c r="N834" s="85">
        <f>A!I815</f>
        <v>0</v>
      </c>
      <c r="O834" s="147"/>
      <c r="P834" s="541"/>
      <c r="Q834" s="541">
        <f>A!E815</f>
        <v>0</v>
      </c>
      <c r="R834" s="541" t="s">
        <v>676</v>
      </c>
      <c r="S834" s="541">
        <f t="shared" si="349"/>
        <v>0</v>
      </c>
      <c r="T834" s="541" t="str">
        <f>A!R815</f>
        <v>x10</v>
      </c>
      <c r="U834" s="541">
        <f>A!S815</f>
        <v>0</v>
      </c>
      <c r="V834" s="541">
        <f>A!T815</f>
        <v>0</v>
      </c>
      <c r="W834" s="541"/>
      <c r="X834" s="541"/>
    </row>
    <row r="835" spans="1:24" ht="12" hidden="1" customHeight="1" x14ac:dyDescent="0.25">
      <c r="A835" s="121" t="str">
        <f>IF(S835=0,"",COUNTIF(A$23:A834,"&gt;0")+1)</f>
        <v/>
      </c>
      <c r="B835" s="75"/>
      <c r="C835" s="76" t="str">
        <f t="shared" si="348"/>
        <v>x10</v>
      </c>
      <c r="D835" s="98" t="str">
        <f>A!C816</f>
        <v>Painters Mussel</v>
      </c>
      <c r="E835" s="78"/>
      <c r="F835" s="78"/>
      <c r="G835" s="100"/>
      <c r="H835" s="89" t="str">
        <f>A!Q816</f>
        <v>offering the native medium sized painter's mussel</v>
      </c>
      <c r="I835" s="69"/>
      <c r="J835" s="202">
        <f>A!P816</f>
        <v>0</v>
      </c>
      <c r="K835" s="205">
        <f>IF(A!G816="y",1,0)</f>
        <v>0</v>
      </c>
      <c r="L835" s="83">
        <f>IF(A!H816="y",1,0)</f>
        <v>0</v>
      </c>
      <c r="M835" s="84" t="str">
        <f>IF(A!F816="y","NEW","")</f>
        <v/>
      </c>
      <c r="N835" s="85">
        <f>A!I816</f>
        <v>0</v>
      </c>
      <c r="O835" s="147"/>
      <c r="P835" s="541"/>
      <c r="Q835" s="541">
        <f>A!E816</f>
        <v>0</v>
      </c>
      <c r="R835" s="541" t="s">
        <v>676</v>
      </c>
      <c r="S835" s="541">
        <f t="shared" si="349"/>
        <v>0</v>
      </c>
      <c r="T835" s="541" t="str">
        <f>A!R816</f>
        <v>x10</v>
      </c>
      <c r="U835" s="541">
        <f>A!S816</f>
        <v>0</v>
      </c>
      <c r="V835" s="541">
        <f>A!T816</f>
        <v>0</v>
      </c>
      <c r="W835" s="541"/>
      <c r="X835" s="541"/>
    </row>
    <row r="836" spans="1:24" ht="12" hidden="1" customHeight="1" x14ac:dyDescent="0.25">
      <c r="A836" s="121" t="str">
        <f>IF(S836=0,"",COUNTIF(A$23:A835,"&gt;0")+1)</f>
        <v/>
      </c>
      <c r="B836" s="75"/>
      <c r="C836" s="76" t="str">
        <f t="shared" si="348"/>
        <v>x10</v>
      </c>
      <c r="D836" s="98" t="str">
        <f>A!C817</f>
        <v>Jumbo Swan Mussels</v>
      </c>
      <c r="E836" s="78"/>
      <c r="F836" s="78"/>
      <c r="G836" s="100"/>
      <c r="H836" s="89" t="str">
        <f>A!Q817</f>
        <v>offering a larger grade of the native swan mussel</v>
      </c>
      <c r="I836" s="69"/>
      <c r="J836" s="202" t="str">
        <f>A!P817</f>
        <v>Yes</v>
      </c>
      <c r="K836" s="205">
        <f>IF(A!G817="y",1,0)</f>
        <v>0</v>
      </c>
      <c r="L836" s="83">
        <f>IF(A!H817="y",1,0)</f>
        <v>0</v>
      </c>
      <c r="M836" s="84" t="str">
        <f>IF(A!F817="y","NEW","")</f>
        <v/>
      </c>
      <c r="N836" s="85">
        <f>A!I817</f>
        <v>0</v>
      </c>
      <c r="O836" s="82"/>
      <c r="P836" s="541"/>
      <c r="Q836" s="541">
        <f>A!E817</f>
        <v>0</v>
      </c>
      <c r="R836" s="541" t="s">
        <v>676</v>
      </c>
      <c r="S836" s="541">
        <f t="shared" si="349"/>
        <v>0</v>
      </c>
      <c r="T836" s="541" t="str">
        <f>A!R817</f>
        <v>x10</v>
      </c>
      <c r="U836" s="541">
        <f>A!S817</f>
        <v>0</v>
      </c>
      <c r="V836" s="541">
        <f>A!T817</f>
        <v>0</v>
      </c>
      <c r="W836" s="541"/>
      <c r="X836" s="541"/>
    </row>
    <row r="837" spans="1:24" ht="11.25" customHeight="1" x14ac:dyDescent="0.25">
      <c r="A837" s="121" t="str">
        <f>IF(S837=0,"",COUNTIF(A$23:A836,"&gt;0")+1)</f>
        <v/>
      </c>
      <c r="B837" s="124">
        <f>SUM(B831:B833)*50+SUM(B834:B836)*10</f>
        <v>0</v>
      </c>
      <c r="C837" s="124"/>
      <c r="D837" s="93" t="s">
        <v>1367</v>
      </c>
      <c r="E837" s="56"/>
      <c r="F837" s="56"/>
      <c r="G837" s="56"/>
      <c r="H837" s="56"/>
      <c r="I837" s="56"/>
      <c r="J837" s="200"/>
      <c r="K837" s="56"/>
      <c r="L837" s="56"/>
      <c r="M837" s="58"/>
      <c r="N837" s="56"/>
      <c r="O837" s="96"/>
      <c r="P837" s="541"/>
      <c r="Q837" s="540"/>
      <c r="R837" s="541" t="s">
        <v>676</v>
      </c>
      <c r="S837" s="541">
        <f>B837</f>
        <v>0</v>
      </c>
      <c r="T837" s="541" t="s">
        <v>548</v>
      </c>
      <c r="U837" s="541"/>
      <c r="V837" s="541"/>
      <c r="W837" s="541"/>
      <c r="X837" s="541"/>
    </row>
    <row r="838" spans="1:24" ht="6.75" customHeight="1" x14ac:dyDescent="0.25">
      <c r="A838" s="121" t="str">
        <f>IF(S838=0,"",COUNTIF(A$23:A837,"&gt;0")+1)</f>
        <v/>
      </c>
      <c r="P838" s="541"/>
      <c r="Q838" s="541"/>
      <c r="R838" s="541"/>
      <c r="S838" s="541"/>
      <c r="T838" s="541"/>
      <c r="U838" s="541"/>
      <c r="V838" s="541"/>
      <c r="W838" s="541"/>
      <c r="X838" s="541"/>
    </row>
    <row r="839" spans="1:24" ht="12.75" customHeight="1" x14ac:dyDescent="0.25">
      <c r="A839" s="121" t="str">
        <f>IF(S839=0,"",COUNTIF(A$23:A838,"&gt;0")+1)</f>
        <v/>
      </c>
      <c r="B839" s="1009" t="s">
        <v>115</v>
      </c>
      <c r="C839" s="1010"/>
      <c r="D839" s="977" t="s">
        <v>743</v>
      </c>
      <c r="E839" s="978"/>
      <c r="F839" s="978"/>
      <c r="G839" s="65"/>
      <c r="H839" s="65"/>
      <c r="I839" s="138"/>
      <c r="J839" s="138"/>
      <c r="K839" s="56"/>
      <c r="L839" s="56"/>
      <c r="M839" s="58"/>
      <c r="N839" s="56"/>
      <c r="O839" s="59"/>
      <c r="P839" s="541"/>
      <c r="Q839" s="541"/>
      <c r="R839" s="541"/>
      <c r="S839" s="541"/>
      <c r="T839" s="541"/>
      <c r="U839" s="541"/>
      <c r="V839" s="541"/>
      <c r="W839" s="541"/>
      <c r="X839" s="541"/>
    </row>
    <row r="840" spans="1:24" ht="12.75" customHeight="1" x14ac:dyDescent="0.25">
      <c r="A840" s="121" t="str">
        <f>IF(S840=0,"",COUNTIF(A$23:A839,"&gt;0")+1)</f>
        <v/>
      </c>
      <c r="B840" s="1013" t="s">
        <v>762</v>
      </c>
      <c r="C840" s="1014"/>
      <c r="D840" s="979"/>
      <c r="E840" s="980"/>
      <c r="F840" s="980"/>
      <c r="G840" s="148"/>
      <c r="H840" s="149" t="s">
        <v>1067</v>
      </c>
      <c r="I840" s="139"/>
      <c r="J840" s="204"/>
      <c r="K840" s="63"/>
      <c r="L840" s="63"/>
      <c r="M840" s="62"/>
      <c r="N840" s="63"/>
      <c r="O840" s="145"/>
      <c r="P840" s="541"/>
      <c r="Q840" s="541"/>
      <c r="R840" s="541"/>
      <c r="S840" s="541"/>
      <c r="T840" s="541"/>
      <c r="U840" s="541"/>
      <c r="V840" s="541"/>
      <c r="W840" s="541"/>
      <c r="X840" s="541"/>
    </row>
    <row r="841" spans="1:24" x14ac:dyDescent="0.25">
      <c r="A841" s="121" t="str">
        <f>IF(S841=0,"",COUNTIF(A$23:A840,"&gt;0")+1)</f>
        <v/>
      </c>
      <c r="B841" s="150"/>
      <c r="C841" s="73" t="str">
        <f t="shared" ref="C841:C851" si="350">T841</f>
        <v>x25</v>
      </c>
      <c r="D841" s="97" t="str">
        <f>A!C820</f>
        <v>Mini Square 1L 11x11cm</v>
      </c>
      <c r="E841" s="74"/>
      <c r="F841" s="74"/>
      <c r="G841" s="74"/>
      <c r="H841" s="679" t="s">
        <v>1077</v>
      </c>
      <c r="I841" s="152"/>
      <c r="J841" s="151"/>
      <c r="K841" s="152"/>
      <c r="L841" s="152"/>
      <c r="M841" s="153"/>
      <c r="N841" s="152"/>
      <c r="O841" s="146"/>
      <c r="P841" s="541"/>
      <c r="Q841" s="541" t="str">
        <f>A!E820</f>
        <v>y</v>
      </c>
      <c r="R841" s="541" t="str">
        <f t="shared" ref="R841:R852" si="351">I$852&amp;"Aquabaskets"</f>
        <v>Aquabaskets</v>
      </c>
      <c r="S841" s="541">
        <f t="shared" ref="S841:S852" si="352">B841</f>
        <v>0</v>
      </c>
      <c r="T841" s="541" t="str">
        <f>A!R820</f>
        <v>x25</v>
      </c>
      <c r="U841" s="541">
        <f>A!S820</f>
        <v>0</v>
      </c>
      <c r="V841" s="541">
        <f>A!T820</f>
        <v>0</v>
      </c>
      <c r="W841" s="541">
        <f t="shared" ref="W841:W851" si="353">V841*B841</f>
        <v>0</v>
      </c>
      <c r="X841" s="541"/>
    </row>
    <row r="842" spans="1:24" x14ac:dyDescent="0.25">
      <c r="A842" s="121" t="str">
        <f>IF(S842=0,"",COUNTIF(A$23:A841,"&gt;0")+1)</f>
        <v/>
      </c>
      <c r="B842" s="154"/>
      <c r="C842" s="76" t="str">
        <f t="shared" si="350"/>
        <v>x25</v>
      </c>
      <c r="D842" s="98" t="str">
        <f>A!C821</f>
        <v>Small Square 2L 19x19cm</v>
      </c>
      <c r="E842" s="78"/>
      <c r="F842" s="78"/>
      <c r="G842" s="78"/>
      <c r="H842" s="677" t="s">
        <v>1078</v>
      </c>
      <c r="I842" s="156"/>
      <c r="J842" s="155"/>
      <c r="K842" s="156"/>
      <c r="L842" s="156"/>
      <c r="M842" s="157"/>
      <c r="N842" s="156"/>
      <c r="O842" s="147"/>
      <c r="P842" s="541"/>
      <c r="Q842" s="541" t="str">
        <f>A!E821</f>
        <v>y</v>
      </c>
      <c r="R842" s="541" t="str">
        <f t="shared" si="351"/>
        <v>Aquabaskets</v>
      </c>
      <c r="S842" s="541">
        <f t="shared" si="352"/>
        <v>0</v>
      </c>
      <c r="T842" s="541" t="str">
        <f>A!R821</f>
        <v>x25</v>
      </c>
      <c r="U842" s="541">
        <f>A!S821</f>
        <v>25</v>
      </c>
      <c r="V842" s="541">
        <f>A!T821</f>
        <v>4.1666666666666664E-2</v>
      </c>
      <c r="W842" s="541">
        <f t="shared" si="353"/>
        <v>0</v>
      </c>
      <c r="X842" s="541"/>
    </row>
    <row r="843" spans="1:24" hidden="1" x14ac:dyDescent="0.25">
      <c r="A843" s="121" t="str">
        <f>IF(S843=0,"",COUNTIF(A$23:A842,"&gt;0")+1)</f>
        <v/>
      </c>
      <c r="B843" s="154"/>
      <c r="C843" s="76" t="str">
        <f t="shared" si="350"/>
        <v>x25</v>
      </c>
      <c r="D843" s="98" t="str">
        <f>A!C822</f>
        <v>Midi Square 3L 20x20x20cm</v>
      </c>
      <c r="E843" s="78"/>
      <c r="F843" s="78"/>
      <c r="G843" s="78"/>
      <c r="H843" s="677" t="s">
        <v>1079</v>
      </c>
      <c r="I843" s="156"/>
      <c r="J843" s="155"/>
      <c r="K843" s="156"/>
      <c r="L843" s="156"/>
      <c r="M843" s="157"/>
      <c r="N843" s="156"/>
      <c r="O843" s="147"/>
      <c r="P843" s="541"/>
      <c r="Q843" s="541">
        <f>A!E822</f>
        <v>0</v>
      </c>
      <c r="R843" s="541" t="str">
        <f t="shared" si="351"/>
        <v>Aquabaskets</v>
      </c>
      <c r="S843" s="541">
        <f t="shared" si="352"/>
        <v>0</v>
      </c>
      <c r="T843" s="541" t="str">
        <f>A!R822</f>
        <v>x25</v>
      </c>
      <c r="U843" s="541">
        <f>A!S822</f>
        <v>0</v>
      </c>
      <c r="V843" s="541">
        <f>A!T822</f>
        <v>0</v>
      </c>
      <c r="W843" s="541">
        <f t="shared" si="353"/>
        <v>0</v>
      </c>
      <c r="X843" s="541"/>
    </row>
    <row r="844" spans="1:24" x14ac:dyDescent="0.25">
      <c r="A844" s="121" t="str">
        <f>IF(S844=0,"",COUNTIF(A$23:A843,"&gt;0")+1)</f>
        <v/>
      </c>
      <c r="B844" s="154"/>
      <c r="C844" s="76" t="str">
        <f t="shared" si="350"/>
        <v>x25</v>
      </c>
      <c r="D844" s="98" t="str">
        <f>A!C823</f>
        <v>Medium Square 5L 23x23cm</v>
      </c>
      <c r="E844" s="78"/>
      <c r="F844" s="78"/>
      <c r="G844" s="78"/>
      <c r="H844" s="677" t="s">
        <v>1080</v>
      </c>
      <c r="I844" s="156"/>
      <c r="J844" s="155"/>
      <c r="K844" s="156"/>
      <c r="L844" s="156"/>
      <c r="M844" s="157"/>
      <c r="N844" s="156"/>
      <c r="O844" s="147"/>
      <c r="P844" s="541"/>
      <c r="Q844" s="541" t="str">
        <f>A!E823</f>
        <v>Y</v>
      </c>
      <c r="R844" s="541" t="str">
        <f t="shared" si="351"/>
        <v>Aquabaskets</v>
      </c>
      <c r="S844" s="541">
        <f t="shared" si="352"/>
        <v>0</v>
      </c>
      <c r="T844" s="541" t="str">
        <f>A!R823</f>
        <v>x25</v>
      </c>
      <c r="U844" s="541">
        <f>A!S823</f>
        <v>35</v>
      </c>
      <c r="V844" s="541">
        <f>A!T823</f>
        <v>8.3333333333333329E-2</v>
      </c>
      <c r="W844" s="541">
        <f t="shared" si="353"/>
        <v>0</v>
      </c>
      <c r="X844" s="541"/>
    </row>
    <row r="845" spans="1:24" x14ac:dyDescent="0.25">
      <c r="A845" s="121" t="str">
        <f>IF(S845=0,"",COUNTIF(A$23:A844,"&gt;0")+1)</f>
        <v/>
      </c>
      <c r="B845" s="154"/>
      <c r="C845" s="76" t="str">
        <f t="shared" si="350"/>
        <v>x25</v>
      </c>
      <c r="D845" s="98" t="str">
        <f>A!C824</f>
        <v>Large Square 10L 28x28cm</v>
      </c>
      <c r="E845" s="78"/>
      <c r="F845" s="78"/>
      <c r="G845" s="78"/>
      <c r="H845" s="677" t="s">
        <v>930</v>
      </c>
      <c r="I845" s="156"/>
      <c r="J845" s="155"/>
      <c r="K845" s="156"/>
      <c r="L845" s="156"/>
      <c r="M845" s="157"/>
      <c r="N845" s="156"/>
      <c r="O845" s="147"/>
      <c r="P845" s="541"/>
      <c r="Q845" s="541" t="str">
        <f>A!E824</f>
        <v>Y</v>
      </c>
      <c r="R845" s="541" t="str">
        <f t="shared" si="351"/>
        <v>Aquabaskets</v>
      </c>
      <c r="S845" s="541">
        <f t="shared" si="352"/>
        <v>0</v>
      </c>
      <c r="T845" s="541" t="str">
        <f>A!R824</f>
        <v>x25</v>
      </c>
      <c r="U845" s="541">
        <f>A!S824</f>
        <v>40</v>
      </c>
      <c r="V845" s="541">
        <f>A!T824</f>
        <v>0.1</v>
      </c>
      <c r="W845" s="541">
        <f t="shared" si="353"/>
        <v>0</v>
      </c>
      <c r="X845" s="541"/>
    </row>
    <row r="846" spans="1:24" x14ac:dyDescent="0.25">
      <c r="A846" s="121" t="str">
        <f>IF(S846=0,"",COUNTIF(A$23:A845,"&gt;0")+1)</f>
        <v/>
      </c>
      <c r="B846" s="154"/>
      <c r="C846" s="76" t="str">
        <f t="shared" si="350"/>
        <v>x10</v>
      </c>
      <c r="D846" s="98" t="str">
        <f>A!C825</f>
        <v>XL Square 28L 35x35cm</v>
      </c>
      <c r="E846" s="78"/>
      <c r="F846" s="78"/>
      <c r="G846" s="78"/>
      <c r="H846" s="677" t="s">
        <v>1081</v>
      </c>
      <c r="I846" s="156"/>
      <c r="J846" s="155"/>
      <c r="K846" s="156"/>
      <c r="L846" s="156"/>
      <c r="M846" s="157"/>
      <c r="N846" s="156"/>
      <c r="O846" s="147"/>
      <c r="P846" s="541"/>
      <c r="Q846" s="541" t="str">
        <f>A!E825</f>
        <v>y</v>
      </c>
      <c r="R846" s="541" t="str">
        <f t="shared" si="351"/>
        <v>Aquabaskets</v>
      </c>
      <c r="S846" s="541">
        <f t="shared" si="352"/>
        <v>0</v>
      </c>
      <c r="T846" s="541" t="str">
        <f>A!R825</f>
        <v>x10</v>
      </c>
      <c r="U846" s="541">
        <f>A!S825</f>
        <v>35</v>
      </c>
      <c r="V846" s="541">
        <f>A!T825</f>
        <v>0.4</v>
      </c>
      <c r="W846" s="541">
        <f t="shared" si="353"/>
        <v>0</v>
      </c>
      <c r="X846" s="541"/>
    </row>
    <row r="847" spans="1:24" x14ac:dyDescent="0.25">
      <c r="A847" s="121" t="str">
        <f>IF(S847=0,"",COUNTIF(A$23:A846,"&gt;0")+1)</f>
        <v/>
      </c>
      <c r="B847" s="154"/>
      <c r="C847" s="76" t="str">
        <f t="shared" si="350"/>
        <v>x25</v>
      </c>
      <c r="D847" s="98" t="str">
        <f>A!C826</f>
        <v>Small Round 1L 13cm</v>
      </c>
      <c r="E847" s="78"/>
      <c r="F847" s="78"/>
      <c r="G847" s="78"/>
      <c r="H847" s="677" t="s">
        <v>1082</v>
      </c>
      <c r="I847" s="156"/>
      <c r="J847" s="155"/>
      <c r="K847" s="156"/>
      <c r="L847" s="156"/>
      <c r="M847" s="157"/>
      <c r="N847" s="156"/>
      <c r="O847" s="147"/>
      <c r="P847" s="541"/>
      <c r="Q847" s="541" t="str">
        <f>A!E826</f>
        <v>y</v>
      </c>
      <c r="R847" s="541" t="str">
        <f t="shared" si="351"/>
        <v>Aquabaskets</v>
      </c>
      <c r="S847" s="541">
        <f t="shared" si="352"/>
        <v>0</v>
      </c>
      <c r="T847" s="541" t="str">
        <f>A!R826</f>
        <v>x25</v>
      </c>
      <c r="U847" s="541">
        <f>A!S826</f>
        <v>0</v>
      </c>
      <c r="V847" s="541">
        <f>A!T826</f>
        <v>0</v>
      </c>
      <c r="W847" s="541">
        <f t="shared" si="353"/>
        <v>0</v>
      </c>
      <c r="X847" s="541"/>
    </row>
    <row r="848" spans="1:24" x14ac:dyDescent="0.25">
      <c r="A848" s="121" t="str">
        <f>IF(S848=0,"",COUNTIF(A$23:A847,"&gt;0")+1)</f>
        <v/>
      </c>
      <c r="B848" s="154"/>
      <c r="C848" s="76" t="str">
        <f t="shared" si="350"/>
        <v>x25</v>
      </c>
      <c r="D848" s="98" t="str">
        <f>A!C827</f>
        <v>Medium Round 2L 17cm</v>
      </c>
      <c r="E848" s="78"/>
      <c r="F848" s="78"/>
      <c r="G848" s="78"/>
      <c r="H848" s="677" t="s">
        <v>1079</v>
      </c>
      <c r="I848" s="156"/>
      <c r="J848" s="155"/>
      <c r="K848" s="156"/>
      <c r="L848" s="156"/>
      <c r="M848" s="157"/>
      <c r="N848" s="156"/>
      <c r="O848" s="147"/>
      <c r="P848" s="541"/>
      <c r="Q848" s="541" t="str">
        <f>A!E827</f>
        <v>y</v>
      </c>
      <c r="R848" s="541" t="str">
        <f t="shared" si="351"/>
        <v>Aquabaskets</v>
      </c>
      <c r="S848" s="541">
        <f t="shared" si="352"/>
        <v>0</v>
      </c>
      <c r="T848" s="541" t="str">
        <f>A!R827</f>
        <v>x25</v>
      </c>
      <c r="U848" s="541">
        <f>A!S827</f>
        <v>0</v>
      </c>
      <c r="V848" s="541">
        <f>A!T827</f>
        <v>0</v>
      </c>
      <c r="W848" s="541">
        <f t="shared" si="353"/>
        <v>0</v>
      </c>
      <c r="X848" s="541"/>
    </row>
    <row r="849" spans="1:24" hidden="1" x14ac:dyDescent="0.25">
      <c r="A849" s="121" t="str">
        <f>IF(S849=0,"",COUNTIF(A$23:A848,"&gt;0")+1)</f>
        <v/>
      </c>
      <c r="B849" s="251"/>
      <c r="C849" s="76" t="str">
        <f t="shared" si="350"/>
        <v>x25</v>
      </c>
      <c r="D849" s="98" t="str">
        <f>A!C828</f>
        <v>Large Round 3L 23cm</v>
      </c>
      <c r="E849" s="78"/>
      <c r="F849" s="78"/>
      <c r="G849" s="78"/>
      <c r="H849" s="677" t="s">
        <v>1083</v>
      </c>
      <c r="I849" s="156"/>
      <c r="J849" s="155"/>
      <c r="K849" s="156"/>
      <c r="L849" s="156"/>
      <c r="M849" s="157"/>
      <c r="N849" s="252"/>
      <c r="O849" s="147"/>
      <c r="P849" s="541"/>
      <c r="Q849" s="541">
        <f>A!E828</f>
        <v>0</v>
      </c>
      <c r="R849" s="541" t="str">
        <f t="shared" si="351"/>
        <v>Aquabaskets</v>
      </c>
      <c r="S849" s="541">
        <f t="shared" si="352"/>
        <v>0</v>
      </c>
      <c r="T849" s="541" t="str">
        <f>A!R828</f>
        <v>x25</v>
      </c>
      <c r="U849" s="541">
        <f>A!S828</f>
        <v>0</v>
      </c>
      <c r="V849" s="541">
        <f>A!T828</f>
        <v>0</v>
      </c>
      <c r="W849" s="541">
        <f t="shared" si="353"/>
        <v>0</v>
      </c>
      <c r="X849" s="541"/>
    </row>
    <row r="850" spans="1:24" x14ac:dyDescent="0.25">
      <c r="A850" s="121" t="str">
        <f>IF(S850=0,"",COUNTIF(A$23:A849,"&gt;0")+1)</f>
        <v/>
      </c>
      <c r="B850" s="154"/>
      <c r="C850" s="128" t="str">
        <f t="shared" si="350"/>
        <v>x10</v>
      </c>
      <c r="D850" s="119" t="str">
        <f>A!C829</f>
        <v xml:space="preserve">Jumbo Round 24L </v>
      </c>
      <c r="E850" s="113"/>
      <c r="F850" s="113"/>
      <c r="G850" s="113"/>
      <c r="H850" s="680" t="s">
        <v>1084</v>
      </c>
      <c r="I850" s="239"/>
      <c r="J850" s="238"/>
      <c r="K850" s="239"/>
      <c r="L850" s="239"/>
      <c r="M850" s="240"/>
      <c r="N850" s="156"/>
      <c r="O850" s="147"/>
      <c r="P850" s="541"/>
      <c r="Q850" s="541" t="str">
        <f>A!E829</f>
        <v>Y</v>
      </c>
      <c r="R850" s="541" t="str">
        <f t="shared" si="351"/>
        <v>Aquabaskets</v>
      </c>
      <c r="S850" s="541">
        <f t="shared" si="352"/>
        <v>0</v>
      </c>
      <c r="T850" s="541" t="str">
        <f>A!R829</f>
        <v>x10</v>
      </c>
      <c r="U850" s="541">
        <f>A!S829</f>
        <v>45</v>
      </c>
      <c r="V850" s="541">
        <f>A!T829</f>
        <v>0.4</v>
      </c>
      <c r="W850" s="541">
        <f t="shared" si="353"/>
        <v>0</v>
      </c>
      <c r="X850" s="541"/>
    </row>
    <row r="851" spans="1:24" x14ac:dyDescent="0.25">
      <c r="A851" s="121" t="str">
        <f>IF(S851=0,"",COUNTIF(A$23:A850,"&gt;0")+1)</f>
        <v/>
      </c>
      <c r="B851" s="158"/>
      <c r="C851" s="91" t="str">
        <f t="shared" si="350"/>
        <v>x25</v>
      </c>
      <c r="D851" s="102" t="str">
        <f>A!C831</f>
        <v>Contour 8L</v>
      </c>
      <c r="E851" s="103"/>
      <c r="F851" s="103"/>
      <c r="G851" s="103"/>
      <c r="H851" s="681" t="s">
        <v>1085</v>
      </c>
      <c r="I851" s="159"/>
      <c r="J851" s="162"/>
      <c r="K851" s="159"/>
      <c r="L851" s="159"/>
      <c r="M851" s="160"/>
      <c r="N851" s="159"/>
      <c r="O851" s="161"/>
      <c r="P851" s="541"/>
      <c r="Q851" s="541" t="str">
        <f>A!E831</f>
        <v>Y</v>
      </c>
      <c r="R851" s="541" t="str">
        <f t="shared" si="351"/>
        <v>Aquabaskets</v>
      </c>
      <c r="S851" s="541">
        <f t="shared" si="352"/>
        <v>0</v>
      </c>
      <c r="T851" s="541" t="str">
        <f>A!R831</f>
        <v>x25</v>
      </c>
      <c r="U851" s="541">
        <f>A!S831</f>
        <v>50</v>
      </c>
      <c r="V851" s="541">
        <f>A!T831</f>
        <v>0.125</v>
      </c>
      <c r="W851" s="541">
        <f t="shared" si="353"/>
        <v>0</v>
      </c>
      <c r="X851" s="541"/>
    </row>
    <row r="852" spans="1:24" x14ac:dyDescent="0.25">
      <c r="A852" s="121" t="str">
        <f>IF(S852=0,"",COUNTIF(A$23:A851,"&gt;0")+1)</f>
        <v/>
      </c>
      <c r="B852" s="101">
        <f>SUM(B841:B851)*25-(B846+B850)*15</f>
        <v>0</v>
      </c>
      <c r="C852" s="101"/>
      <c r="D852" s="93" t="str">
        <f>"Total Aquatic "&amp;I852&amp;"Baskets (Individual)"</f>
        <v>Total Aquatic Baskets (Individual)</v>
      </c>
      <c r="E852" s="56"/>
      <c r="F852" s="56"/>
      <c r="G852" s="56"/>
      <c r="H852" s="56"/>
      <c r="I852" s="57" t="str">
        <f>IF(I840&lt;&gt;"","Barcoded ","")</f>
        <v/>
      </c>
      <c r="J852" s="200"/>
      <c r="O852" s="96"/>
      <c r="P852" s="541"/>
      <c r="Q852" s="541"/>
      <c r="R852" s="541" t="str">
        <f t="shared" si="351"/>
        <v>Aquabaskets</v>
      </c>
      <c r="S852" s="541">
        <f t="shared" si="352"/>
        <v>0</v>
      </c>
      <c r="T852" s="541" t="s">
        <v>548</v>
      </c>
      <c r="U852" s="541"/>
      <c r="V852" s="541"/>
      <c r="W852" s="541"/>
      <c r="X852" s="541"/>
    </row>
    <row r="853" spans="1:24" ht="7.5" customHeight="1" x14ac:dyDescent="0.25">
      <c r="A853" s="121" t="str">
        <f>IF(S853=0,"",COUNTIF(A$23:A852,"&gt;0")+1)</f>
        <v/>
      </c>
      <c r="P853" s="541"/>
      <c r="Q853" s="541"/>
      <c r="R853" s="541"/>
      <c r="S853" s="541"/>
      <c r="T853" s="541"/>
      <c r="U853" s="541"/>
      <c r="V853" s="541"/>
      <c r="W853" s="541"/>
      <c r="X853" s="541"/>
    </row>
    <row r="854" spans="1:24" ht="12.75" customHeight="1" x14ac:dyDescent="0.25">
      <c r="A854" s="121" t="str">
        <f>IF(S854=0,"",COUNTIF(A$23:A853,"&gt;0")+1)</f>
        <v/>
      </c>
      <c r="B854" s="1009" t="s">
        <v>115</v>
      </c>
      <c r="C854" s="1010"/>
      <c r="D854" s="977" t="s">
        <v>754</v>
      </c>
      <c r="E854" s="978"/>
      <c r="F854" s="978"/>
      <c r="G854" s="978"/>
      <c r="H854" s="978"/>
      <c r="I854" s="978"/>
      <c r="J854" s="978"/>
      <c r="K854" s="978"/>
      <c r="L854" s="978"/>
      <c r="M854" s="978"/>
      <c r="N854" s="978"/>
      <c r="O854" s="1058"/>
      <c r="P854" s="541"/>
      <c r="Q854" s="541"/>
      <c r="R854" s="541"/>
      <c r="S854" s="541"/>
      <c r="T854" s="541"/>
      <c r="U854" s="541"/>
      <c r="V854" s="541"/>
      <c r="W854" s="541"/>
      <c r="X854" s="541"/>
    </row>
    <row r="855" spans="1:24" ht="10.5" customHeight="1" x14ac:dyDescent="0.25">
      <c r="A855" s="121" t="str">
        <f>IF(S855=0,"",COUNTIF(A$23:A854,"&gt;0")+1)</f>
        <v/>
      </c>
      <c r="B855" s="1013" t="s">
        <v>763</v>
      </c>
      <c r="C855" s="1014"/>
      <c r="D855" s="979"/>
      <c r="E855" s="980"/>
      <c r="F855" s="980"/>
      <c r="G855" s="980"/>
      <c r="H855" s="980"/>
      <c r="I855" s="980"/>
      <c r="J855" s="980"/>
      <c r="K855" s="980"/>
      <c r="L855" s="980"/>
      <c r="M855" s="980"/>
      <c r="N855" s="980"/>
      <c r="O855" s="1059"/>
      <c r="P855" s="541"/>
      <c r="Q855" s="541"/>
      <c r="R855" s="541"/>
      <c r="S855" s="541"/>
      <c r="T855" s="541"/>
      <c r="U855" s="541"/>
      <c r="V855" s="541"/>
      <c r="W855" s="541"/>
      <c r="X855" s="541"/>
    </row>
    <row r="856" spans="1:24" ht="12.75" customHeight="1" x14ac:dyDescent="0.25">
      <c r="A856" s="121" t="str">
        <f>IF(S856=0,"",COUNTIF(A$23:A855,"&gt;0")+1)</f>
        <v/>
      </c>
      <c r="B856" s="150"/>
      <c r="C856" s="73" t="str">
        <f t="shared" ref="C856:C862" si="354">T856</f>
        <v>x1</v>
      </c>
      <c r="D856" s="97" t="str">
        <f>A!C832</f>
        <v>Bag Dispenser with 250 bags -Hang on</v>
      </c>
      <c r="E856" s="152"/>
      <c r="F856" s="152"/>
      <c r="G856" s="152"/>
      <c r="H856" s="152"/>
      <c r="I856" s="152"/>
      <c r="J856" s="151"/>
      <c r="K856" s="152"/>
      <c r="L856" s="152"/>
      <c r="M856" s="1098">
        <v>24</v>
      </c>
      <c r="N856" s="1099"/>
      <c r="O856" s="1100"/>
      <c r="P856" s="541"/>
      <c r="Q856" s="541" t="str">
        <f>A!E832</f>
        <v>y</v>
      </c>
      <c r="R856" s="541" t="s">
        <v>754</v>
      </c>
      <c r="S856" s="541">
        <f t="shared" ref="S856:S862" si="355">B856</f>
        <v>0</v>
      </c>
      <c r="T856" s="541" t="s">
        <v>548</v>
      </c>
      <c r="U856" s="541"/>
      <c r="V856" s="541"/>
      <c r="W856" s="541"/>
      <c r="X856" s="541"/>
    </row>
    <row r="857" spans="1:24" ht="12.75" customHeight="1" x14ac:dyDescent="0.25">
      <c r="A857" s="121" t="str">
        <f>IF(S857=0,"",COUNTIF(A$23:A856,"&gt;0")+1)</f>
        <v/>
      </c>
      <c r="B857" s="154"/>
      <c r="C857" s="76" t="str">
        <f t="shared" si="354"/>
        <v>x1</v>
      </c>
      <c r="D857" s="98" t="str">
        <f>A!C833</f>
        <v>Bag Dispenser with 250 bags -Screw on</v>
      </c>
      <c r="E857" s="156"/>
      <c r="F857" s="156"/>
      <c r="G857" s="156"/>
      <c r="H857" s="156"/>
      <c r="I857" s="156"/>
      <c r="J857" s="155"/>
      <c r="K857" s="156"/>
      <c r="L857" s="156"/>
      <c r="M857" s="1000">
        <v>24</v>
      </c>
      <c r="N857" s="1001"/>
      <c r="O857" s="1002"/>
      <c r="P857" s="541"/>
      <c r="Q857" s="541" t="str">
        <f>A!E833</f>
        <v>y</v>
      </c>
      <c r="R857" s="541" t="s">
        <v>754</v>
      </c>
      <c r="S857" s="541">
        <f t="shared" si="355"/>
        <v>0</v>
      </c>
      <c r="T857" s="541" t="s">
        <v>548</v>
      </c>
      <c r="U857" s="541"/>
      <c r="V857" s="541"/>
      <c r="W857" s="541"/>
      <c r="X857" s="541"/>
    </row>
    <row r="858" spans="1:24" ht="12.75" customHeight="1" x14ac:dyDescent="0.25">
      <c r="A858" s="121" t="str">
        <f>IF(S858=0,"",COUNTIF(A$23:A857,"&gt;0")+1)</f>
        <v/>
      </c>
      <c r="B858" s="154"/>
      <c r="C858" s="76" t="str">
        <f t="shared" si="354"/>
        <v>x1</v>
      </c>
      <c r="D858" s="98" t="str">
        <f>A!C834</f>
        <v>Replacement bags for dispenser x250</v>
      </c>
      <c r="E858" s="156"/>
      <c r="F858" s="156"/>
      <c r="G858" s="156"/>
      <c r="H858" s="156"/>
      <c r="I858" s="156"/>
      <c r="J858" s="155"/>
      <c r="K858" s="156"/>
      <c r="L858" s="156"/>
      <c r="M858" s="1000">
        <v>8</v>
      </c>
      <c r="N858" s="1001"/>
      <c r="O858" s="1002"/>
      <c r="P858" s="541"/>
      <c r="Q858" s="541" t="str">
        <f>A!E834</f>
        <v>y</v>
      </c>
      <c r="R858" s="541" t="s">
        <v>754</v>
      </c>
      <c r="S858" s="541">
        <f t="shared" si="355"/>
        <v>0</v>
      </c>
      <c r="T858" s="541" t="s">
        <v>548</v>
      </c>
      <c r="U858" s="541"/>
      <c r="V858" s="541"/>
      <c r="W858" s="541"/>
      <c r="X858" s="541"/>
    </row>
    <row r="859" spans="1:24" ht="12.75" customHeight="1" x14ac:dyDescent="0.25">
      <c r="A859" s="121" t="str">
        <f>IF(S859=0,"",COUNTIF(A$23:A858,"&gt;0")+1)</f>
        <v/>
      </c>
      <c r="B859" s="154"/>
      <c r="C859" s="76" t="str">
        <f t="shared" si="354"/>
        <v>x1</v>
      </c>
      <c r="D859" s="98" t="s">
        <v>758</v>
      </c>
      <c r="E859" s="156"/>
      <c r="F859" s="156"/>
      <c r="G859" s="156"/>
      <c r="H859" s="156"/>
      <c r="I859" s="156"/>
      <c r="J859" s="155"/>
      <c r="K859" s="156"/>
      <c r="L859" s="156"/>
      <c r="M859" s="1000">
        <v>28</v>
      </c>
      <c r="N859" s="1001"/>
      <c r="O859" s="1002"/>
      <c r="P859" s="541"/>
      <c r="Q859" s="541" t="str">
        <f>A!E838</f>
        <v>y</v>
      </c>
      <c r="R859" s="541" t="s">
        <v>754</v>
      </c>
      <c r="S859" s="541">
        <f t="shared" si="355"/>
        <v>0</v>
      </c>
      <c r="T859" s="541" t="s">
        <v>548</v>
      </c>
      <c r="U859" s="541"/>
      <c r="V859" s="541"/>
      <c r="W859" s="541"/>
      <c r="X859" s="541"/>
    </row>
    <row r="860" spans="1:24" ht="12.75" customHeight="1" x14ac:dyDescent="0.25">
      <c r="A860" s="121" t="str">
        <f>IF(S860=0,"",COUNTIF(A$23:A859,"&gt;0")+1)</f>
        <v/>
      </c>
      <c r="B860" s="154"/>
      <c r="C860" s="76" t="str">
        <f t="shared" si="354"/>
        <v>x1</v>
      </c>
      <c r="D860" s="98" t="s">
        <v>759</v>
      </c>
      <c r="E860" s="156"/>
      <c r="F860" s="156"/>
      <c r="G860" s="156"/>
      <c r="H860" s="156"/>
      <c r="I860" s="156"/>
      <c r="J860" s="155"/>
      <c r="K860" s="156"/>
      <c r="L860" s="156"/>
      <c r="M860" s="1000">
        <v>55</v>
      </c>
      <c r="N860" s="1001"/>
      <c r="O860" s="1002"/>
      <c r="P860" s="541"/>
      <c r="Q860" s="541" t="str">
        <f>A!E839</f>
        <v>y</v>
      </c>
      <c r="R860" s="541" t="s">
        <v>754</v>
      </c>
      <c r="S860" s="541">
        <f t="shared" si="355"/>
        <v>0</v>
      </c>
      <c r="T860" s="541" t="s">
        <v>548</v>
      </c>
      <c r="U860" s="541"/>
      <c r="V860" s="541"/>
      <c r="W860" s="541"/>
      <c r="X860" s="541"/>
    </row>
    <row r="861" spans="1:24" ht="12.75" hidden="1" customHeight="1" x14ac:dyDescent="0.25">
      <c r="A861" s="121" t="str">
        <f>IF(S861=0,"",COUNTIF(A$23:A860,"&gt;0")+1)</f>
        <v/>
      </c>
      <c r="B861" s="154"/>
      <c r="C861" s="76" t="str">
        <f t="shared" si="354"/>
        <v>x1</v>
      </c>
      <c r="D861" s="98" t="s">
        <v>764</v>
      </c>
      <c r="E861" s="156"/>
      <c r="F861" s="156"/>
      <c r="G861" s="156"/>
      <c r="H861" s="66"/>
      <c r="I861" s="156"/>
      <c r="J861" s="155"/>
      <c r="K861" s="156"/>
      <c r="L861" s="156"/>
      <c r="M861" s="1000">
        <v>0.49</v>
      </c>
      <c r="N861" s="1001"/>
      <c r="O861" s="1002"/>
      <c r="P861" s="541"/>
      <c r="Q861" s="541">
        <f>A!E836</f>
        <v>0</v>
      </c>
      <c r="R861" s="541" t="s">
        <v>754</v>
      </c>
      <c r="S861" s="541">
        <f t="shared" si="355"/>
        <v>0</v>
      </c>
      <c r="T861" s="541" t="s">
        <v>548</v>
      </c>
      <c r="U861" s="541"/>
      <c r="V861" s="541"/>
      <c r="W861" s="541"/>
      <c r="X861" s="541"/>
    </row>
    <row r="862" spans="1:24" ht="12.75" hidden="1" customHeight="1" x14ac:dyDescent="0.25">
      <c r="A862" s="121" t="str">
        <f>IF(S862=0,"",COUNTIF(A$23:A861,"&gt;0")+1)</f>
        <v/>
      </c>
      <c r="B862" s="154"/>
      <c r="C862" s="76" t="str">
        <f t="shared" si="354"/>
        <v>x1</v>
      </c>
      <c r="D862" s="98" t="s">
        <v>829</v>
      </c>
      <c r="E862" s="156"/>
      <c r="F862" s="156"/>
      <c r="G862" s="156"/>
      <c r="H862" s="676" t="s">
        <v>1128</v>
      </c>
      <c r="I862" s="156"/>
      <c r="J862" s="155"/>
      <c r="K862" s="156"/>
      <c r="L862" s="156"/>
      <c r="M862" s="1000">
        <v>0.31</v>
      </c>
      <c r="N862" s="1001"/>
      <c r="O862" s="1002"/>
      <c r="P862" s="541"/>
      <c r="Q862" s="541">
        <f>A!E837</f>
        <v>0</v>
      </c>
      <c r="R862" s="541" t="s">
        <v>754</v>
      </c>
      <c r="S862" s="541">
        <f t="shared" si="355"/>
        <v>0</v>
      </c>
      <c r="T862" s="541" t="s">
        <v>548</v>
      </c>
      <c r="U862" s="541"/>
      <c r="V862" s="541"/>
      <c r="W862" s="541"/>
      <c r="X862" s="541"/>
    </row>
    <row r="863" spans="1:24" ht="12.75" customHeight="1" x14ac:dyDescent="0.25">
      <c r="A863" s="121" t="str">
        <f>IF(S863=0,"",COUNTIF(A$23:A862,"&gt;0")+1)</f>
        <v/>
      </c>
      <c r="B863" s="154"/>
      <c r="C863" s="76" t="str">
        <f t="shared" ref="C863:C864" si="356">T863</f>
        <v>x1</v>
      </c>
      <c r="D863" s="98" t="str">
        <f>A!C856</f>
        <v>144x 10L Aquatic Compost - Pallet</v>
      </c>
      <c r="E863" s="156"/>
      <c r="F863" s="156"/>
      <c r="G863" s="156"/>
      <c r="H863" s="677" t="s">
        <v>1002</v>
      </c>
      <c r="I863" s="156"/>
      <c r="J863" s="1092" t="s">
        <v>113</v>
      </c>
      <c r="K863" s="1092"/>
      <c r="L863" s="1093"/>
      <c r="M863" s="1000">
        <v>302</v>
      </c>
      <c r="N863" s="1001"/>
      <c r="O863" s="1002"/>
      <c r="P863" s="541"/>
      <c r="Q863" s="541" t="str">
        <f>A!E838</f>
        <v>y</v>
      </c>
      <c r="R863" s="541" t="s">
        <v>754</v>
      </c>
      <c r="S863" s="541">
        <f t="shared" ref="S863" si="357">B863</f>
        <v>0</v>
      </c>
      <c r="T863" s="541" t="s">
        <v>548</v>
      </c>
      <c r="U863" s="541"/>
      <c r="V863" s="541"/>
      <c r="W863" s="541"/>
      <c r="X863" s="541"/>
    </row>
    <row r="864" spans="1:24" ht="12.75" customHeight="1" x14ac:dyDescent="0.25">
      <c r="A864" s="121" t="str">
        <f>IF(S864=0,"",COUNTIF(A$23:A863,"&gt;0")+1)</f>
        <v/>
      </c>
      <c r="B864" s="154"/>
      <c r="C864" s="76" t="str">
        <f t="shared" si="356"/>
        <v>x1</v>
      </c>
      <c r="D864" s="98" t="str">
        <f>A!C857</f>
        <v>84 x 20L Aquatic Compost - Pallet</v>
      </c>
      <c r="E864" s="156"/>
      <c r="F864" s="156"/>
      <c r="G864" s="156"/>
      <c r="H864" s="677" t="s">
        <v>1002</v>
      </c>
      <c r="I864" s="156"/>
      <c r="J864" s="1092" t="s">
        <v>113</v>
      </c>
      <c r="K864" s="1092"/>
      <c r="L864" s="1093"/>
      <c r="M864" s="1000">
        <v>260</v>
      </c>
      <c r="N864" s="1001"/>
      <c r="O864" s="1002"/>
      <c r="P864" s="541"/>
      <c r="Q864" s="541" t="str">
        <f>A!E839</f>
        <v>y</v>
      </c>
      <c r="R864" s="541" t="s">
        <v>754</v>
      </c>
      <c r="S864" s="541">
        <f>B864</f>
        <v>0</v>
      </c>
      <c r="T864" s="541" t="s">
        <v>548</v>
      </c>
      <c r="U864" s="541"/>
      <c r="V864" s="541"/>
      <c r="W864" s="541"/>
      <c r="X864" s="541"/>
    </row>
    <row r="865" spans="1:24" ht="12.75" customHeight="1" x14ac:dyDescent="0.25">
      <c r="A865" s="121" t="str">
        <f>IF(S865=0,"",COUNTIF(A$23:A864,"&gt;0")+1)</f>
        <v/>
      </c>
      <c r="B865" s="158"/>
      <c r="C865" s="189" t="str">
        <f>T865</f>
        <v>x1</v>
      </c>
      <c r="D865" s="190" t="str">
        <f>A!C858</f>
        <v>72x 10L &amp; 42x20L Aquatic Compost -Premium Pallet</v>
      </c>
      <c r="E865" s="256"/>
      <c r="F865" s="256"/>
      <c r="G865" s="256"/>
      <c r="H865" s="678" t="s">
        <v>1002</v>
      </c>
      <c r="I865" s="256"/>
      <c r="J865" s="1094" t="s">
        <v>113</v>
      </c>
      <c r="K865" s="1094"/>
      <c r="L865" s="1095"/>
      <c r="M865" s="1060">
        <v>325</v>
      </c>
      <c r="N865" s="1061"/>
      <c r="O865" s="1062"/>
      <c r="P865" s="541"/>
      <c r="Q865" s="541" t="s">
        <v>724</v>
      </c>
      <c r="R865" s="541" t="s">
        <v>754</v>
      </c>
      <c r="S865" s="541">
        <f>B865</f>
        <v>0</v>
      </c>
      <c r="T865" s="541" t="s">
        <v>548</v>
      </c>
      <c r="U865" s="541"/>
      <c r="V865" s="541"/>
      <c r="W865" s="541"/>
      <c r="X865" s="541"/>
    </row>
    <row r="866" spans="1:24" ht="20.25" hidden="1" customHeight="1" x14ac:dyDescent="0.25">
      <c r="A866" s="121" t="str">
        <f>IF(S866=0,"",COUNTIF(A$23:A865,"&gt;0")+1)</f>
        <v/>
      </c>
      <c r="P866" s="541"/>
      <c r="Q866" s="541"/>
      <c r="R866" s="541"/>
      <c r="S866" s="541"/>
      <c r="T866" s="541"/>
      <c r="U866" s="541"/>
      <c r="V866" s="541"/>
      <c r="W866" s="541"/>
      <c r="X866" s="541"/>
    </row>
    <row r="867" spans="1:24" ht="12.75" hidden="1" customHeight="1" x14ac:dyDescent="0.25">
      <c r="A867" s="121" t="str">
        <f>IF(S867=0,"",COUNTIF(A$23:A866,"&gt;0")+1)</f>
        <v/>
      </c>
      <c r="B867" s="1009" t="s">
        <v>115</v>
      </c>
      <c r="C867" s="1080"/>
      <c r="D867" s="977" t="s">
        <v>1338</v>
      </c>
      <c r="E867" s="978"/>
      <c r="F867" s="978"/>
      <c r="G867" s="978"/>
      <c r="H867" s="978"/>
      <c r="I867" s="978"/>
      <c r="J867" s="978"/>
      <c r="K867" s="978"/>
      <c r="L867" s="978"/>
      <c r="M867" s="978"/>
      <c r="N867" s="978"/>
      <c r="O867" s="1058"/>
      <c r="P867" s="541"/>
      <c r="Q867" s="541"/>
      <c r="R867" s="541"/>
      <c r="S867" s="541"/>
      <c r="T867" s="541"/>
      <c r="U867" s="541"/>
      <c r="V867" s="541"/>
      <c r="W867" s="541"/>
      <c r="X867" s="541"/>
    </row>
    <row r="868" spans="1:24" ht="12.75" hidden="1" customHeight="1" x14ac:dyDescent="0.25">
      <c r="A868" s="121" t="str">
        <f>IF(S868=0,"",COUNTIF(A$23:A867,"&gt;0")+1)</f>
        <v/>
      </c>
      <c r="B868" s="1081"/>
      <c r="C868" s="1082"/>
      <c r="D868" s="979"/>
      <c r="E868" s="980"/>
      <c r="F868" s="980"/>
      <c r="G868" s="980"/>
      <c r="H868" s="980"/>
      <c r="I868" s="980"/>
      <c r="J868" s="980"/>
      <c r="K868" s="980"/>
      <c r="L868" s="980"/>
      <c r="M868" s="980"/>
      <c r="N868" s="980"/>
      <c r="O868" s="1059"/>
      <c r="P868" s="541"/>
      <c r="Q868" s="541"/>
      <c r="R868" s="541"/>
      <c r="S868" s="541"/>
      <c r="T868" s="541"/>
      <c r="U868" s="541"/>
      <c r="V868" s="541"/>
      <c r="W868" s="541"/>
      <c r="X868" s="541"/>
    </row>
    <row r="869" spans="1:24" ht="12.75" hidden="1" customHeight="1" x14ac:dyDescent="0.25">
      <c r="A869" s="121" t="str">
        <f>IF(S869=0,"",COUNTIF(A$23:A868,"&gt;0")+1)</f>
        <v/>
      </c>
      <c r="B869" s="154"/>
      <c r="C869" s="282" t="str">
        <f t="shared" ref="C869" si="358">T869</f>
        <v>x1</v>
      </c>
      <c r="D869" s="119" t="str">
        <f>A!C841</f>
        <v xml:space="preserve">Adorable Aquatics POS Strip </v>
      </c>
      <c r="E869" s="113"/>
      <c r="F869" s="113"/>
      <c r="G869" s="113"/>
      <c r="H869" s="1123" t="s">
        <v>1297</v>
      </c>
      <c r="I869" s="239"/>
      <c r="J869" s="238"/>
      <c r="K869" s="239"/>
      <c r="L869" s="239"/>
      <c r="M869" s="1117">
        <v>2.5</v>
      </c>
      <c r="N869" s="1118"/>
      <c r="O869" s="1119"/>
      <c r="P869" s="541"/>
      <c r="Q869" s="541" t="str">
        <f>A!E841</f>
        <v>Y</v>
      </c>
      <c r="R869" s="541" t="s">
        <v>1338</v>
      </c>
      <c r="S869" s="541">
        <f t="shared" ref="S869" si="359">B869</f>
        <v>0</v>
      </c>
      <c r="T869" s="541" t="str">
        <f>A!R841</f>
        <v>x1</v>
      </c>
      <c r="U869" s="541"/>
      <c r="V869" s="541"/>
      <c r="W869" s="541"/>
      <c r="X869" s="541"/>
    </row>
    <row r="870" spans="1:24" ht="12.75" hidden="1" customHeight="1" x14ac:dyDescent="0.25">
      <c r="A870" s="121" t="str">
        <f>IF(S870=0,"",COUNTIF(A$23:A869,"&gt;0")+1)</f>
        <v/>
      </c>
      <c r="B870" s="251"/>
      <c r="C870" s="281" t="str">
        <f t="shared" ref="C870:C878" si="360">T870</f>
        <v>x1</v>
      </c>
      <c r="D870" s="98" t="str">
        <f>A!C843</f>
        <v>Beautiful Waterlilies POS Strip</v>
      </c>
      <c r="E870" s="78"/>
      <c r="F870" s="78"/>
      <c r="G870" s="78"/>
      <c r="H870" s="1123"/>
      <c r="I870" s="156"/>
      <c r="J870" s="155"/>
      <c r="K870" s="156"/>
      <c r="L870" s="156"/>
      <c r="M870" s="1120">
        <v>2.5</v>
      </c>
      <c r="N870" s="1121"/>
      <c r="O870" s="1122"/>
      <c r="P870" s="541"/>
      <c r="Q870" s="541" t="str">
        <f>A!E843</f>
        <v>Y</v>
      </c>
      <c r="R870" s="541" t="s">
        <v>1338</v>
      </c>
      <c r="S870" s="541">
        <f t="shared" ref="S870:S878" si="361">B870</f>
        <v>0</v>
      </c>
      <c r="T870" s="541" t="str">
        <f>A!R843</f>
        <v>x1</v>
      </c>
      <c r="U870" s="541"/>
      <c r="V870" s="541"/>
      <c r="W870" s="541"/>
      <c r="X870" s="541"/>
    </row>
    <row r="871" spans="1:24" ht="12.75" hidden="1" customHeight="1" x14ac:dyDescent="0.25">
      <c r="A871" s="121" t="str">
        <f>IF(S871=0,"",COUNTIF(A$23:A870,"&gt;0")+1)</f>
        <v/>
      </c>
      <c r="B871" s="154"/>
      <c r="C871" s="282" t="str">
        <f t="shared" si="360"/>
        <v>x1</v>
      </c>
      <c r="D871" s="98" t="str">
        <f>A!C844</f>
        <v xml:space="preserve">Filter Feeding Poster </v>
      </c>
      <c r="E871" s="78"/>
      <c r="F871" s="78"/>
      <c r="G871" s="78"/>
      <c r="H871" s="1123"/>
      <c r="I871" s="156"/>
      <c r="J871" s="155"/>
      <c r="K871" s="156"/>
      <c r="L871" s="156"/>
      <c r="M871" s="1063">
        <v>3.42</v>
      </c>
      <c r="N871" s="1064"/>
      <c r="O871" s="1065"/>
      <c r="P871" s="541"/>
      <c r="Q871" s="541" t="str">
        <f>A!E844</f>
        <v>Y</v>
      </c>
      <c r="R871" s="541" t="s">
        <v>1338</v>
      </c>
      <c r="S871" s="541">
        <f t="shared" si="361"/>
        <v>0</v>
      </c>
      <c r="T871" s="541" t="str">
        <f>A!R844</f>
        <v>x1</v>
      </c>
      <c r="U871" s="541"/>
      <c r="V871" s="541"/>
      <c r="W871" s="541"/>
      <c r="X871" s="541"/>
    </row>
    <row r="872" spans="1:24" ht="12.75" hidden="1" customHeight="1" x14ac:dyDescent="0.25">
      <c r="A872" s="121" t="str">
        <f>IF(S872=0,"",COUNTIF(A$23:A871,"&gt;0")+1)</f>
        <v/>
      </c>
      <c r="B872" s="154"/>
      <c r="C872" s="282" t="str">
        <f t="shared" si="360"/>
        <v>x1</v>
      </c>
      <c r="D872" s="98" t="str">
        <f>A!C846</f>
        <v>Marginal Poster</v>
      </c>
      <c r="E872" s="78"/>
      <c r="F872" s="78"/>
      <c r="G872" s="78"/>
      <c r="H872" s="1124" t="s">
        <v>1295</v>
      </c>
      <c r="I872" s="156"/>
      <c r="J872" s="155"/>
      <c r="K872" s="156"/>
      <c r="L872" s="156"/>
      <c r="M872" s="1063">
        <v>3.42</v>
      </c>
      <c r="N872" s="1064"/>
      <c r="O872" s="1065"/>
      <c r="P872" s="541"/>
      <c r="Q872" s="541" t="str">
        <f>A!E846</f>
        <v>Y</v>
      </c>
      <c r="R872" s="541" t="s">
        <v>1338</v>
      </c>
      <c r="S872" s="541">
        <f t="shared" si="361"/>
        <v>0</v>
      </c>
      <c r="T872" s="541" t="str">
        <f>A!R846</f>
        <v>x1</v>
      </c>
      <c r="U872" s="541"/>
      <c r="V872" s="541"/>
      <c r="W872" s="541"/>
      <c r="X872" s="541"/>
    </row>
    <row r="873" spans="1:24" ht="12.75" hidden="1" customHeight="1" x14ac:dyDescent="0.25">
      <c r="A873" s="121" t="str">
        <f>IF(S873=0,"",COUNTIF(A$23:A872,"&gt;0")+1)</f>
        <v/>
      </c>
      <c r="B873" s="154"/>
      <c r="C873" s="282" t="str">
        <f t="shared" si="360"/>
        <v>x1</v>
      </c>
      <c r="D873" s="98" t="str">
        <f>A!C848</f>
        <v>Oxygenator POS Strip</v>
      </c>
      <c r="E873" s="78"/>
      <c r="F873" s="78"/>
      <c r="G873" s="78"/>
      <c r="H873" s="1124"/>
      <c r="I873" s="156"/>
      <c r="J873" s="155"/>
      <c r="K873" s="156"/>
      <c r="L873" s="156"/>
      <c r="M873" s="1063">
        <v>2.5</v>
      </c>
      <c r="N873" s="1064"/>
      <c r="O873" s="1065"/>
      <c r="P873" s="541"/>
      <c r="Q873" s="541" t="str">
        <f>A!E848</f>
        <v>Y</v>
      </c>
      <c r="R873" s="541" t="s">
        <v>1338</v>
      </c>
      <c r="S873" s="541">
        <f t="shared" si="361"/>
        <v>0</v>
      </c>
      <c r="T873" s="541" t="str">
        <f>A!R848</f>
        <v>x1</v>
      </c>
      <c r="U873" s="541"/>
      <c r="V873" s="541"/>
      <c r="W873" s="541"/>
      <c r="X873" s="541"/>
    </row>
    <row r="874" spans="1:24" ht="12.75" hidden="1" customHeight="1" x14ac:dyDescent="0.25">
      <c r="A874" s="121" t="str">
        <f>IF(S874=0,"",COUNTIF(A$23:A873,"&gt;0")+1)</f>
        <v/>
      </c>
      <c r="B874" s="154"/>
      <c r="C874" s="282" t="str">
        <f t="shared" si="360"/>
        <v>x1</v>
      </c>
      <c r="D874" s="98" t="str">
        <f>A!C849</f>
        <v>Oxygenator Poster</v>
      </c>
      <c r="E874" s="78"/>
      <c r="F874" s="78"/>
      <c r="G874" s="78"/>
      <c r="H874" s="1124"/>
      <c r="I874" s="156"/>
      <c r="J874" s="155"/>
      <c r="K874" s="156"/>
      <c r="L874" s="156"/>
      <c r="M874" s="1063">
        <v>3.42</v>
      </c>
      <c r="N874" s="1064"/>
      <c r="O874" s="1065"/>
      <c r="P874" s="541"/>
      <c r="Q874" s="541" t="str">
        <f>A!E849</f>
        <v>Y</v>
      </c>
      <c r="R874" s="541" t="s">
        <v>1338</v>
      </c>
      <c r="S874" s="541">
        <f t="shared" si="361"/>
        <v>0</v>
      </c>
      <c r="T874" s="541" t="str">
        <f>A!R849</f>
        <v>x1</v>
      </c>
      <c r="U874" s="541"/>
      <c r="V874" s="541"/>
      <c r="W874" s="541"/>
      <c r="X874" s="541"/>
    </row>
    <row r="875" spans="1:24" ht="12.75" hidden="1" customHeight="1" x14ac:dyDescent="0.25">
      <c r="A875" s="121" t="str">
        <f>IF(S875=0,"",COUNTIF(A$23:A874,"&gt;0")+1)</f>
        <v/>
      </c>
      <c r="B875" s="154"/>
      <c r="C875" s="282" t="str">
        <f t="shared" si="360"/>
        <v>x1</v>
      </c>
      <c r="D875" s="98" t="str">
        <f>A!C851</f>
        <v xml:space="preserve">Set of 5 posters </v>
      </c>
      <c r="E875" s="78"/>
      <c r="F875" s="78"/>
      <c r="G875" s="78"/>
      <c r="H875" s="1124"/>
      <c r="I875" s="156"/>
      <c r="J875" s="155"/>
      <c r="K875" s="156"/>
      <c r="L875" s="156"/>
      <c r="M875" s="1063">
        <v>14.7</v>
      </c>
      <c r="N875" s="1064"/>
      <c r="O875" s="1065"/>
      <c r="P875" s="541"/>
      <c r="Q875" s="541" t="str">
        <f>A!E851</f>
        <v>Y</v>
      </c>
      <c r="R875" s="541" t="s">
        <v>1338</v>
      </c>
      <c r="S875" s="541">
        <f t="shared" si="361"/>
        <v>0</v>
      </c>
      <c r="T875" s="541" t="str">
        <f>A!R851</f>
        <v>x1</v>
      </c>
      <c r="U875" s="541"/>
      <c r="V875" s="541"/>
      <c r="W875" s="541"/>
      <c r="X875" s="541"/>
    </row>
    <row r="876" spans="1:24" ht="12.75" hidden="1" customHeight="1" x14ac:dyDescent="0.25">
      <c r="A876" s="121" t="str">
        <f>IF(S876=0,"",COUNTIF(A$23:A875,"&gt;0")+1)</f>
        <v/>
      </c>
      <c r="B876" s="154"/>
      <c r="C876" s="282" t="str">
        <f t="shared" si="360"/>
        <v>x1</v>
      </c>
      <c r="D876" s="98" t="str">
        <f>A!C853</f>
        <v>Waterlily Poster</v>
      </c>
      <c r="E876" s="78"/>
      <c r="F876" s="78"/>
      <c r="G876" s="78"/>
      <c r="H876" s="874" t="s">
        <v>1296</v>
      </c>
      <c r="I876" s="156"/>
      <c r="J876" s="155"/>
      <c r="K876" s="156"/>
      <c r="L876" s="156"/>
      <c r="M876" s="1063">
        <v>3.42</v>
      </c>
      <c r="N876" s="1064"/>
      <c r="O876" s="1065"/>
      <c r="P876" s="541"/>
      <c r="Q876" s="541" t="str">
        <f>A!E853</f>
        <v>Y</v>
      </c>
      <c r="R876" s="541" t="s">
        <v>1338</v>
      </c>
      <c r="S876" s="541">
        <f t="shared" si="361"/>
        <v>0</v>
      </c>
      <c r="T876" s="541" t="str">
        <f>A!R853</f>
        <v>x1</v>
      </c>
      <c r="U876" s="541"/>
      <c r="V876" s="541"/>
      <c r="W876" s="541"/>
      <c r="X876" s="541"/>
    </row>
    <row r="877" spans="1:24" ht="12.75" hidden="1" customHeight="1" x14ac:dyDescent="0.25">
      <c r="A877" s="121" t="str">
        <f>IF(S877=0,"",COUNTIF(A$23:A876,"&gt;0")+1)</f>
        <v/>
      </c>
      <c r="B877" s="154"/>
      <c r="C877" s="279" t="str">
        <f t="shared" si="360"/>
        <v>x1</v>
      </c>
      <c r="D877" s="98" t="str">
        <f>A!C854</f>
        <v>Wildlife POS Strip</v>
      </c>
      <c r="E877" s="78"/>
      <c r="F877" s="78"/>
      <c r="G877" s="78"/>
      <c r="H877" s="874"/>
      <c r="I877" s="156"/>
      <c r="J877" s="155"/>
      <c r="K877" s="156"/>
      <c r="L877" s="156"/>
      <c r="M877" s="1063">
        <v>2.5</v>
      </c>
      <c r="N877" s="1064"/>
      <c r="O877" s="1065"/>
      <c r="P877" s="541"/>
      <c r="Q877" s="541" t="str">
        <f>A!E854</f>
        <v>Y</v>
      </c>
      <c r="R877" s="541" t="s">
        <v>1338</v>
      </c>
      <c r="S877" s="541">
        <f t="shared" si="361"/>
        <v>0</v>
      </c>
      <c r="T877" s="541" t="str">
        <f>A!R854</f>
        <v>x1</v>
      </c>
      <c r="U877" s="541"/>
      <c r="V877" s="541"/>
      <c r="W877" s="541"/>
      <c r="X877" s="541"/>
    </row>
    <row r="878" spans="1:24" ht="12.75" hidden="1" customHeight="1" x14ac:dyDescent="0.25">
      <c r="A878" s="121" t="str">
        <f>IF(S878=0,"",COUNTIF(A$23:A877,"&gt;0")+1)</f>
        <v/>
      </c>
      <c r="B878" s="250"/>
      <c r="C878" s="280" t="str">
        <f t="shared" si="360"/>
        <v>x1</v>
      </c>
      <c r="D878" s="102" t="str">
        <f>A!C855</f>
        <v xml:space="preserve">Wildlife Poster </v>
      </c>
      <c r="E878" s="103"/>
      <c r="F878" s="103"/>
      <c r="G878" s="103"/>
      <c r="H878" s="875"/>
      <c r="I878" s="159"/>
      <c r="J878" s="162"/>
      <c r="K878" s="159"/>
      <c r="L878" s="159"/>
      <c r="M878" s="1089">
        <v>3.42</v>
      </c>
      <c r="N878" s="1090"/>
      <c r="O878" s="1091"/>
      <c r="P878" s="541"/>
      <c r="Q878" s="541" t="str">
        <f>A!E855</f>
        <v>Y</v>
      </c>
      <c r="R878" s="541" t="s">
        <v>1338</v>
      </c>
      <c r="S878" s="541">
        <f t="shared" si="361"/>
        <v>0</v>
      </c>
      <c r="T878" s="541" t="str">
        <f>A!R855</f>
        <v>x1</v>
      </c>
      <c r="U878" s="541"/>
      <c r="V878" s="541"/>
      <c r="W878" s="541"/>
      <c r="X878" s="541"/>
    </row>
    <row r="879" spans="1:24" ht="10.5" customHeight="1" x14ac:dyDescent="0.25">
      <c r="A879" s="121" t="str">
        <f>IF(S879=0,"",COUNTIF(A$23:A878,"&gt;0")+1)</f>
        <v/>
      </c>
      <c r="P879" s="541"/>
      <c r="Q879" s="541"/>
      <c r="R879" s="541"/>
      <c r="S879" s="541"/>
      <c r="T879" s="541"/>
      <c r="U879" s="541"/>
      <c r="V879" s="541"/>
      <c r="W879" s="541"/>
      <c r="X879" s="541"/>
    </row>
    <row r="880" spans="1:24" ht="13.5" customHeight="1" x14ac:dyDescent="0.25">
      <c r="A880" s="121" t="str">
        <f>IF(S880=0,"",COUNTIF(A$23:A879,"&gt;0")+1)</f>
        <v/>
      </c>
      <c r="B880" s="1074" t="s">
        <v>115</v>
      </c>
      <c r="C880" s="1075"/>
      <c r="D880" s="1068" t="s">
        <v>1233</v>
      </c>
      <c r="E880" s="1069"/>
      <c r="F880" s="1069"/>
      <c r="G880" s="1069"/>
      <c r="H880" s="1072" t="s">
        <v>1298</v>
      </c>
      <c r="I880" s="1072"/>
      <c r="J880" s="1072"/>
      <c r="K880" s="1072"/>
      <c r="L880" s="1072"/>
      <c r="M880" s="1045" t="s">
        <v>1226</v>
      </c>
      <c r="N880" s="1045"/>
      <c r="O880" s="1046"/>
      <c r="P880" s="541"/>
      <c r="Q880" s="541"/>
      <c r="R880" s="541"/>
      <c r="S880" s="541"/>
      <c r="T880" s="541"/>
      <c r="U880" s="541"/>
      <c r="V880" s="541"/>
      <c r="W880" s="541"/>
      <c r="X880" s="541"/>
    </row>
    <row r="881" spans="1:24" ht="10.5" customHeight="1" x14ac:dyDescent="0.25">
      <c r="A881" s="121" t="str">
        <f>IF(S881=0,"",COUNTIF(A$23:A880,"&gt;0")+1)</f>
        <v/>
      </c>
      <c r="B881" s="1076"/>
      <c r="C881" s="1077"/>
      <c r="D881" s="1070"/>
      <c r="E881" s="1071"/>
      <c r="F881" s="1071"/>
      <c r="G881" s="1071"/>
      <c r="H881" s="1073" t="s">
        <v>1299</v>
      </c>
      <c r="I881" s="1073"/>
      <c r="J881" s="1073"/>
      <c r="K881" s="1073"/>
      <c r="L881" s="1073"/>
      <c r="M881" s="1047"/>
      <c r="N881" s="1047"/>
      <c r="O881" s="1048"/>
      <c r="P881" s="541"/>
      <c r="Q881" s="541"/>
      <c r="R881" s="541"/>
      <c r="S881" s="541"/>
      <c r="T881" s="541"/>
      <c r="U881" s="541"/>
      <c r="V881" s="541"/>
      <c r="W881" s="541"/>
      <c r="X881" s="541"/>
    </row>
    <row r="882" spans="1:24" x14ac:dyDescent="0.25">
      <c r="A882" s="121" t="str">
        <f>IF(S882=0,"",COUNTIF(A$23:A881,"&gt;0")+1)</f>
        <v/>
      </c>
      <c r="B882" s="150"/>
      <c r="C882" s="73" t="str">
        <f t="shared" ref="C882:C886" si="362">T882</f>
        <v>x1</v>
      </c>
      <c r="D882" s="97" t="str">
        <f>A!C891</f>
        <v>Early Season Trolley Deal</v>
      </c>
      <c r="E882" s="74"/>
      <c r="F882" s="1049" t="s">
        <v>1229</v>
      </c>
      <c r="G882" s="1049"/>
      <c r="H882" s="1049"/>
      <c r="I882" s="1049"/>
      <c r="J882" s="1049"/>
      <c r="K882" s="1049"/>
      <c r="L882" s="1050"/>
      <c r="M882" s="1078">
        <v>521</v>
      </c>
      <c r="N882" s="1078"/>
      <c r="O882" s="1079"/>
      <c r="P882" s="541"/>
      <c r="Q882" s="541" t="str">
        <f>A!E891</f>
        <v>y</v>
      </c>
      <c r="R882" s="541" t="s">
        <v>1166</v>
      </c>
      <c r="S882" s="541">
        <f>B882</f>
        <v>0</v>
      </c>
      <c r="T882" s="541" t="s">
        <v>548</v>
      </c>
      <c r="U882" s="541">
        <f>A!S891</f>
        <v>35</v>
      </c>
      <c r="V882" s="541">
        <f>A!T891</f>
        <v>5</v>
      </c>
      <c r="W882" s="541">
        <f t="shared" ref="W882:W887" si="363">V882*B882</f>
        <v>0</v>
      </c>
      <c r="X882" s="541"/>
    </row>
    <row r="883" spans="1:24" x14ac:dyDescent="0.25">
      <c r="A883" s="121" t="str">
        <f>IF(S883=0,"",COUNTIF(A$23:A882,"&gt;0")+1)</f>
        <v/>
      </c>
      <c r="B883" s="154"/>
      <c r="C883" s="76" t="str">
        <f t="shared" si="362"/>
        <v>x1</v>
      </c>
      <c r="D883" s="98" t="str">
        <f>A!C892</f>
        <v>Basic Trolley Deal</v>
      </c>
      <c r="E883" s="78"/>
      <c r="F883" s="1087" t="s">
        <v>1230</v>
      </c>
      <c r="G883" s="1087"/>
      <c r="H883" s="1087"/>
      <c r="I883" s="1087"/>
      <c r="J883" s="1087"/>
      <c r="K883" s="1087"/>
      <c r="L883" s="1088"/>
      <c r="M883" s="1066">
        <v>547</v>
      </c>
      <c r="N883" s="1066"/>
      <c r="O883" s="1067"/>
      <c r="P883" s="541"/>
      <c r="Q883" s="541" t="str">
        <f>A!E892</f>
        <v>y</v>
      </c>
      <c r="R883" s="541" t="s">
        <v>1166</v>
      </c>
      <c r="S883" s="541">
        <f t="shared" ref="S883:S886" si="364">B883</f>
        <v>0</v>
      </c>
      <c r="T883" s="541" t="s">
        <v>548</v>
      </c>
      <c r="U883" s="541">
        <f>A!S892</f>
        <v>35</v>
      </c>
      <c r="V883" s="541">
        <f>A!T892</f>
        <v>5</v>
      </c>
      <c r="W883" s="541">
        <f t="shared" si="363"/>
        <v>0</v>
      </c>
      <c r="X883" s="541"/>
    </row>
    <row r="884" spans="1:24" x14ac:dyDescent="0.25">
      <c r="A884" s="121" t="str">
        <f>IF(S884=0,"",COUNTIF(A$23:A883,"&gt;0")+1)</f>
        <v/>
      </c>
      <c r="B884" s="154"/>
      <c r="C884" s="76" t="str">
        <f t="shared" si="362"/>
        <v>x1</v>
      </c>
      <c r="D884" s="98" t="str">
        <f>A!C893</f>
        <v>Complete Trolley Deal</v>
      </c>
      <c r="E884" s="78"/>
      <c r="F884" s="1087" t="s">
        <v>1228</v>
      </c>
      <c r="G884" s="1087"/>
      <c r="H884" s="1087"/>
      <c r="I884" s="1087"/>
      <c r="J884" s="1087"/>
      <c r="K884" s="1087"/>
      <c r="L884" s="1088"/>
      <c r="M884" s="1066">
        <v>515</v>
      </c>
      <c r="N884" s="1066"/>
      <c r="O884" s="1067"/>
      <c r="P884" s="541"/>
      <c r="Q884" s="541" t="str">
        <f>A!E893</f>
        <v>y</v>
      </c>
      <c r="R884" s="541" t="s">
        <v>1166</v>
      </c>
      <c r="S884" s="541">
        <f t="shared" si="364"/>
        <v>0</v>
      </c>
      <c r="T884" s="541" t="s">
        <v>548</v>
      </c>
      <c r="U884" s="541">
        <f>A!S893</f>
        <v>35</v>
      </c>
      <c r="V884" s="541">
        <f>A!T893</f>
        <v>5</v>
      </c>
      <c r="W884" s="541">
        <f t="shared" si="363"/>
        <v>0</v>
      </c>
      <c r="X884" s="541"/>
    </row>
    <row r="885" spans="1:24" x14ac:dyDescent="0.25">
      <c r="A885" s="121" t="str">
        <f>IF(S885=0,"",COUNTIF(A$23:A884,"&gt;0")+1)</f>
        <v/>
      </c>
      <c r="B885" s="154"/>
      <c r="C885" s="76" t="str">
        <f t="shared" si="362"/>
        <v>x1</v>
      </c>
      <c r="D885" s="98" t="str">
        <f>A!C894</f>
        <v xml:space="preserve">Double 1 Trolley Deal </v>
      </c>
      <c r="E885" s="78"/>
      <c r="F885" s="1087" t="s">
        <v>1232</v>
      </c>
      <c r="G885" s="1087"/>
      <c r="H885" s="1087"/>
      <c r="I885" s="1087"/>
      <c r="J885" s="1087"/>
      <c r="K885" s="1087"/>
      <c r="L885" s="1088"/>
      <c r="M885" s="1066">
        <v>829</v>
      </c>
      <c r="N885" s="1066"/>
      <c r="O885" s="1067"/>
      <c r="P885" s="541"/>
      <c r="Q885" s="541" t="str">
        <f>A!E894</f>
        <v>y</v>
      </c>
      <c r="R885" s="541" t="s">
        <v>1166</v>
      </c>
      <c r="S885" s="541">
        <f t="shared" si="364"/>
        <v>0</v>
      </c>
      <c r="T885" s="541" t="s">
        <v>548</v>
      </c>
      <c r="U885" s="541">
        <f>A!S894</f>
        <v>35</v>
      </c>
      <c r="V885" s="541">
        <f>A!T894</f>
        <v>10</v>
      </c>
      <c r="W885" s="541">
        <f t="shared" si="363"/>
        <v>0</v>
      </c>
      <c r="X885" s="541"/>
    </row>
    <row r="886" spans="1:24" x14ac:dyDescent="0.25">
      <c r="A886" s="121" t="str">
        <f>IF(S886=0,"",COUNTIF(A$23:A885,"&gt;0")+1)</f>
        <v/>
      </c>
      <c r="B886" s="154"/>
      <c r="C886" s="76" t="str">
        <f t="shared" si="362"/>
        <v>x1</v>
      </c>
      <c r="D886" s="98" t="str">
        <f>A!C895</f>
        <v>Double 2 Trolley Deal</v>
      </c>
      <c r="E886" s="78"/>
      <c r="F886" s="1087" t="s">
        <v>1231</v>
      </c>
      <c r="G886" s="1087"/>
      <c r="H886" s="1087"/>
      <c r="I886" s="1087"/>
      <c r="J886" s="1087"/>
      <c r="K886" s="1087"/>
      <c r="L886" s="1088"/>
      <c r="M886" s="1066">
        <v>812</v>
      </c>
      <c r="N886" s="1066"/>
      <c r="O886" s="1067"/>
      <c r="P886" s="541"/>
      <c r="Q886" s="541" t="str">
        <f>A!E895</f>
        <v>y</v>
      </c>
      <c r="R886" s="541" t="s">
        <v>1166</v>
      </c>
      <c r="S886" s="541">
        <f t="shared" si="364"/>
        <v>0</v>
      </c>
      <c r="T886" s="541" t="s">
        <v>548</v>
      </c>
      <c r="U886" s="541">
        <f>A!S895</f>
        <v>35</v>
      </c>
      <c r="V886" s="541">
        <f>A!T895</f>
        <v>10</v>
      </c>
      <c r="W886" s="541">
        <f t="shared" si="363"/>
        <v>0</v>
      </c>
      <c r="X886" s="541"/>
    </row>
    <row r="887" spans="1:24" x14ac:dyDescent="0.25">
      <c r="A887" s="121" t="str">
        <f>IF(S887=0,"",COUNTIF(A$23:A886,"&gt;0")+1)</f>
        <v/>
      </c>
      <c r="B887" s="250"/>
      <c r="C887" s="189" t="str">
        <f t="shared" ref="C887" si="365">T887</f>
        <v>x1</v>
      </c>
      <c r="D887" s="190" t="str">
        <f>A!C896</f>
        <v>July Trolley Deal</v>
      </c>
      <c r="E887" s="274"/>
      <c r="F887" s="1043" t="s">
        <v>1429</v>
      </c>
      <c r="G887" s="1043"/>
      <c r="H887" s="1043"/>
      <c r="I887" s="1043"/>
      <c r="J887" s="1043"/>
      <c r="K887" s="1043"/>
      <c r="L887" s="1044"/>
      <c r="M887" s="1051">
        <v>351.43</v>
      </c>
      <c r="N887" s="1051"/>
      <c r="O887" s="1052"/>
      <c r="P887" s="541"/>
      <c r="Q887" s="541" t="str">
        <f>A!E896</f>
        <v>y</v>
      </c>
      <c r="R887" s="541" t="s">
        <v>1166</v>
      </c>
      <c r="S887" s="541">
        <f t="shared" ref="S887" si="366">B887</f>
        <v>0</v>
      </c>
      <c r="T887" s="541" t="s">
        <v>548</v>
      </c>
      <c r="U887" s="541">
        <f>A!S896</f>
        <v>35</v>
      </c>
      <c r="V887" s="541">
        <f>A!T896</f>
        <v>5</v>
      </c>
      <c r="W887" s="541">
        <f t="shared" si="363"/>
        <v>0</v>
      </c>
      <c r="X887" s="541"/>
    </row>
    <row r="888" spans="1:24" x14ac:dyDescent="0.25">
      <c r="M888" s="275"/>
      <c r="N888" s="121"/>
      <c r="O888" s="121"/>
      <c r="P888" s="541"/>
      <c r="Q888" s="541"/>
      <c r="R888" s="541"/>
      <c r="S888" s="541"/>
      <c r="T888" s="541"/>
      <c r="U888" s="541"/>
      <c r="V888" s="541"/>
      <c r="W888" s="541"/>
      <c r="X888" s="541"/>
    </row>
  </sheetData>
  <autoFilter ref="A2:O837" xr:uid="{3EC5A9BB-52E8-8D42-9168-12CDA3A42102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42">
    <mergeCell ref="N14:O15"/>
    <mergeCell ref="N16:O17"/>
    <mergeCell ref="B16:H17"/>
    <mergeCell ref="J14:M14"/>
    <mergeCell ref="J15:M15"/>
    <mergeCell ref="J16:M16"/>
    <mergeCell ref="J17:M17"/>
    <mergeCell ref="I21:O21"/>
    <mergeCell ref="I186:O186"/>
    <mergeCell ref="D21:G22"/>
    <mergeCell ref="H21:H22"/>
    <mergeCell ref="D186:G187"/>
    <mergeCell ref="H186:H187"/>
    <mergeCell ref="B187:C187"/>
    <mergeCell ref="D184:O184"/>
    <mergeCell ref="I173:O173"/>
    <mergeCell ref="B173:C174"/>
    <mergeCell ref="F886:L886"/>
    <mergeCell ref="B789:C789"/>
    <mergeCell ref="B790:C790"/>
    <mergeCell ref="B459:C459"/>
    <mergeCell ref="B463:C463"/>
    <mergeCell ref="D530:H531"/>
    <mergeCell ref="D463:H464"/>
    <mergeCell ref="H353:H354"/>
    <mergeCell ref="B249:C249"/>
    <mergeCell ref="B332:C332"/>
    <mergeCell ref="B464:C464"/>
    <mergeCell ref="D653:G654"/>
    <mergeCell ref="B636:C636"/>
    <mergeCell ref="B637:C637"/>
    <mergeCell ref="B662:C662"/>
    <mergeCell ref="B531:C531"/>
    <mergeCell ref="K783:N783"/>
    <mergeCell ref="M869:O869"/>
    <mergeCell ref="M870:O870"/>
    <mergeCell ref="M871:O871"/>
    <mergeCell ref="M872:O872"/>
    <mergeCell ref="J863:L863"/>
    <mergeCell ref="H869:H871"/>
    <mergeCell ref="H872:H875"/>
    <mergeCell ref="M862:O862"/>
    <mergeCell ref="M863:O863"/>
    <mergeCell ref="M856:O856"/>
    <mergeCell ref="M857:O857"/>
    <mergeCell ref="M858:O858"/>
    <mergeCell ref="M859:O859"/>
    <mergeCell ref="K579:O580"/>
    <mergeCell ref="K588:O588"/>
    <mergeCell ref="J620:N620"/>
    <mergeCell ref="I739:O739"/>
    <mergeCell ref="L781:N782"/>
    <mergeCell ref="I613:M614"/>
    <mergeCell ref="J632:N632"/>
    <mergeCell ref="J633:N633"/>
    <mergeCell ref="K784:N784"/>
    <mergeCell ref="K785:N785"/>
    <mergeCell ref="D781:K782"/>
    <mergeCell ref="D723:H724"/>
    <mergeCell ref="H615:I615"/>
    <mergeCell ref="J631:N631"/>
    <mergeCell ref="J618:N618"/>
    <mergeCell ref="J619:N619"/>
    <mergeCell ref="D647:H648"/>
    <mergeCell ref="H654:I654"/>
    <mergeCell ref="B880:C881"/>
    <mergeCell ref="M882:O882"/>
    <mergeCell ref="B867:C868"/>
    <mergeCell ref="D613:H614"/>
    <mergeCell ref="F883:L883"/>
    <mergeCell ref="F884:L884"/>
    <mergeCell ref="F885:L885"/>
    <mergeCell ref="M875:O875"/>
    <mergeCell ref="M876:O876"/>
    <mergeCell ref="M877:O877"/>
    <mergeCell ref="M878:O878"/>
    <mergeCell ref="J864:L864"/>
    <mergeCell ref="J865:L865"/>
    <mergeCell ref="M874:O874"/>
    <mergeCell ref="J622:N622"/>
    <mergeCell ref="J623:N623"/>
    <mergeCell ref="J624:N624"/>
    <mergeCell ref="J625:N625"/>
    <mergeCell ref="D636:G637"/>
    <mergeCell ref="H636:H637"/>
    <mergeCell ref="B614:C614"/>
    <mergeCell ref="B613:C613"/>
    <mergeCell ref="M864:O864"/>
    <mergeCell ref="M861:O861"/>
    <mergeCell ref="F887:L887"/>
    <mergeCell ref="M880:O881"/>
    <mergeCell ref="F882:L882"/>
    <mergeCell ref="M887:O887"/>
    <mergeCell ref="D662:G663"/>
    <mergeCell ref="H662:H663"/>
    <mergeCell ref="D673:G674"/>
    <mergeCell ref="H673:H674"/>
    <mergeCell ref="D739:G740"/>
    <mergeCell ref="H739:H740"/>
    <mergeCell ref="D807:G808"/>
    <mergeCell ref="H807:H808"/>
    <mergeCell ref="D854:O855"/>
    <mergeCell ref="M865:O865"/>
    <mergeCell ref="M873:O873"/>
    <mergeCell ref="M883:O883"/>
    <mergeCell ref="M884:O884"/>
    <mergeCell ref="M885:O885"/>
    <mergeCell ref="M886:O886"/>
    <mergeCell ref="D789:H790"/>
    <mergeCell ref="D880:G881"/>
    <mergeCell ref="H880:L880"/>
    <mergeCell ref="H881:L881"/>
    <mergeCell ref="D867:O868"/>
    <mergeCell ref="BA2:BB2"/>
    <mergeCell ref="BG2:BH2"/>
    <mergeCell ref="B233:C233"/>
    <mergeCell ref="D242:G243"/>
    <mergeCell ref="B222:C222"/>
    <mergeCell ref="I221:O221"/>
    <mergeCell ref="B12:O12"/>
    <mergeCell ref="AO2:AP2"/>
    <mergeCell ref="B232:C232"/>
    <mergeCell ref="B2:K3"/>
    <mergeCell ref="B21:C21"/>
    <mergeCell ref="B22:C22"/>
    <mergeCell ref="B186:C186"/>
    <mergeCell ref="B243:C243"/>
    <mergeCell ref="B242:C242"/>
    <mergeCell ref="D232:H233"/>
    <mergeCell ref="E4:K4"/>
    <mergeCell ref="I5:O5"/>
    <mergeCell ref="B6:D6"/>
    <mergeCell ref="D205:G206"/>
    <mergeCell ref="H205:H206"/>
    <mergeCell ref="J18:M18"/>
    <mergeCell ref="E5:G5"/>
    <mergeCell ref="J13:M13"/>
    <mergeCell ref="B739:C739"/>
    <mergeCell ref="B563:C563"/>
    <mergeCell ref="B549:C549"/>
    <mergeCell ref="B248:C248"/>
    <mergeCell ref="B782:C782"/>
    <mergeCell ref="B647:C647"/>
    <mergeCell ref="B648:C648"/>
    <mergeCell ref="B723:C723"/>
    <mergeCell ref="B724:C724"/>
    <mergeCell ref="B530:C530"/>
    <mergeCell ref="B333:C333"/>
    <mergeCell ref="B548:C548"/>
    <mergeCell ref="B579:C579"/>
    <mergeCell ref="B740:C740"/>
    <mergeCell ref="D839:F840"/>
    <mergeCell ref="M860:O860"/>
    <mergeCell ref="I807:O807"/>
    <mergeCell ref="I818:O818"/>
    <mergeCell ref="B829:C829"/>
    <mergeCell ref="B818:C818"/>
    <mergeCell ref="B819:C819"/>
    <mergeCell ref="D829:H830"/>
    <mergeCell ref="B839:C839"/>
    <mergeCell ref="B854:C854"/>
    <mergeCell ref="D818:G819"/>
    <mergeCell ref="H818:H819"/>
    <mergeCell ref="B855:C855"/>
    <mergeCell ref="B840:C840"/>
    <mergeCell ref="B830:C830"/>
    <mergeCell ref="B807:C807"/>
    <mergeCell ref="B808:C808"/>
    <mergeCell ref="D173:H174"/>
    <mergeCell ref="D221:H222"/>
    <mergeCell ref="D458:H459"/>
    <mergeCell ref="D563:G564"/>
    <mergeCell ref="H563:H564"/>
    <mergeCell ref="D248:G249"/>
    <mergeCell ref="J621:N621"/>
    <mergeCell ref="B580:C580"/>
    <mergeCell ref="K594:O594"/>
    <mergeCell ref="K595:O595"/>
    <mergeCell ref="K596:O596"/>
    <mergeCell ref="K597:O597"/>
    <mergeCell ref="K598:O598"/>
    <mergeCell ref="K586:O586"/>
    <mergeCell ref="K587:O587"/>
    <mergeCell ref="B603:C604"/>
    <mergeCell ref="I662:O662"/>
    <mergeCell ref="I673:O673"/>
    <mergeCell ref="B205:C205"/>
    <mergeCell ref="I205:O205"/>
    <mergeCell ref="I248:O248"/>
    <mergeCell ref="I636:O636"/>
    <mergeCell ref="B458:C458"/>
    <mergeCell ref="B353:C353"/>
    <mergeCell ref="B354:C354"/>
    <mergeCell ref="B256:C256"/>
    <mergeCell ref="B257:C257"/>
    <mergeCell ref="I530:O530"/>
    <mergeCell ref="I548:O548"/>
    <mergeCell ref="B206:C206"/>
    <mergeCell ref="B221:C221"/>
    <mergeCell ref="D603:G604"/>
    <mergeCell ref="H248:H249"/>
    <mergeCell ref="D332:H333"/>
    <mergeCell ref="K591:O591"/>
    <mergeCell ref="K590:O590"/>
    <mergeCell ref="D256:G257"/>
    <mergeCell ref="H256:H257"/>
    <mergeCell ref="D353:G354"/>
    <mergeCell ref="D579:G580"/>
    <mergeCell ref="I463:O463"/>
    <mergeCell ref="H548:H549"/>
    <mergeCell ref="I256:O256"/>
    <mergeCell ref="I332:O332"/>
    <mergeCell ref="I353:O353"/>
    <mergeCell ref="D548:G549"/>
    <mergeCell ref="H579:H580"/>
    <mergeCell ref="K583:O583"/>
    <mergeCell ref="C581:M581"/>
    <mergeCell ref="K584:O584"/>
    <mergeCell ref="H876:H878"/>
    <mergeCell ref="B564:C564"/>
    <mergeCell ref="I563:O563"/>
    <mergeCell ref="J615:N615"/>
    <mergeCell ref="J616:N616"/>
    <mergeCell ref="J617:N617"/>
    <mergeCell ref="B654:C654"/>
    <mergeCell ref="B663:C663"/>
    <mergeCell ref="K589:O589"/>
    <mergeCell ref="K592:O592"/>
    <mergeCell ref="J626:N626"/>
    <mergeCell ref="J627:N627"/>
    <mergeCell ref="J628:N628"/>
    <mergeCell ref="J629:N629"/>
    <mergeCell ref="J630:N630"/>
    <mergeCell ref="B653:C653"/>
    <mergeCell ref="B799:C799"/>
    <mergeCell ref="D798:H799"/>
    <mergeCell ref="B781:C781"/>
    <mergeCell ref="B673:C673"/>
    <mergeCell ref="B674:C674"/>
    <mergeCell ref="H603:O604"/>
    <mergeCell ref="B798:C798"/>
    <mergeCell ref="I653:O653"/>
  </mergeCells>
  <conditionalFormatting sqref="B856:B861 B244:C245 B638:C644 B664:C670 B655:C659 B741:C778 B800:C804 B809:C811 B831:C836 B820:C826 B550:C560 B202:C202 B675:C720 B791:C795 B725:C736 B815:C815 C812:C814 C532:C537 B334:C350 B538:C545 B594:C600 B583:C584 B841:C851 B207:C218 B869:C878 B23:C170 B465:C527 B355:C455 B258:C329 B586:C592 B223:C223 B225:C227 B229:C229 B175:C183">
    <cfRule type="expression" dxfId="180" priority="1775">
      <formula>Q23=0</formula>
    </cfRule>
  </conditionalFormatting>
  <conditionalFormatting sqref="I821:I826 I810:I815 I334:I350 I594:I600 I25:I170 I466:I527 I356:I455 I258:I329 I583:I592 I175:I183">
    <cfRule type="colorScale" priority="1739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A11:C11 A13:C13 A12:B12 S11:U19 A14:A19 B14:B15">
    <cfRule type="expression" dxfId="179" priority="1768">
      <formula>#REF!="Off"</formula>
    </cfRule>
  </conditionalFormatting>
  <conditionalFormatting sqref="I665:I670">
    <cfRule type="colorScale" priority="1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56:I659 I665:I670 I639:I644">
    <cfRule type="colorScale" priority="1640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I550:I560">
    <cfRule type="colorScale" priority="1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50:I560">
    <cfRule type="colorScale" priority="1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4:B239">
    <cfRule type="expression" dxfId="178" priority="1620">
      <formula>Q234=0</formula>
    </cfRule>
  </conditionalFormatting>
  <conditionalFormatting sqref="B532:B535">
    <cfRule type="expression" dxfId="177" priority="1613">
      <formula>Q532=0</formula>
    </cfRule>
  </conditionalFormatting>
  <conditionalFormatting sqref="I533:I535 I538:I545">
    <cfRule type="colorScale" priority="1612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B460">
    <cfRule type="expression" dxfId="176" priority="1597">
      <formula>Q460=0</formula>
    </cfRule>
  </conditionalFormatting>
  <conditionalFormatting sqref="I460">
    <cfRule type="colorScale" priority="1590">
      <colorScale>
        <cfvo type="num" val="3"/>
        <cfvo type="percentile" val="2"/>
        <cfvo type="num" val="1"/>
        <color rgb="FF63BE7B"/>
        <color rgb="FFFFEB84"/>
        <color rgb="FFF8696B"/>
      </colorScale>
    </cfRule>
  </conditionalFormatting>
  <conditionalFormatting sqref="M639:M644">
    <cfRule type="uniqueValues" dxfId="175" priority="1586"/>
  </conditionalFormatting>
  <conditionalFormatting sqref="B816:C816 B827:C827">
    <cfRule type="expression" dxfId="174" priority="1797">
      <formula>#REF!="Off"</formula>
    </cfRule>
  </conditionalFormatting>
  <conditionalFormatting sqref="B862">
    <cfRule type="expression" dxfId="173" priority="1553">
      <formula>Q862=0</formula>
    </cfRule>
  </conditionalFormatting>
  <conditionalFormatting sqref="B601:C601">
    <cfRule type="expression" dxfId="172" priority="1541">
      <formula>#REF!="Off"</formula>
    </cfRule>
  </conditionalFormatting>
  <conditionalFormatting sqref="I741:I778">
    <cfRule type="colorScale" priority="1528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I800:I804">
    <cfRule type="colorScale" priority="1516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N654 N458:N461 N808:N811 N819:N822 N660 N798:N805 N813:N816 N829:N837 N824:N827 N546 N676:N695 N733:N737 N187:N203 J637 J888:J1048576 J663:J671 J674 J808:J816 J819:J827 N549:N561 J549:J561 N336:N351 J334:J351 N599:N601 J580 J594:J601 J829:J837 N206:N219 J206:J219 J789:J796 J798:J805 J839:J852 J867:J878 N656:N658 J639:J645 J676:J737 J22:J171 N23:N171 J464:J528 N464:N528 J739:J779 N739:N779 N354:N456 N257:N330 J257:J330 K585:K586 J583:J592 K588 J854:J863 J222:J223 N223 J225:J227 J229:J246 J175:J184 N225:N227 N229 N175:N184">
    <cfRule type="cellIs" dxfId="171" priority="1492" operator="equal">
      <formula>0</formula>
    </cfRule>
  </conditionalFormatting>
  <conditionalFormatting sqref="B837:C837">
    <cfRule type="expression" dxfId="170" priority="1493">
      <formula>#REF!="Off"</formula>
    </cfRule>
  </conditionalFormatting>
  <conditionalFormatting sqref="N222 N232:N240 N639:N641 N643:N645 N669:N671 N637 N663 N230 N654 N531:N545 N656:N658 N665:N667">
    <cfRule type="cellIs" dxfId="169" priority="1488" operator="equal">
      <formula>0</formula>
    </cfRule>
  </conditionalFormatting>
  <conditionalFormatting sqref="I831:I836">
    <cfRule type="colorScale" priority="1485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B536:B537">
    <cfRule type="expression" dxfId="168" priority="1473">
      <formula>Q536=0</formula>
    </cfRule>
  </conditionalFormatting>
  <conditionalFormatting sqref="I536:I537">
    <cfRule type="colorScale" priority="1472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N246">
    <cfRule type="cellIs" dxfId="167" priority="1459" operator="equal">
      <formula>0</formula>
    </cfRule>
  </conditionalFormatting>
  <conditionalFormatting sqref="N244:N245">
    <cfRule type="cellIs" dxfId="166" priority="1456" operator="equal">
      <formula>0</formula>
    </cfRule>
  </conditionalFormatting>
  <conditionalFormatting sqref="I791:I795">
    <cfRule type="colorScale" priority="1453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N789:N795">
    <cfRule type="cellIs" dxfId="165" priority="1450" operator="equal">
      <formula>0</formula>
    </cfRule>
  </conditionalFormatting>
  <conditionalFormatting sqref="N796">
    <cfRule type="cellIs" dxfId="164" priority="1447" operator="equal">
      <formula>0</formula>
    </cfRule>
  </conditionalFormatting>
  <conditionalFormatting sqref="C234:C239">
    <cfRule type="expression" dxfId="163" priority="1446">
      <formula>R234=0</formula>
    </cfRule>
  </conditionalFormatting>
  <conditionalFormatting sqref="C460">
    <cfRule type="expression" dxfId="162" priority="1442">
      <formula>R460=0</formula>
    </cfRule>
  </conditionalFormatting>
  <conditionalFormatting sqref="C856:C862">
    <cfRule type="expression" dxfId="161" priority="1433">
      <formula>R856=0</formula>
    </cfRule>
  </conditionalFormatting>
  <conditionalFormatting sqref="B863:B865">
    <cfRule type="expression" dxfId="160" priority="1432">
      <formula>Q863=0</formula>
    </cfRule>
  </conditionalFormatting>
  <conditionalFormatting sqref="C863:C865">
    <cfRule type="expression" dxfId="159" priority="1431">
      <formula>R863=0</formula>
    </cfRule>
  </conditionalFormatting>
  <conditionalFormatting sqref="N674">
    <cfRule type="cellIs" dxfId="158" priority="1383" operator="equal">
      <formula>0</formula>
    </cfRule>
  </conditionalFormatting>
  <conditionalFormatting sqref="N721">
    <cfRule type="cellIs" dxfId="157" priority="1374" operator="equal">
      <formula>0</formula>
    </cfRule>
  </conditionalFormatting>
  <conditionalFormatting sqref="N697:N716">
    <cfRule type="cellIs" dxfId="156" priority="1359" operator="equal">
      <formula>0</formula>
    </cfRule>
  </conditionalFormatting>
  <conditionalFormatting sqref="I725:I736">
    <cfRule type="colorScale" priority="1424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N723:N731">
    <cfRule type="cellIs" dxfId="155" priority="1354" operator="equal">
      <formula>0</formula>
    </cfRule>
  </conditionalFormatting>
  <conditionalFormatting sqref="N642">
    <cfRule type="cellIs" dxfId="154" priority="1249" operator="equal">
      <formula>0</formula>
    </cfRule>
  </conditionalFormatting>
  <conditionalFormatting sqref="N659">
    <cfRule type="cellIs" dxfId="153" priority="1248" operator="equal">
      <formula>0</formula>
    </cfRule>
  </conditionalFormatting>
  <conditionalFormatting sqref="N668">
    <cfRule type="cellIs" dxfId="152" priority="1247" operator="equal">
      <formula>0</formula>
    </cfRule>
  </conditionalFormatting>
  <conditionalFormatting sqref="N696">
    <cfRule type="cellIs" dxfId="151" priority="1245" operator="equal">
      <formula>0</formula>
    </cfRule>
  </conditionalFormatting>
  <conditionalFormatting sqref="N717:N719">
    <cfRule type="cellIs" dxfId="150" priority="1244" operator="equal">
      <formula>0</formula>
    </cfRule>
  </conditionalFormatting>
  <conditionalFormatting sqref="N732">
    <cfRule type="cellIs" dxfId="149" priority="1243" operator="equal">
      <formula>0</formula>
    </cfRule>
  </conditionalFormatting>
  <conditionalFormatting sqref="N741">
    <cfRule type="cellIs" dxfId="148" priority="1240" operator="equal">
      <formula>0</formula>
    </cfRule>
  </conditionalFormatting>
  <conditionalFormatting sqref="N758">
    <cfRule type="cellIs" dxfId="147" priority="1239" operator="equal">
      <formula>0</formula>
    </cfRule>
  </conditionalFormatting>
  <conditionalFormatting sqref="M800">
    <cfRule type="cellIs" dxfId="146" priority="1238" operator="equal">
      <formula>0</formula>
    </cfRule>
  </conditionalFormatting>
  <conditionalFormatting sqref="N812">
    <cfRule type="cellIs" dxfId="145" priority="1236" operator="equal">
      <formula>0</formula>
    </cfRule>
  </conditionalFormatting>
  <conditionalFormatting sqref="N823">
    <cfRule type="cellIs" dxfId="144" priority="1235" operator="equal">
      <formula>0</formula>
    </cfRule>
  </conditionalFormatting>
  <conditionalFormatting sqref="N722">
    <cfRule type="cellIs" dxfId="143" priority="1205" operator="equal">
      <formula>0</formula>
    </cfRule>
  </conditionalFormatting>
  <conditionalFormatting sqref="N720">
    <cfRule type="cellIs" dxfId="142" priority="1190" operator="equal">
      <formula>0</formula>
    </cfRule>
  </conditionalFormatting>
  <conditionalFormatting sqref="N231">
    <cfRule type="cellIs" dxfId="141" priority="966" operator="equal">
      <formula>0</formula>
    </cfRule>
  </conditionalFormatting>
  <conditionalFormatting sqref="N241">
    <cfRule type="cellIs" dxfId="140" priority="963" operator="equal">
      <formula>0</formula>
    </cfRule>
  </conditionalFormatting>
  <conditionalFormatting sqref="I656:I659">
    <cfRule type="colorScale" priority="2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41:I778">
    <cfRule type="colorScale" priority="2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00:I804">
    <cfRule type="colorScale" priority="2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10:I815">
    <cfRule type="colorScale" priority="2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09:I815">
    <cfRule type="colorScale" priority="2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31:I836">
    <cfRule type="colorScale" priority="2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21:I826">
    <cfRule type="colorScale" priority="2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20:I826">
    <cfRule type="colorScale" priority="2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9:I202 I208:I218">
    <cfRule type="colorScale" priority="2210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B565:C576">
    <cfRule type="expression" dxfId="139" priority="910">
      <formula>Q565=0</formula>
    </cfRule>
  </conditionalFormatting>
  <conditionalFormatting sqref="N564:N577">
    <cfRule type="cellIs" dxfId="138" priority="909" operator="equal">
      <formula>0</formula>
    </cfRule>
  </conditionalFormatting>
  <conditionalFormatting sqref="I565:I576">
    <cfRule type="colorScale" priority="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5:I576">
    <cfRule type="colorScale" priority="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91:I795">
    <cfRule type="colorScale" priority="2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4 J654:J660 J187:J203 J564:J577 J13 J531:J546 J6:J11 J458:J461 J354:J456">
    <cfRule type="cellIs" dxfId="137" priority="904" operator="equal">
      <formula>0</formula>
    </cfRule>
  </conditionalFormatting>
  <conditionalFormatting sqref="B616:C633">
    <cfRule type="expression" dxfId="136" priority="880">
      <formula>Q616=0</formula>
    </cfRule>
  </conditionalFormatting>
  <conditionalFormatting sqref="I616:I633">
    <cfRule type="colorScale" priority="879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J634">
    <cfRule type="cellIs" dxfId="135" priority="871" operator="equal">
      <formula>0</formula>
    </cfRule>
  </conditionalFormatting>
  <conditionalFormatting sqref="N613:N614">
    <cfRule type="cellIs" dxfId="134" priority="876" operator="equal">
      <formula>0</formula>
    </cfRule>
  </conditionalFormatting>
  <conditionalFormatting sqref="N634">
    <cfRule type="cellIs" dxfId="133" priority="870" operator="equal">
      <formula>0</formula>
    </cfRule>
  </conditionalFormatting>
  <conditionalFormatting sqref="N247">
    <cfRule type="cellIs" dxfId="132" priority="863" operator="equal">
      <formula>0</formula>
    </cfRule>
  </conditionalFormatting>
  <conditionalFormatting sqref="J247">
    <cfRule type="cellIs" dxfId="131" priority="862" operator="equal">
      <formula>0</formula>
    </cfRule>
  </conditionalFormatting>
  <conditionalFormatting sqref="B188:C201">
    <cfRule type="expression" dxfId="130" priority="831">
      <formula>Q188=0</formula>
    </cfRule>
  </conditionalFormatting>
  <conditionalFormatting sqref="B812:B814">
    <cfRule type="expression" dxfId="129" priority="830">
      <formula>Q812=0</formula>
    </cfRule>
  </conditionalFormatting>
  <conditionalFormatting sqref="N249">
    <cfRule type="cellIs" dxfId="128" priority="823" operator="equal">
      <formula>0</formula>
    </cfRule>
  </conditionalFormatting>
  <conditionalFormatting sqref="J249">
    <cfRule type="cellIs" dxfId="127" priority="822" operator="equal">
      <formula>0</formula>
    </cfRule>
  </conditionalFormatting>
  <conditionalFormatting sqref="B250:B253">
    <cfRule type="expression" dxfId="126" priority="819">
      <formula>Q250=0</formula>
    </cfRule>
  </conditionalFormatting>
  <conditionalFormatting sqref="I250:I253">
    <cfRule type="colorScale" priority="818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N250:N253">
    <cfRule type="cellIs" dxfId="125" priority="817" operator="equal">
      <formula>0</formula>
    </cfRule>
  </conditionalFormatting>
  <conditionalFormatting sqref="C250:C253">
    <cfRule type="expression" dxfId="124" priority="816">
      <formula>R250=0</formula>
    </cfRule>
  </conditionalFormatting>
  <conditionalFormatting sqref="J250:J253">
    <cfRule type="cellIs" dxfId="123" priority="815" operator="equal">
      <formula>0</formula>
    </cfRule>
  </conditionalFormatting>
  <conditionalFormatting sqref="N254">
    <cfRule type="cellIs" dxfId="122" priority="798" operator="equal">
      <formula>0</formula>
    </cfRule>
  </conditionalFormatting>
  <conditionalFormatting sqref="J254">
    <cfRule type="cellIs" dxfId="121" priority="797" operator="equal">
      <formula>0</formula>
    </cfRule>
  </conditionalFormatting>
  <conditionalFormatting sqref="M880">
    <cfRule type="cellIs" dxfId="120" priority="796" operator="equal">
      <formula>0</formula>
    </cfRule>
  </conditionalFormatting>
  <conditionalFormatting sqref="B783:C785">
    <cfRule type="expression" dxfId="119" priority="789">
      <formula>Q783=0</formula>
    </cfRule>
  </conditionalFormatting>
  <conditionalFormatting sqref="K783">
    <cfRule type="cellIs" dxfId="118" priority="788" operator="equal">
      <formula>0</formula>
    </cfRule>
  </conditionalFormatting>
  <conditionalFormatting sqref="N786 J786">
    <cfRule type="cellIs" dxfId="117" priority="784" operator="equal">
      <formula>0</formula>
    </cfRule>
  </conditionalFormatting>
  <conditionalFormatting sqref="J629">
    <cfRule type="cellIs" dxfId="116" priority="759" operator="equal">
      <formula>0</formula>
    </cfRule>
  </conditionalFormatting>
  <conditionalFormatting sqref="J616 J620 J624">
    <cfRule type="cellIs" dxfId="115" priority="754" operator="equal">
      <formula>0</formula>
    </cfRule>
  </conditionalFormatting>
  <conditionalFormatting sqref="J630:J633">
    <cfRule type="cellIs" dxfId="114" priority="753" operator="equal">
      <formula>0</formula>
    </cfRule>
  </conditionalFormatting>
  <conditionalFormatting sqref="J617:J618">
    <cfRule type="cellIs" dxfId="113" priority="752" operator="equal">
      <formula>0</formula>
    </cfRule>
  </conditionalFormatting>
  <conditionalFormatting sqref="J619">
    <cfRule type="cellIs" dxfId="112" priority="751" operator="equal">
      <formula>0</formula>
    </cfRule>
  </conditionalFormatting>
  <conditionalFormatting sqref="J621:J623">
    <cfRule type="cellIs" dxfId="111" priority="750" operator="equal">
      <formula>0</formula>
    </cfRule>
  </conditionalFormatting>
  <conditionalFormatting sqref="J625:J628">
    <cfRule type="cellIs" dxfId="110" priority="749" operator="equal">
      <formula>0</formula>
    </cfRule>
  </conditionalFormatting>
  <conditionalFormatting sqref="J333">
    <cfRule type="cellIs" dxfId="109" priority="737" operator="equal">
      <formula>0</formula>
    </cfRule>
  </conditionalFormatting>
  <conditionalFormatting sqref="N333">
    <cfRule type="cellIs" dxfId="108" priority="738" operator="equal">
      <formula>0</formula>
    </cfRule>
  </conditionalFormatting>
  <conditionalFormatting sqref="J784">
    <cfRule type="cellIs" dxfId="107" priority="736" operator="equal">
      <formula>0</formula>
    </cfRule>
  </conditionalFormatting>
  <conditionalFormatting sqref="J785">
    <cfRule type="cellIs" dxfId="106" priority="735" operator="equal">
      <formula>0</formula>
    </cfRule>
  </conditionalFormatting>
  <conditionalFormatting sqref="C184">
    <cfRule type="expression" dxfId="105" priority="717">
      <formula>R184=0</formula>
    </cfRule>
  </conditionalFormatting>
  <conditionalFormatting sqref="K589">
    <cfRule type="cellIs" dxfId="104" priority="709" operator="equal">
      <formula>0</formula>
    </cfRule>
  </conditionalFormatting>
  <conditionalFormatting sqref="K598 K591:K592 K594:K595">
    <cfRule type="cellIs" dxfId="103" priority="711" operator="equal">
      <formula>0</formula>
    </cfRule>
  </conditionalFormatting>
  <conditionalFormatting sqref="K590">
    <cfRule type="cellIs" dxfId="102" priority="710" operator="equal">
      <formula>0</formula>
    </cfRule>
  </conditionalFormatting>
  <conditionalFormatting sqref="K596">
    <cfRule type="cellIs" dxfId="101" priority="659" operator="equal">
      <formula>0</formula>
    </cfRule>
  </conditionalFormatting>
  <conditionalFormatting sqref="K597">
    <cfRule type="cellIs" dxfId="100" priority="658" operator="equal">
      <formula>0</formula>
    </cfRule>
  </conditionalFormatting>
  <conditionalFormatting sqref="J585">
    <cfRule type="cellIs" dxfId="99" priority="533" operator="equal">
      <formula>0</formula>
    </cfRule>
  </conditionalFormatting>
  <conditionalFormatting sqref="J593">
    <cfRule type="cellIs" dxfId="98" priority="531" operator="equal">
      <formula>0</formula>
    </cfRule>
  </conditionalFormatting>
  <conditionalFormatting sqref="B605:C610">
    <cfRule type="expression" dxfId="97" priority="519">
      <formula>Q605=0</formula>
    </cfRule>
  </conditionalFormatting>
  <conditionalFormatting sqref="I605:I611">
    <cfRule type="colorScale" priority="518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J605:J611">
    <cfRule type="cellIs" dxfId="96" priority="517" operator="equal">
      <formula>0</formula>
    </cfRule>
  </conditionalFormatting>
  <conditionalFormatting sqref="I605:I611"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05:K611">
    <cfRule type="cellIs" dxfId="95" priority="516" operator="equal">
      <formula>0</formula>
    </cfRule>
  </conditionalFormatting>
  <conditionalFormatting sqref="B611:C611">
    <cfRule type="expression" dxfId="94" priority="515">
      <formula>#REF!="Off"</formula>
    </cfRule>
  </conditionalFormatting>
  <conditionalFormatting sqref="J14:J18">
    <cfRule type="dataBar" priority="513">
      <dataBar>
        <cfvo type="num" val="0"/>
        <cfvo type="num" val="0.2"/>
        <color rgb="FF63C384"/>
      </dataBar>
      <extLst>
        <ext xmlns:x14="http://schemas.microsoft.com/office/spreadsheetml/2009/9/main" uri="{B025F937-C7B1-47D3-B67F-A62EFF666E3E}">
          <x14:id>{2255065F-A3A9-48EC-8A5D-262E8E877C60}</x14:id>
        </ext>
      </extLst>
    </cfRule>
  </conditionalFormatting>
  <conditionalFormatting sqref="I587">
    <cfRule type="colorScale" priority="508">
      <colorScale>
        <cfvo type="num" val="1"/>
        <cfvo type="num" val="2"/>
        <cfvo type="num" val="3"/>
        <color rgb="FF63BE7B"/>
        <color rgb="FFFFEB84"/>
        <color rgb="FFF8696B"/>
      </colorScale>
    </cfRule>
  </conditionalFormatting>
  <conditionalFormatting sqref="I587">
    <cfRule type="colorScale" priority="2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62">
    <cfRule type="cellIs" dxfId="93" priority="491" operator="equal">
      <formula>0</formula>
    </cfRule>
  </conditionalFormatting>
  <conditionalFormatting sqref="J462">
    <cfRule type="cellIs" dxfId="92" priority="490" operator="equal">
      <formula>0</formula>
    </cfRule>
  </conditionalFormatting>
  <conditionalFormatting sqref="J864">
    <cfRule type="cellIs" dxfId="91" priority="433" operator="equal">
      <formula>0</formula>
    </cfRule>
  </conditionalFormatting>
  <conditionalFormatting sqref="J582">
    <cfRule type="cellIs" dxfId="90" priority="412" operator="equal">
      <formula>0</formula>
    </cfRule>
  </conditionalFormatting>
  <conditionalFormatting sqref="K583:K584">
    <cfRule type="cellIs" dxfId="89" priority="411" operator="equal">
      <formula>0</formula>
    </cfRule>
  </conditionalFormatting>
  <conditionalFormatting sqref="J612">
    <cfRule type="cellIs" dxfId="88" priority="404" operator="equal">
      <formula>0</formula>
    </cfRule>
  </conditionalFormatting>
  <conditionalFormatting sqref="N612">
    <cfRule type="cellIs" dxfId="87" priority="403" operator="equal">
      <formula>0</formula>
    </cfRule>
  </conditionalFormatting>
  <conditionalFormatting sqref="I594:I600 I583:I584 I586 I588:I592">
    <cfRule type="colorScale" priority="2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72">
    <cfRule type="cellIs" dxfId="86" priority="370" operator="equal">
      <formula>0</formula>
    </cfRule>
  </conditionalFormatting>
  <conditionalFormatting sqref="J172">
    <cfRule type="cellIs" dxfId="85" priority="369" operator="equal">
      <formula>0</formula>
    </cfRule>
  </conditionalFormatting>
  <conditionalFormatting sqref="J787">
    <cfRule type="cellIs" dxfId="84" priority="322" operator="equal">
      <formula>0</formula>
    </cfRule>
  </conditionalFormatting>
  <conditionalFormatting sqref="N787">
    <cfRule type="cellIs" dxfId="83" priority="321" operator="equal">
      <formula>0</formula>
    </cfRule>
  </conditionalFormatting>
  <conditionalFormatting sqref="J828">
    <cfRule type="cellIs" dxfId="82" priority="282" operator="equal">
      <formula>0</formula>
    </cfRule>
  </conditionalFormatting>
  <conditionalFormatting sqref="N828">
    <cfRule type="cellIs" dxfId="81" priority="281" operator="equal">
      <formula>0</formula>
    </cfRule>
  </conditionalFormatting>
  <conditionalFormatting sqref="N655">
    <cfRule type="cellIs" dxfId="80" priority="273" operator="equal">
      <formula>0</formula>
    </cfRule>
  </conditionalFormatting>
  <conditionalFormatting sqref="N664">
    <cfRule type="cellIs" dxfId="79" priority="272" operator="equal">
      <formula>0</formula>
    </cfRule>
  </conditionalFormatting>
  <conditionalFormatting sqref="J638">
    <cfRule type="cellIs" dxfId="78" priority="269" operator="equal">
      <formula>0</formula>
    </cfRule>
  </conditionalFormatting>
  <conditionalFormatting sqref="N638">
    <cfRule type="cellIs" dxfId="77" priority="266" operator="equal">
      <formula>0</formula>
    </cfRule>
  </conditionalFormatting>
  <conditionalFormatting sqref="J675">
    <cfRule type="cellIs" dxfId="76" priority="265" operator="equal">
      <formula>0</formula>
    </cfRule>
  </conditionalFormatting>
  <conditionalFormatting sqref="N675">
    <cfRule type="cellIs" dxfId="75" priority="262" operator="equal">
      <formula>0</formula>
    </cfRule>
  </conditionalFormatting>
  <conditionalFormatting sqref="N648">
    <cfRule type="cellIs" dxfId="74" priority="241" operator="equal">
      <formula>0</formula>
    </cfRule>
  </conditionalFormatting>
  <conditionalFormatting sqref="N648">
    <cfRule type="cellIs" dxfId="73" priority="240" operator="equal">
      <formula>0</formula>
    </cfRule>
  </conditionalFormatting>
  <conditionalFormatting sqref="J648">
    <cfRule type="cellIs" dxfId="72" priority="239" operator="equal">
      <formula>0</formula>
    </cfRule>
  </conditionalFormatting>
  <conditionalFormatting sqref="J649:J650">
    <cfRule type="cellIs" dxfId="71" priority="223" operator="equal">
      <formula>0</formula>
    </cfRule>
  </conditionalFormatting>
  <conditionalFormatting sqref="N649:N650">
    <cfRule type="cellIs" dxfId="70" priority="220" operator="equal">
      <formula>0</formula>
    </cfRule>
  </conditionalFormatting>
  <conditionalFormatting sqref="B649:C650">
    <cfRule type="expression" dxfId="69" priority="225">
      <formula>Q649=0</formula>
    </cfRule>
  </conditionalFormatting>
  <conditionalFormatting sqref="J651">
    <cfRule type="cellIs" dxfId="68" priority="217" operator="equal">
      <formula>0</formula>
    </cfRule>
  </conditionalFormatting>
  <conditionalFormatting sqref="N651">
    <cfRule type="cellIs" dxfId="67" priority="216" operator="equal">
      <formula>0</formula>
    </cfRule>
  </conditionalFormatting>
  <conditionalFormatting sqref="N334">
    <cfRule type="cellIs" dxfId="66" priority="210" operator="equal">
      <formula>0</formula>
    </cfRule>
  </conditionalFormatting>
  <conditionalFormatting sqref="N335">
    <cfRule type="cellIs" dxfId="65" priority="207" operator="equal">
      <formula>0</formula>
    </cfRule>
  </conditionalFormatting>
  <conditionalFormatting sqref="N255">
    <cfRule type="cellIs" dxfId="64" priority="177" operator="equal">
      <formula>0</formula>
    </cfRule>
  </conditionalFormatting>
  <conditionalFormatting sqref="J255">
    <cfRule type="cellIs" dxfId="63" priority="176" operator="equal">
      <formula>0</formula>
    </cfRule>
  </conditionalFormatting>
  <conditionalFormatting sqref="N20">
    <cfRule type="cellIs" dxfId="62" priority="193" operator="equal">
      <formula>0</formula>
    </cfRule>
  </conditionalFormatting>
  <conditionalFormatting sqref="J20">
    <cfRule type="cellIs" dxfId="61" priority="192" operator="equal">
      <formula>0</formula>
    </cfRule>
  </conditionalFormatting>
  <conditionalFormatting sqref="N185">
    <cfRule type="cellIs" dxfId="60" priority="189" operator="equal">
      <formula>0</formula>
    </cfRule>
  </conditionalFormatting>
  <conditionalFormatting sqref="J185">
    <cfRule type="cellIs" dxfId="59" priority="188" operator="equal">
      <formula>0</formula>
    </cfRule>
  </conditionalFormatting>
  <conditionalFormatting sqref="N204">
    <cfRule type="cellIs" dxfId="58" priority="185" operator="equal">
      <formula>0</formula>
    </cfRule>
  </conditionalFormatting>
  <conditionalFormatting sqref="J204">
    <cfRule type="cellIs" dxfId="57" priority="184" operator="equal">
      <formula>0</formula>
    </cfRule>
  </conditionalFormatting>
  <conditionalFormatting sqref="N220">
    <cfRule type="cellIs" dxfId="56" priority="181" operator="equal">
      <formula>0</formula>
    </cfRule>
  </conditionalFormatting>
  <conditionalFormatting sqref="J220">
    <cfRule type="cellIs" dxfId="55" priority="180" operator="equal">
      <formula>0</formula>
    </cfRule>
  </conditionalFormatting>
  <conditionalFormatting sqref="N331">
    <cfRule type="cellIs" dxfId="54" priority="173" operator="equal">
      <formula>0</formula>
    </cfRule>
  </conditionalFormatting>
  <conditionalFormatting sqref="J331">
    <cfRule type="cellIs" dxfId="53" priority="172" operator="equal">
      <formula>0</formula>
    </cfRule>
  </conditionalFormatting>
  <conditionalFormatting sqref="N352">
    <cfRule type="cellIs" dxfId="52" priority="169" operator="equal">
      <formula>0</formula>
    </cfRule>
  </conditionalFormatting>
  <conditionalFormatting sqref="J352">
    <cfRule type="cellIs" dxfId="51" priority="168" operator="equal">
      <formula>0</formula>
    </cfRule>
  </conditionalFormatting>
  <conditionalFormatting sqref="N457">
    <cfRule type="cellIs" dxfId="50" priority="165" operator="equal">
      <formula>0</formula>
    </cfRule>
  </conditionalFormatting>
  <conditionalFormatting sqref="J457">
    <cfRule type="cellIs" dxfId="49" priority="164" operator="equal">
      <formula>0</formula>
    </cfRule>
  </conditionalFormatting>
  <conditionalFormatting sqref="N547">
    <cfRule type="cellIs" dxfId="48" priority="153" operator="equal">
      <formula>0</formula>
    </cfRule>
  </conditionalFormatting>
  <conditionalFormatting sqref="J547">
    <cfRule type="cellIs" dxfId="47" priority="152" operator="equal">
      <formula>0</formula>
    </cfRule>
  </conditionalFormatting>
  <conditionalFormatting sqref="N562">
    <cfRule type="cellIs" dxfId="46" priority="149" operator="equal">
      <formula>0</formula>
    </cfRule>
  </conditionalFormatting>
  <conditionalFormatting sqref="J562">
    <cfRule type="cellIs" dxfId="45" priority="148" operator="equal">
      <formula>0</formula>
    </cfRule>
  </conditionalFormatting>
  <conditionalFormatting sqref="N578">
    <cfRule type="cellIs" dxfId="44" priority="145" operator="equal">
      <formula>0</formula>
    </cfRule>
  </conditionalFormatting>
  <conditionalFormatting sqref="J578">
    <cfRule type="cellIs" dxfId="43" priority="144" operator="equal">
      <formula>0</formula>
    </cfRule>
  </conditionalFormatting>
  <conditionalFormatting sqref="N738">
    <cfRule type="cellIs" dxfId="42" priority="113" operator="equal">
      <formula>0</formula>
    </cfRule>
  </conditionalFormatting>
  <conditionalFormatting sqref="J738">
    <cfRule type="cellIs" dxfId="41" priority="112" operator="equal">
      <formula>0</formula>
    </cfRule>
  </conditionalFormatting>
  <conditionalFormatting sqref="N780">
    <cfRule type="cellIs" dxfId="40" priority="105" operator="equal">
      <formula>0</formula>
    </cfRule>
  </conditionalFormatting>
  <conditionalFormatting sqref="J780">
    <cfRule type="cellIs" dxfId="39" priority="104" operator="equal">
      <formula>0</formula>
    </cfRule>
  </conditionalFormatting>
  <conditionalFormatting sqref="J866">
    <cfRule type="cellIs" dxfId="38" priority="75" operator="equal">
      <formula>0</formula>
    </cfRule>
  </conditionalFormatting>
  <conditionalFormatting sqref="N866">
    <cfRule type="cellIs" dxfId="37" priority="74" operator="equal">
      <formula>0</formula>
    </cfRule>
  </conditionalFormatting>
  <conditionalFormatting sqref="N672">
    <cfRule type="cellIs" dxfId="36" priority="63" operator="equal">
      <formula>0</formula>
    </cfRule>
  </conditionalFormatting>
  <conditionalFormatting sqref="J672">
    <cfRule type="cellIs" dxfId="35" priority="62" operator="equal">
      <formula>0</formula>
    </cfRule>
  </conditionalFormatting>
  <conditionalFormatting sqref="N661">
    <cfRule type="cellIs" dxfId="34" priority="59" operator="equal">
      <formula>0</formula>
    </cfRule>
  </conditionalFormatting>
  <conditionalFormatting sqref="J661">
    <cfRule type="cellIs" dxfId="33" priority="58" operator="equal">
      <formula>0</formula>
    </cfRule>
  </conditionalFormatting>
  <conditionalFormatting sqref="N529">
    <cfRule type="cellIs" dxfId="32" priority="51" operator="equal">
      <formula>0</formula>
    </cfRule>
  </conditionalFormatting>
  <conditionalFormatting sqref="J529">
    <cfRule type="cellIs" dxfId="31" priority="50" operator="equal">
      <formula>0</formula>
    </cfRule>
  </conditionalFormatting>
  <conditionalFormatting sqref="N652">
    <cfRule type="cellIs" dxfId="30" priority="47" operator="equal">
      <formula>0</formula>
    </cfRule>
  </conditionalFormatting>
  <conditionalFormatting sqref="J652">
    <cfRule type="cellIs" dxfId="29" priority="46" operator="equal">
      <formula>0</formula>
    </cfRule>
  </conditionalFormatting>
  <conditionalFormatting sqref="N646">
    <cfRule type="cellIs" dxfId="28" priority="43" operator="equal">
      <formula>0</formula>
    </cfRule>
  </conditionalFormatting>
  <conditionalFormatting sqref="J646">
    <cfRule type="cellIs" dxfId="27" priority="42" operator="equal">
      <formula>0</formula>
    </cfRule>
  </conditionalFormatting>
  <conditionalFormatting sqref="N635">
    <cfRule type="cellIs" dxfId="26" priority="39" operator="equal">
      <formula>0</formula>
    </cfRule>
  </conditionalFormatting>
  <conditionalFormatting sqref="J635">
    <cfRule type="cellIs" dxfId="25" priority="38" operator="equal">
      <formula>0</formula>
    </cfRule>
  </conditionalFormatting>
  <conditionalFormatting sqref="N602">
    <cfRule type="cellIs" dxfId="24" priority="35" operator="equal">
      <formula>0</formula>
    </cfRule>
  </conditionalFormatting>
  <conditionalFormatting sqref="J602">
    <cfRule type="cellIs" dxfId="23" priority="34" operator="equal">
      <formula>0</formula>
    </cfRule>
  </conditionalFormatting>
  <conditionalFormatting sqref="K587">
    <cfRule type="cellIs" dxfId="22" priority="33" operator="equal">
      <formula>0</formula>
    </cfRule>
  </conditionalFormatting>
  <conditionalFormatting sqref="N788">
    <cfRule type="cellIs" dxfId="21" priority="30" operator="equal">
      <formula>0</formula>
    </cfRule>
  </conditionalFormatting>
  <conditionalFormatting sqref="J788">
    <cfRule type="cellIs" dxfId="20" priority="29" operator="equal">
      <formula>0</formula>
    </cfRule>
  </conditionalFormatting>
  <conditionalFormatting sqref="N797">
    <cfRule type="cellIs" dxfId="19" priority="26" operator="equal">
      <formula>0</formula>
    </cfRule>
  </conditionalFormatting>
  <conditionalFormatting sqref="J797">
    <cfRule type="cellIs" dxfId="18" priority="25" operator="equal">
      <formula>0</formula>
    </cfRule>
  </conditionalFormatting>
  <conditionalFormatting sqref="N806">
    <cfRule type="cellIs" dxfId="17" priority="22" operator="equal">
      <formula>0</formula>
    </cfRule>
  </conditionalFormatting>
  <conditionalFormatting sqref="J806">
    <cfRule type="cellIs" dxfId="16" priority="21" operator="equal">
      <formula>0</formula>
    </cfRule>
  </conditionalFormatting>
  <conditionalFormatting sqref="N817">
    <cfRule type="cellIs" dxfId="15" priority="18" operator="equal">
      <formula>0</formula>
    </cfRule>
  </conditionalFormatting>
  <conditionalFormatting sqref="J817">
    <cfRule type="cellIs" dxfId="14" priority="17" operator="equal">
      <formula>0</formula>
    </cfRule>
  </conditionalFormatting>
  <conditionalFormatting sqref="N838">
    <cfRule type="cellIs" dxfId="13" priority="14" operator="equal">
      <formula>0</formula>
    </cfRule>
  </conditionalFormatting>
  <conditionalFormatting sqref="J838">
    <cfRule type="cellIs" dxfId="12" priority="13" operator="equal">
      <formula>0</formula>
    </cfRule>
  </conditionalFormatting>
  <conditionalFormatting sqref="N853">
    <cfRule type="cellIs" dxfId="11" priority="10" operator="equal">
      <formula>0</formula>
    </cfRule>
  </conditionalFormatting>
  <conditionalFormatting sqref="J853">
    <cfRule type="cellIs" dxfId="10" priority="9" operator="equal">
      <formula>0</formula>
    </cfRule>
  </conditionalFormatting>
  <conditionalFormatting sqref="N879">
    <cfRule type="cellIs" dxfId="9" priority="6" operator="equal">
      <formula>0</formula>
    </cfRule>
  </conditionalFormatting>
  <conditionalFormatting sqref="J879">
    <cfRule type="cellIs" dxfId="8" priority="5" operator="equal">
      <formula>0</formula>
    </cfRule>
  </conditionalFormatting>
  <conditionalFormatting sqref="J174">
    <cfRule type="cellIs" dxfId="7" priority="2" operator="equal">
      <formula>0</formula>
    </cfRule>
  </conditionalFormatting>
  <conditionalFormatting sqref="N174">
    <cfRule type="cellIs" dxfId="6" priority="1" operator="equal">
      <formula>0</formula>
    </cfRule>
  </conditionalFormatting>
  <pageMargins left="0.31496062992125984" right="0.31496062992125984" top="0.15748031496062992" bottom="0.15748031496062992" header="0.39370078740157483" footer="0"/>
  <pageSetup paperSize="9" orientation="portrait" r:id="rId1"/>
  <headerFooter>
    <oddHeader xml:space="preserve">&amp;RPage &amp;P of &amp;N                       .         </oddHeader>
  </headerFooter>
  <rowBreaks count="2" manualBreakCount="2">
    <brk id="219" min="1" max="14" man="1"/>
    <brk id="645" min="1" max="1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55065F-A3A9-48EC-8A5D-262E8E877C60}">
            <x14:dataBar minLength="0" maxLength="100" gradient="0">
              <x14:cfvo type="num">
                <xm:f>0</xm:f>
              </x14:cfvo>
              <x14:cfvo type="num">
                <xm:f>0.2</xm:f>
              </x14:cfvo>
              <x14:negativeFillColor rgb="FFFF0000"/>
              <x14:axisColor rgb="FF000000"/>
            </x14:dataBar>
          </x14:cfRule>
          <xm:sqref>J14:J18</xm:sqref>
        </x14:conditionalFormatting>
        <x14:conditionalFormatting xmlns:xm="http://schemas.microsoft.com/office/excel/2006/main">
          <x14:cfRule type="iconSet" priority="864" id="{26483FC3-866B-4301-84CB-29B52CC0DB3A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L247</xm:sqref>
        </x14:conditionalFormatting>
        <x14:conditionalFormatting xmlns:xm="http://schemas.microsoft.com/office/excel/2006/main">
          <x14:cfRule type="iconSet" priority="865" id="{84452821-C0AE-4D69-B417-3D6C9CE92CEF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K247</xm:sqref>
        </x14:conditionalFormatting>
        <x14:conditionalFormatting xmlns:xm="http://schemas.microsoft.com/office/excel/2006/main">
          <x14:cfRule type="iconSet" priority="824" id="{D965DE96-56F6-4DA9-9DAE-AC949A31E9C7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L249</xm:sqref>
        </x14:conditionalFormatting>
        <x14:conditionalFormatting xmlns:xm="http://schemas.microsoft.com/office/excel/2006/main">
          <x14:cfRule type="iconSet" priority="825" id="{0F4C7DF0-5C3C-49AE-855E-2266A3A8EEEA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K249</xm:sqref>
        </x14:conditionalFormatting>
        <x14:conditionalFormatting xmlns:xm="http://schemas.microsoft.com/office/excel/2006/main">
          <x14:cfRule type="iconSet" priority="820" id="{047F17CB-126F-4727-83C8-ABF692010EBC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L250:L253</xm:sqref>
        </x14:conditionalFormatting>
        <x14:conditionalFormatting xmlns:xm="http://schemas.microsoft.com/office/excel/2006/main">
          <x14:cfRule type="iconSet" priority="821" id="{B5BE7564-1665-40CD-9399-F5A5E6D3D24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K250:K253</xm:sqref>
        </x14:conditionalFormatting>
        <x14:conditionalFormatting xmlns:xm="http://schemas.microsoft.com/office/excel/2006/main">
          <x14:cfRule type="iconSet" priority="799" id="{5461DF8F-7BD8-4052-AF6C-C20514B85C02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L254</xm:sqref>
        </x14:conditionalFormatting>
        <x14:conditionalFormatting xmlns:xm="http://schemas.microsoft.com/office/excel/2006/main">
          <x14:cfRule type="iconSet" priority="800" id="{AAA8F88E-1BA5-47D1-BE14-C39176F9EC7F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K254</xm:sqref>
        </x14:conditionalFormatting>
        <x14:conditionalFormatting xmlns:xm="http://schemas.microsoft.com/office/excel/2006/main">
          <x14:cfRule type="iconSet" priority="785" id="{D377BDA7-BCFA-4E5F-91A6-1B1C3766F86A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L786</xm:sqref>
        </x14:conditionalFormatting>
        <x14:conditionalFormatting xmlns:xm="http://schemas.microsoft.com/office/excel/2006/main">
          <x14:cfRule type="iconSet" priority="786" id="{9A9C3B2A-C541-4B85-B05C-0FD8C7E2CF8B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K786</xm:sqref>
        </x14:conditionalFormatting>
        <x14:conditionalFormatting xmlns:xm="http://schemas.microsoft.com/office/excel/2006/main">
          <x14:cfRule type="iconSet" priority="2232" id="{9605A17F-E36E-41DC-BF0F-BA0A6853AB2B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L829:L837 L789:L796 L740:L768 L634 L187:L203 L549:L561 L564:L577 L637 L654 L663:L671 L674 L808:L816 L819:L827 L336:L351 L531:L546 L599:L601 L222:L223 L225:L227 L229:L247 L177:L178 L206:L219 L458:L461 L798:L805 L839 L656:L660 L639:L645 L676:L737 L770:L779 L23:L171 L464:L528 L354:L456 L257:L330</xm:sqref>
        </x14:conditionalFormatting>
        <x14:conditionalFormatting xmlns:xm="http://schemas.microsoft.com/office/excel/2006/main">
          <x14:cfRule type="iconSet" priority="2237" id="{05920892-85B1-49C0-AC4F-41BDCB600EE5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K829:K837 K789:K796 K634 K187:K203 K549:K561 K564:K577 K637 K654 K663:K671 K674 K808:K816 K819:K827 K336:K351 K531:K546 K599:K601 K222:K223 K225:K227 K229:K247 K177:K178 K206:K219 K458:K461 K798:K805 K839 K656:K660 K639:K645 K676:K737 K740:K779 K23:K171 K464:K528 K354:K456 K257:K330</xm:sqref>
        </x14:conditionalFormatting>
        <x14:conditionalFormatting xmlns:xm="http://schemas.microsoft.com/office/excel/2006/main">
          <x14:cfRule type="iconSet" priority="739" id="{3D71A57A-C73B-4657-A939-7D9815C62510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L333</xm:sqref>
        </x14:conditionalFormatting>
        <x14:conditionalFormatting xmlns:xm="http://schemas.microsoft.com/office/excel/2006/main">
          <x14:cfRule type="iconSet" priority="740" id="{CD5BBEF5-1810-4EBD-867E-0F355151B975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K333</xm:sqref>
        </x14:conditionalFormatting>
        <x14:conditionalFormatting xmlns:xm="http://schemas.microsoft.com/office/excel/2006/main">
          <x14:cfRule type="iconSet" priority="719" id="{345D143C-5152-40E4-89BC-0319B05EDACD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L179:L183 L175:L176</xm:sqref>
        </x14:conditionalFormatting>
        <x14:conditionalFormatting xmlns:xm="http://schemas.microsoft.com/office/excel/2006/main">
          <x14:cfRule type="iconSet" priority="720" id="{968F6B92-A3D0-48E0-9F23-37DEDEB41AF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K179:K183 K175:K176</xm:sqref>
        </x14:conditionalFormatting>
        <x14:conditionalFormatting xmlns:xm="http://schemas.microsoft.com/office/excel/2006/main">
          <x14:cfRule type="iconSet" priority="492" id="{487F7E08-8FA7-4B12-96C2-00A4CCF1EF5F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L462</xm:sqref>
        </x14:conditionalFormatting>
        <x14:conditionalFormatting xmlns:xm="http://schemas.microsoft.com/office/excel/2006/main">
          <x14:cfRule type="iconSet" priority="493" id="{8278FEEE-506D-425C-BD4A-518D3D1DDF13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K462</xm:sqref>
        </x14:conditionalFormatting>
        <x14:conditionalFormatting xmlns:xm="http://schemas.microsoft.com/office/excel/2006/main">
          <x14:cfRule type="iconSet" priority="405" id="{C5C21C29-A040-465D-B105-15B6A29A462D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L612</xm:sqref>
        </x14:conditionalFormatting>
        <x14:conditionalFormatting xmlns:xm="http://schemas.microsoft.com/office/excel/2006/main">
          <x14:cfRule type="iconSet" priority="406" id="{48F25D44-A6FA-466C-953E-93E6A07E438F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K612</xm:sqref>
        </x14:conditionalFormatting>
        <x14:conditionalFormatting xmlns:xm="http://schemas.microsoft.com/office/excel/2006/main">
          <x14:cfRule type="iconSet" priority="393" id="{DB22A247-D679-4E54-8A44-35FEEE8E7B7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L769</xm:sqref>
        </x14:conditionalFormatting>
        <x14:conditionalFormatting xmlns:xm="http://schemas.microsoft.com/office/excel/2006/main">
          <x14:cfRule type="iconSet" priority="371" id="{825D9817-7C5B-4BC2-A467-736681BFC94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L172</xm:sqref>
        </x14:conditionalFormatting>
        <x14:conditionalFormatting xmlns:xm="http://schemas.microsoft.com/office/excel/2006/main">
          <x14:cfRule type="iconSet" priority="372" id="{ACEC2FC4-8A20-4EA2-BFCB-C02C09EAE4A8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K172</xm:sqref>
        </x14:conditionalFormatting>
        <x14:conditionalFormatting xmlns:xm="http://schemas.microsoft.com/office/excel/2006/main">
          <x14:cfRule type="iconSet" priority="323" id="{C04D896B-5481-4243-8377-5E0E7FCEED0E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L787</xm:sqref>
        </x14:conditionalFormatting>
        <x14:conditionalFormatting xmlns:xm="http://schemas.microsoft.com/office/excel/2006/main">
          <x14:cfRule type="iconSet" priority="324" id="{56B74851-7B8F-446F-84DE-8CE73271F0EA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K787</xm:sqref>
        </x14:conditionalFormatting>
        <x14:conditionalFormatting xmlns:xm="http://schemas.microsoft.com/office/excel/2006/main">
          <x14:cfRule type="iconSet" priority="283" id="{C4327A9F-9EA1-49EE-B197-99B099BDDDF2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L828</xm:sqref>
        </x14:conditionalFormatting>
        <x14:conditionalFormatting xmlns:xm="http://schemas.microsoft.com/office/excel/2006/main">
          <x14:cfRule type="iconSet" priority="284" id="{E562A68C-4A23-43F0-B104-C241F078158D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K828</xm:sqref>
        </x14:conditionalFormatting>
        <x14:conditionalFormatting xmlns:xm="http://schemas.microsoft.com/office/excel/2006/main">
          <x14:cfRule type="iconSet" priority="275" id="{63EA7D97-6425-432D-904B-4B5D85706278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L655</xm:sqref>
        </x14:conditionalFormatting>
        <x14:conditionalFormatting xmlns:xm="http://schemas.microsoft.com/office/excel/2006/main">
          <x14:cfRule type="iconSet" priority="276" id="{75F22387-2639-4DAC-B6BA-F332751FDEF1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K655</xm:sqref>
        </x14:conditionalFormatting>
        <x14:conditionalFormatting xmlns:xm="http://schemas.microsoft.com/office/excel/2006/main">
          <x14:cfRule type="iconSet" priority="267" id="{0ECA482B-28C7-407D-AE65-548D2A8A45B7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L638</xm:sqref>
        </x14:conditionalFormatting>
        <x14:conditionalFormatting xmlns:xm="http://schemas.microsoft.com/office/excel/2006/main">
          <x14:cfRule type="iconSet" priority="268" id="{E46829A4-5101-454E-AA44-74C469C968B8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K638</xm:sqref>
        </x14:conditionalFormatting>
        <x14:conditionalFormatting xmlns:xm="http://schemas.microsoft.com/office/excel/2006/main">
          <x14:cfRule type="iconSet" priority="263" id="{E07D688C-D1A9-4243-89FE-82B70DE79AF1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L675</xm:sqref>
        </x14:conditionalFormatting>
        <x14:conditionalFormatting xmlns:xm="http://schemas.microsoft.com/office/excel/2006/main">
          <x14:cfRule type="iconSet" priority="264" id="{9AD7715A-CC74-42C6-95B4-2EEC7009E02E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K675</xm:sqref>
        </x14:conditionalFormatting>
        <x14:conditionalFormatting xmlns:xm="http://schemas.microsoft.com/office/excel/2006/main">
          <x14:cfRule type="iconSet" priority="242" id="{3571FFC3-ABC2-44DB-9EDF-884114984E5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L648</xm:sqref>
        </x14:conditionalFormatting>
        <x14:conditionalFormatting xmlns:xm="http://schemas.microsoft.com/office/excel/2006/main">
          <x14:cfRule type="iconSet" priority="243" id="{2CF6F43B-8451-498D-96C2-4B12E909B58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K648</xm:sqref>
        </x14:conditionalFormatting>
        <x14:conditionalFormatting xmlns:xm="http://schemas.microsoft.com/office/excel/2006/main">
          <x14:cfRule type="iconSet" priority="221" id="{B25806C4-862A-449C-88C9-4118148AAA8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L649:L650</xm:sqref>
        </x14:conditionalFormatting>
        <x14:conditionalFormatting xmlns:xm="http://schemas.microsoft.com/office/excel/2006/main">
          <x14:cfRule type="iconSet" priority="222" id="{B9B3594C-00FB-490B-93C1-CD1CFC32FA6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K649:K650</xm:sqref>
        </x14:conditionalFormatting>
        <x14:conditionalFormatting xmlns:xm="http://schemas.microsoft.com/office/excel/2006/main">
          <x14:cfRule type="iconSet" priority="218" id="{123E474C-96B9-41F9-B5AC-B6835F59CC7C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L651</xm:sqref>
        </x14:conditionalFormatting>
        <x14:conditionalFormatting xmlns:xm="http://schemas.microsoft.com/office/excel/2006/main">
          <x14:cfRule type="iconSet" priority="219" id="{206F98DC-F1BE-4730-BAE3-83B8892026FB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K651</xm:sqref>
        </x14:conditionalFormatting>
        <x14:conditionalFormatting xmlns:xm="http://schemas.microsoft.com/office/excel/2006/main">
          <x14:cfRule type="iconSet" priority="211" id="{1B6CB40D-7227-49EC-9AC8-30D881695035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L334</xm:sqref>
        </x14:conditionalFormatting>
        <x14:conditionalFormatting xmlns:xm="http://schemas.microsoft.com/office/excel/2006/main">
          <x14:cfRule type="iconSet" priority="212" id="{561A1F91-95F6-4BE3-AB70-FFD638B11E9A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K334</xm:sqref>
        </x14:conditionalFormatting>
        <x14:conditionalFormatting xmlns:xm="http://schemas.microsoft.com/office/excel/2006/main">
          <x14:cfRule type="iconSet" priority="208" id="{7D5479A5-8746-4D1F-8101-BCC804B8C9DE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L335</xm:sqref>
        </x14:conditionalFormatting>
        <x14:conditionalFormatting xmlns:xm="http://schemas.microsoft.com/office/excel/2006/main">
          <x14:cfRule type="iconSet" priority="209" id="{37B4138F-9658-4E30-AAA5-BDB6A630B156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K335</xm:sqref>
        </x14:conditionalFormatting>
        <x14:conditionalFormatting xmlns:xm="http://schemas.microsoft.com/office/excel/2006/main">
          <x14:cfRule type="iconSet" priority="194" id="{7C190131-B2D2-4001-AB4E-A8F041C8E5B8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L20</xm:sqref>
        </x14:conditionalFormatting>
        <x14:conditionalFormatting xmlns:xm="http://schemas.microsoft.com/office/excel/2006/main">
          <x14:cfRule type="iconSet" priority="195" id="{B96C3F07-A0D7-4C8B-BFD1-556FE12C838C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K20</xm:sqref>
        </x14:conditionalFormatting>
        <x14:conditionalFormatting xmlns:xm="http://schemas.microsoft.com/office/excel/2006/main">
          <x14:cfRule type="iconSet" priority="190" id="{5AB1D4D0-1992-4B65-8AC7-3030699882C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L185</xm:sqref>
        </x14:conditionalFormatting>
        <x14:conditionalFormatting xmlns:xm="http://schemas.microsoft.com/office/excel/2006/main">
          <x14:cfRule type="iconSet" priority="191" id="{721B23E1-0227-4640-86B7-3DE10C535771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K185</xm:sqref>
        </x14:conditionalFormatting>
        <x14:conditionalFormatting xmlns:xm="http://schemas.microsoft.com/office/excel/2006/main">
          <x14:cfRule type="iconSet" priority="186" id="{80ADA0AE-F54A-4161-ACBA-5C04B3EF3758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L204</xm:sqref>
        </x14:conditionalFormatting>
        <x14:conditionalFormatting xmlns:xm="http://schemas.microsoft.com/office/excel/2006/main">
          <x14:cfRule type="iconSet" priority="187" id="{87837BF9-5A27-4A2A-9DB9-1F11B69B28A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K204</xm:sqref>
        </x14:conditionalFormatting>
        <x14:conditionalFormatting xmlns:xm="http://schemas.microsoft.com/office/excel/2006/main">
          <x14:cfRule type="iconSet" priority="182" id="{9702600A-79FC-4CD4-AB7E-C9D14DC5A53E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L220</xm:sqref>
        </x14:conditionalFormatting>
        <x14:conditionalFormatting xmlns:xm="http://schemas.microsoft.com/office/excel/2006/main">
          <x14:cfRule type="iconSet" priority="183" id="{7BF78C32-DA78-4C70-AE78-5042D6B2A31C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K220</xm:sqref>
        </x14:conditionalFormatting>
        <x14:conditionalFormatting xmlns:xm="http://schemas.microsoft.com/office/excel/2006/main">
          <x14:cfRule type="iconSet" priority="178" id="{E896D236-EB5A-4676-A3C7-01E8CEE5F5B3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L255</xm:sqref>
        </x14:conditionalFormatting>
        <x14:conditionalFormatting xmlns:xm="http://schemas.microsoft.com/office/excel/2006/main">
          <x14:cfRule type="iconSet" priority="179" id="{A3FB17F1-18CB-4FA9-BE65-3B12E2F85B8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K255</xm:sqref>
        </x14:conditionalFormatting>
        <x14:conditionalFormatting xmlns:xm="http://schemas.microsoft.com/office/excel/2006/main">
          <x14:cfRule type="iconSet" priority="174" id="{A8FD9CC7-037A-43C3-A562-18BACA69A930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L331</xm:sqref>
        </x14:conditionalFormatting>
        <x14:conditionalFormatting xmlns:xm="http://schemas.microsoft.com/office/excel/2006/main">
          <x14:cfRule type="iconSet" priority="175" id="{18F43155-FC8A-4469-AFF9-44C85365DB58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K331</xm:sqref>
        </x14:conditionalFormatting>
        <x14:conditionalFormatting xmlns:xm="http://schemas.microsoft.com/office/excel/2006/main">
          <x14:cfRule type="iconSet" priority="170" id="{DC4DA032-E839-4902-920A-C9FF0ABCAD6D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L352</xm:sqref>
        </x14:conditionalFormatting>
        <x14:conditionalFormatting xmlns:xm="http://schemas.microsoft.com/office/excel/2006/main">
          <x14:cfRule type="iconSet" priority="171" id="{AD7E85CC-5E15-45CC-B18C-62410C425B00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K352</xm:sqref>
        </x14:conditionalFormatting>
        <x14:conditionalFormatting xmlns:xm="http://schemas.microsoft.com/office/excel/2006/main">
          <x14:cfRule type="iconSet" priority="166" id="{77B56B12-1900-4740-84EC-E635E25233D0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L457</xm:sqref>
        </x14:conditionalFormatting>
        <x14:conditionalFormatting xmlns:xm="http://schemas.microsoft.com/office/excel/2006/main">
          <x14:cfRule type="iconSet" priority="167" id="{D55148BC-1A5B-4182-9AA3-A9ADE9DCBFCB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K457</xm:sqref>
        </x14:conditionalFormatting>
        <x14:conditionalFormatting xmlns:xm="http://schemas.microsoft.com/office/excel/2006/main">
          <x14:cfRule type="iconSet" priority="154" id="{019F9556-139A-4244-8B34-1033669DE373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L547</xm:sqref>
        </x14:conditionalFormatting>
        <x14:conditionalFormatting xmlns:xm="http://schemas.microsoft.com/office/excel/2006/main">
          <x14:cfRule type="iconSet" priority="155" id="{5B3E21C3-F5A2-4249-A464-E956282828E1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K547</xm:sqref>
        </x14:conditionalFormatting>
        <x14:conditionalFormatting xmlns:xm="http://schemas.microsoft.com/office/excel/2006/main">
          <x14:cfRule type="iconSet" priority="150" id="{3834030F-9B3E-469F-8C78-21A191AFFFFF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L562</xm:sqref>
        </x14:conditionalFormatting>
        <x14:conditionalFormatting xmlns:xm="http://schemas.microsoft.com/office/excel/2006/main">
          <x14:cfRule type="iconSet" priority="151" id="{D398E9E3-F7DC-4AF4-BBAB-D3E17767F00E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K562</xm:sqref>
        </x14:conditionalFormatting>
        <x14:conditionalFormatting xmlns:xm="http://schemas.microsoft.com/office/excel/2006/main">
          <x14:cfRule type="iconSet" priority="146" id="{1986043D-6D3C-497D-A7F1-F2EDC2D9DE0F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L578</xm:sqref>
        </x14:conditionalFormatting>
        <x14:conditionalFormatting xmlns:xm="http://schemas.microsoft.com/office/excel/2006/main">
          <x14:cfRule type="iconSet" priority="147" id="{5D430E2C-A2FC-480A-9CDA-D6726A024F5F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K578</xm:sqref>
        </x14:conditionalFormatting>
        <x14:conditionalFormatting xmlns:xm="http://schemas.microsoft.com/office/excel/2006/main">
          <x14:cfRule type="iconSet" priority="114" id="{9DAD1626-C06D-482B-9F1F-61554602304B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L738</xm:sqref>
        </x14:conditionalFormatting>
        <x14:conditionalFormatting xmlns:xm="http://schemas.microsoft.com/office/excel/2006/main">
          <x14:cfRule type="iconSet" priority="115" id="{FBCA4C8F-30C8-40ED-9637-2E07692E9633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K738</xm:sqref>
        </x14:conditionalFormatting>
        <x14:conditionalFormatting xmlns:xm="http://schemas.microsoft.com/office/excel/2006/main">
          <x14:cfRule type="iconSet" priority="106" id="{1E003099-ADB6-4A30-8A1A-53AA00904F77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L780</xm:sqref>
        </x14:conditionalFormatting>
        <x14:conditionalFormatting xmlns:xm="http://schemas.microsoft.com/office/excel/2006/main">
          <x14:cfRule type="iconSet" priority="107" id="{48D140BC-72AF-4CF6-8165-564745CCD9B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K780</xm:sqref>
        </x14:conditionalFormatting>
        <x14:conditionalFormatting xmlns:xm="http://schemas.microsoft.com/office/excel/2006/main">
          <x14:cfRule type="iconSet" priority="64" id="{FE4A58F4-1F77-43D3-9F47-32758A2DF695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L672</xm:sqref>
        </x14:conditionalFormatting>
        <x14:conditionalFormatting xmlns:xm="http://schemas.microsoft.com/office/excel/2006/main">
          <x14:cfRule type="iconSet" priority="65" id="{70DBA684-4D1F-4457-AC72-F1EA380BCE3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K672</xm:sqref>
        </x14:conditionalFormatting>
        <x14:conditionalFormatting xmlns:xm="http://schemas.microsoft.com/office/excel/2006/main">
          <x14:cfRule type="iconSet" priority="60" id="{4D3F084B-C96E-4DA1-BFD7-4396EAD23CF7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L661</xm:sqref>
        </x14:conditionalFormatting>
        <x14:conditionalFormatting xmlns:xm="http://schemas.microsoft.com/office/excel/2006/main">
          <x14:cfRule type="iconSet" priority="61" id="{E96C22E8-DF8D-440A-A4C3-8C3A47E6002C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K661</xm:sqref>
        </x14:conditionalFormatting>
        <x14:conditionalFormatting xmlns:xm="http://schemas.microsoft.com/office/excel/2006/main">
          <x14:cfRule type="iconSet" priority="52" id="{4F63C628-C572-4398-98C8-A9F0C879B211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L529</xm:sqref>
        </x14:conditionalFormatting>
        <x14:conditionalFormatting xmlns:xm="http://schemas.microsoft.com/office/excel/2006/main">
          <x14:cfRule type="iconSet" priority="53" id="{FA8F08A9-F43E-4D87-9C82-1F240F38200C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K529</xm:sqref>
        </x14:conditionalFormatting>
        <x14:conditionalFormatting xmlns:xm="http://schemas.microsoft.com/office/excel/2006/main">
          <x14:cfRule type="iconSet" priority="48" id="{31BD233D-9167-42D2-A985-BF3BA540B8D5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L652</xm:sqref>
        </x14:conditionalFormatting>
        <x14:conditionalFormatting xmlns:xm="http://schemas.microsoft.com/office/excel/2006/main">
          <x14:cfRule type="iconSet" priority="49" id="{646E29AC-46D5-43A9-9C19-9FDEDBC5C23A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K652</xm:sqref>
        </x14:conditionalFormatting>
        <x14:conditionalFormatting xmlns:xm="http://schemas.microsoft.com/office/excel/2006/main">
          <x14:cfRule type="iconSet" priority="44" id="{BD9E80DE-F15C-43A6-AB3B-9CAB79AF092D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L646</xm:sqref>
        </x14:conditionalFormatting>
        <x14:conditionalFormatting xmlns:xm="http://schemas.microsoft.com/office/excel/2006/main">
          <x14:cfRule type="iconSet" priority="45" id="{808D1C75-A1E5-4C27-8F13-B8022A977F06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K646</xm:sqref>
        </x14:conditionalFormatting>
        <x14:conditionalFormatting xmlns:xm="http://schemas.microsoft.com/office/excel/2006/main">
          <x14:cfRule type="iconSet" priority="40" id="{47060A97-F512-4DFB-8B53-D6F66289210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L635</xm:sqref>
        </x14:conditionalFormatting>
        <x14:conditionalFormatting xmlns:xm="http://schemas.microsoft.com/office/excel/2006/main">
          <x14:cfRule type="iconSet" priority="41" id="{891A1507-6056-44CF-9339-CD9CDEDBC52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K635</xm:sqref>
        </x14:conditionalFormatting>
        <x14:conditionalFormatting xmlns:xm="http://schemas.microsoft.com/office/excel/2006/main">
          <x14:cfRule type="iconSet" priority="36" id="{66F737B1-B8A9-4BD6-BA3B-2E4AB967C5E6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L602</xm:sqref>
        </x14:conditionalFormatting>
        <x14:conditionalFormatting xmlns:xm="http://schemas.microsoft.com/office/excel/2006/main">
          <x14:cfRule type="iconSet" priority="37" id="{249325F3-46AD-458E-B2F7-234E7B083815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K602</xm:sqref>
        </x14:conditionalFormatting>
        <x14:conditionalFormatting xmlns:xm="http://schemas.microsoft.com/office/excel/2006/main">
          <x14:cfRule type="iconSet" priority="31" id="{14781B47-FE16-464C-925A-9990C4D81AA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L788</xm:sqref>
        </x14:conditionalFormatting>
        <x14:conditionalFormatting xmlns:xm="http://schemas.microsoft.com/office/excel/2006/main">
          <x14:cfRule type="iconSet" priority="32" id="{B239B849-01D1-42A9-966C-EB878381E399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K788</xm:sqref>
        </x14:conditionalFormatting>
        <x14:conditionalFormatting xmlns:xm="http://schemas.microsoft.com/office/excel/2006/main">
          <x14:cfRule type="iconSet" priority="27" id="{E891A9AD-16D3-4BC5-9C07-D28D56BDD56C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L797</xm:sqref>
        </x14:conditionalFormatting>
        <x14:conditionalFormatting xmlns:xm="http://schemas.microsoft.com/office/excel/2006/main">
          <x14:cfRule type="iconSet" priority="28" id="{BF1F4148-9A4F-4F63-BBCA-ACF87CBC3D8B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K797</xm:sqref>
        </x14:conditionalFormatting>
        <x14:conditionalFormatting xmlns:xm="http://schemas.microsoft.com/office/excel/2006/main">
          <x14:cfRule type="iconSet" priority="23" id="{C309B86E-AF2A-4078-A796-480D08AD1A67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L806</xm:sqref>
        </x14:conditionalFormatting>
        <x14:conditionalFormatting xmlns:xm="http://schemas.microsoft.com/office/excel/2006/main">
          <x14:cfRule type="iconSet" priority="24" id="{7308728C-6379-44F3-8F91-976A78BA7E81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K806</xm:sqref>
        </x14:conditionalFormatting>
        <x14:conditionalFormatting xmlns:xm="http://schemas.microsoft.com/office/excel/2006/main">
          <x14:cfRule type="iconSet" priority="19" id="{7C0E0805-AC6E-4E12-B681-BD512E8FE1A2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L817</xm:sqref>
        </x14:conditionalFormatting>
        <x14:conditionalFormatting xmlns:xm="http://schemas.microsoft.com/office/excel/2006/main">
          <x14:cfRule type="iconSet" priority="20" id="{37F70C18-5075-4F65-9D1E-5FA8CE20078B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K817</xm:sqref>
        </x14:conditionalFormatting>
        <x14:conditionalFormatting xmlns:xm="http://schemas.microsoft.com/office/excel/2006/main">
          <x14:cfRule type="iconSet" priority="15" id="{D6C9E23B-CE81-4A4C-92B1-5059B196B9C4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L838</xm:sqref>
        </x14:conditionalFormatting>
        <x14:conditionalFormatting xmlns:xm="http://schemas.microsoft.com/office/excel/2006/main">
          <x14:cfRule type="iconSet" priority="16" id="{5A4E84F9-59B0-4234-A2CD-41DF6919B600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K838</xm:sqref>
        </x14:conditionalFormatting>
        <x14:conditionalFormatting xmlns:xm="http://schemas.microsoft.com/office/excel/2006/main">
          <x14:cfRule type="iconSet" priority="11" id="{3F8DAF24-C05A-424B-AF62-5704434910C7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L853</xm:sqref>
        </x14:conditionalFormatting>
        <x14:conditionalFormatting xmlns:xm="http://schemas.microsoft.com/office/excel/2006/main">
          <x14:cfRule type="iconSet" priority="12" id="{2616C2C2-EA62-4A43-BA00-E29C8AE9476D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K853</xm:sqref>
        </x14:conditionalFormatting>
        <x14:conditionalFormatting xmlns:xm="http://schemas.microsoft.com/office/excel/2006/main">
          <x14:cfRule type="iconSet" priority="7" id="{607A816E-399E-4B79-97B9-2BB089C0B320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L879</xm:sqref>
        </x14:conditionalFormatting>
        <x14:conditionalFormatting xmlns:xm="http://schemas.microsoft.com/office/excel/2006/main">
          <x14:cfRule type="iconSet" priority="8" id="{F9089D54-97B1-4164-B974-D05E37E933E0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K879</xm:sqref>
        </x14:conditionalFormatting>
        <x14:conditionalFormatting xmlns:xm="http://schemas.microsoft.com/office/excel/2006/main">
          <x14:cfRule type="iconSet" priority="3" id="{2656742F-041E-458D-9ED5-F663887BCE22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L174</xm:sqref>
        </x14:conditionalFormatting>
        <x14:conditionalFormatting xmlns:xm="http://schemas.microsoft.com/office/excel/2006/main">
          <x14:cfRule type="iconSet" priority="4" id="{927322E3-A92A-46F7-89A3-CBE686B1D98F}">
            <x14:iconSet iconSet="3Star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K174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6FAF-9576-49E3-809D-4C94399C9616}">
  <sheetPr codeName="Sheet2"/>
  <dimension ref="A1:T190"/>
  <sheetViews>
    <sheetView showGridLines="0" view="pageBreakPreview" zoomScaleNormal="100" zoomScaleSheetLayoutView="100" workbookViewId="0">
      <selection activeCell="A41" sqref="A41"/>
    </sheetView>
  </sheetViews>
  <sheetFormatPr defaultColWidth="9.140625" defaultRowHeight="13.5" x14ac:dyDescent="0.15"/>
  <cols>
    <col min="1" max="1" width="24.140625" style="172" customWidth="1"/>
    <col min="2" max="2" width="45.85546875" style="172" bestFit="1" customWidth="1"/>
    <col min="3" max="3" width="5.85546875" style="172" customWidth="1"/>
    <col min="4" max="4" width="11.140625" style="172" customWidth="1"/>
    <col min="5" max="5" width="10.7109375" style="172" bestFit="1" customWidth="1"/>
    <col min="6" max="7" width="9.140625" style="172"/>
    <col min="8" max="8" width="19.85546875" style="172" customWidth="1"/>
    <col min="9" max="16384" width="9.140625" style="172"/>
  </cols>
  <sheetData>
    <row r="1" spans="1:20" ht="14.25" x14ac:dyDescent="0.15">
      <c r="A1" s="169" t="s">
        <v>212</v>
      </c>
      <c r="B1" s="170">
        <f>Order!E4</f>
        <v>0</v>
      </c>
      <c r="C1" s="187" t="s">
        <v>214</v>
      </c>
      <c r="D1" s="746" t="str">
        <f>Order!G6</f>
        <v>22.07.2019</v>
      </c>
      <c r="H1" s="173"/>
      <c r="I1" s="173"/>
      <c r="J1" s="174"/>
      <c r="K1" s="174"/>
    </row>
    <row r="2" spans="1:20" x14ac:dyDescent="0.15">
      <c r="A2" s="175"/>
      <c r="D2" s="171"/>
      <c r="E2" s="176"/>
      <c r="H2" s="174"/>
      <c r="I2" s="174"/>
      <c r="J2" s="174"/>
      <c r="K2" s="174"/>
    </row>
    <row r="3" spans="1:20" ht="14.25" x14ac:dyDescent="0.15">
      <c r="A3" s="169"/>
      <c r="B3" s="199" t="str">
        <f>IF(Order!B9&lt;&gt;"","Green Tag Trolley","Red Tag Trolley")</f>
        <v>Red Tag Trolley</v>
      </c>
      <c r="D3" s="173"/>
      <c r="E3" s="173"/>
      <c r="F3" s="177"/>
      <c r="G3" s="177"/>
      <c r="H3" s="174"/>
      <c r="I3" s="174"/>
      <c r="J3" s="174"/>
      <c r="K3" s="174"/>
      <c r="L3" s="177"/>
      <c r="M3" s="177"/>
      <c r="N3" s="177"/>
      <c r="O3" s="177"/>
      <c r="P3" s="177"/>
      <c r="Q3" s="177"/>
      <c r="R3" s="177"/>
    </row>
    <row r="4" spans="1:20" x14ac:dyDescent="0.15">
      <c r="A4" s="178" t="s">
        <v>5</v>
      </c>
      <c r="B4" s="178" t="s">
        <v>936</v>
      </c>
      <c r="C4" s="1139" t="s">
        <v>213</v>
      </c>
      <c r="D4" s="1140"/>
      <c r="E4" s="173"/>
      <c r="F4" s="177"/>
      <c r="G4" s="177"/>
      <c r="H4" s="174"/>
      <c r="I4" s="174"/>
      <c r="J4" s="174"/>
      <c r="K4" s="174"/>
      <c r="L4" s="177"/>
      <c r="M4" s="177"/>
      <c r="N4" s="177"/>
      <c r="O4" s="177"/>
      <c r="P4" s="177"/>
      <c r="Q4" s="177"/>
      <c r="R4" s="177"/>
      <c r="S4" s="177"/>
      <c r="T4" s="177"/>
    </row>
    <row r="5" spans="1:20" x14ac:dyDescent="0.15">
      <c r="A5" s="179" t="e">
        <f>J5</f>
        <v>#N/A</v>
      </c>
      <c r="B5" s="180" t="e">
        <f>H5</f>
        <v>#N/A</v>
      </c>
      <c r="C5" s="181" t="e">
        <f>I5</f>
        <v>#N/A</v>
      </c>
      <c r="D5" s="182" t="e">
        <f>K5</f>
        <v>#N/A</v>
      </c>
      <c r="E5" s="177"/>
      <c r="F5" s="177"/>
      <c r="G5" s="177"/>
      <c r="H5" s="174" t="e">
        <f>VLOOKUP(1,Order!A$23:T$1111,4,TRUE)</f>
        <v>#N/A</v>
      </c>
      <c r="I5" s="174" t="e">
        <f>VLOOKUP(1,Order!A$23:T$1111,2,TRUE)</f>
        <v>#N/A</v>
      </c>
      <c r="J5" s="174" t="e">
        <f>VLOOKUP(1,Order!A$23:T$1111,18,TRUE)</f>
        <v>#N/A</v>
      </c>
      <c r="K5" s="174" t="e">
        <f>VLOOKUP(1,Order!A$23:T$1111,20,TRUE)</f>
        <v>#N/A</v>
      </c>
      <c r="L5" s="177"/>
      <c r="M5" s="177"/>
      <c r="N5" s="177"/>
      <c r="O5" s="177"/>
      <c r="P5" s="177"/>
      <c r="Q5" s="177"/>
      <c r="R5" s="177"/>
      <c r="S5" s="177"/>
      <c r="T5" s="177"/>
    </row>
    <row r="6" spans="1:20" x14ac:dyDescent="0.15">
      <c r="A6" s="179" t="e">
        <f t="shared" ref="A6:A61" si="0">IF(J6=0,"",IF(J6=J5,"",J6))</f>
        <v>#N/A</v>
      </c>
      <c r="B6" s="183" t="e">
        <f t="shared" ref="B6:B61" si="1">IF(H6=H5,"",H6)</f>
        <v>#N/A</v>
      </c>
      <c r="C6" s="184" t="e">
        <f>IF(H6=H5,"",I6)</f>
        <v>#N/A</v>
      </c>
      <c r="D6" s="185" t="e">
        <f>IF(H6=H5,"",K6)</f>
        <v>#N/A</v>
      </c>
      <c r="E6" s="177"/>
      <c r="F6" s="177"/>
      <c r="G6" s="177"/>
      <c r="H6" s="174" t="e">
        <f>VLOOKUP(2,Order!A$23:T$1111,4,TRUE)</f>
        <v>#N/A</v>
      </c>
      <c r="I6" s="174" t="e">
        <f>VLOOKUP(2,Order!A$23:T$1111,2,TRUE)</f>
        <v>#N/A</v>
      </c>
      <c r="J6" s="174" t="e">
        <f>VLOOKUP(2,Order!A$23:T$1111,18,TRUE)</f>
        <v>#N/A</v>
      </c>
      <c r="K6" s="174" t="e">
        <f>VLOOKUP(2,Order!A$23:T$1111,20,TRUE)</f>
        <v>#N/A</v>
      </c>
      <c r="L6" s="177"/>
      <c r="M6" s="177"/>
      <c r="N6" s="177"/>
      <c r="O6" s="177"/>
      <c r="P6" s="177"/>
      <c r="Q6" s="177"/>
      <c r="R6" s="177"/>
      <c r="S6" s="177"/>
      <c r="T6" s="177"/>
    </row>
    <row r="7" spans="1:20" x14ac:dyDescent="0.15">
      <c r="A7" s="179" t="e">
        <f>IF(J7=0,"",IF(J7=J6,"",J7))</f>
        <v>#N/A</v>
      </c>
      <c r="B7" s="183" t="e">
        <f t="shared" si="1"/>
        <v>#N/A</v>
      </c>
      <c r="C7" s="184" t="e">
        <f t="shared" ref="C7:C61" si="2">IF(H7=H6,"",I7)</f>
        <v>#N/A</v>
      </c>
      <c r="D7" s="185" t="e">
        <f t="shared" ref="D7:D70" si="3">IF(H7=H6,"",K7)</f>
        <v>#N/A</v>
      </c>
      <c r="E7" s="177"/>
      <c r="F7" s="177"/>
      <c r="G7" s="177"/>
      <c r="H7" s="174" t="e">
        <f>VLOOKUP(3,Order!A$23:T$1111,4,TRUE)</f>
        <v>#N/A</v>
      </c>
      <c r="I7" s="174" t="e">
        <f>VLOOKUP(3,Order!A$23:T$1111,2,TRUE)</f>
        <v>#N/A</v>
      </c>
      <c r="J7" s="174" t="e">
        <f>VLOOKUP(3,Order!A$23:T$1111,18,TRUE)</f>
        <v>#N/A</v>
      </c>
      <c r="K7" s="174" t="e">
        <f>VLOOKUP(3,Order!A$23:T$1111,20,TRUE)</f>
        <v>#N/A</v>
      </c>
      <c r="L7" s="177"/>
      <c r="M7" s="177"/>
      <c r="N7" s="177"/>
      <c r="O7" s="177"/>
      <c r="P7" s="177"/>
      <c r="Q7" s="177"/>
      <c r="R7" s="177"/>
      <c r="S7" s="177"/>
      <c r="T7" s="177"/>
    </row>
    <row r="8" spans="1:20" x14ac:dyDescent="0.15">
      <c r="A8" s="179" t="e">
        <f>IF(J8=0,"",IF(J8=J7,"",J8))</f>
        <v>#N/A</v>
      </c>
      <c r="B8" s="183" t="e">
        <f t="shared" si="1"/>
        <v>#N/A</v>
      </c>
      <c r="C8" s="184" t="e">
        <f t="shared" si="2"/>
        <v>#N/A</v>
      </c>
      <c r="D8" s="185" t="e">
        <f t="shared" si="3"/>
        <v>#N/A</v>
      </c>
      <c r="E8" s="177"/>
      <c r="F8" s="177"/>
      <c r="G8" s="177"/>
      <c r="H8" s="174" t="e">
        <f>VLOOKUP(4,Order!A$23:T$1111,4,TRUE)</f>
        <v>#N/A</v>
      </c>
      <c r="I8" s="174" t="e">
        <f>VLOOKUP(4,Order!A$23:T$1111,2,TRUE)</f>
        <v>#N/A</v>
      </c>
      <c r="J8" s="174" t="e">
        <f>VLOOKUP(4,Order!A$23:T$1111,18,TRUE)</f>
        <v>#N/A</v>
      </c>
      <c r="K8" s="174" t="e">
        <f>VLOOKUP(4,Order!A$23:T$1111,20,TRUE)</f>
        <v>#N/A</v>
      </c>
      <c r="L8" s="177"/>
      <c r="M8" s="177"/>
      <c r="N8" s="177"/>
      <c r="O8" s="177"/>
      <c r="P8" s="177"/>
      <c r="Q8" s="177"/>
      <c r="R8" s="177"/>
      <c r="S8" s="177"/>
      <c r="T8" s="177"/>
    </row>
    <row r="9" spans="1:20" x14ac:dyDescent="0.15">
      <c r="A9" s="179" t="e">
        <f t="shared" si="0"/>
        <v>#N/A</v>
      </c>
      <c r="B9" s="183" t="e">
        <f t="shared" si="1"/>
        <v>#N/A</v>
      </c>
      <c r="C9" s="184" t="e">
        <f t="shared" si="2"/>
        <v>#N/A</v>
      </c>
      <c r="D9" s="185" t="e">
        <f t="shared" si="3"/>
        <v>#N/A</v>
      </c>
      <c r="E9" s="177"/>
      <c r="F9" s="177"/>
      <c r="G9" s="177"/>
      <c r="H9" s="174" t="e">
        <f>VLOOKUP(5,Order!A$23:T$1111,4,TRUE)</f>
        <v>#N/A</v>
      </c>
      <c r="I9" s="174" t="e">
        <f>VLOOKUP(5,Order!A$23:T$1111,2,TRUE)</f>
        <v>#N/A</v>
      </c>
      <c r="J9" s="174" t="e">
        <f>VLOOKUP(5,Order!A$23:T$1111,18,TRUE)</f>
        <v>#N/A</v>
      </c>
      <c r="K9" s="174" t="e">
        <f>VLOOKUP(5,Order!A$23:T$1111,20,TRUE)</f>
        <v>#N/A</v>
      </c>
      <c r="L9" s="177"/>
      <c r="M9" s="177"/>
      <c r="N9" s="177"/>
      <c r="O9" s="177"/>
      <c r="P9" s="177"/>
      <c r="Q9" s="177"/>
      <c r="R9" s="177"/>
      <c r="S9" s="177"/>
      <c r="T9" s="177"/>
    </row>
    <row r="10" spans="1:20" x14ac:dyDescent="0.15">
      <c r="A10" s="179" t="e">
        <f t="shared" si="0"/>
        <v>#N/A</v>
      </c>
      <c r="B10" s="183" t="e">
        <f t="shared" si="1"/>
        <v>#N/A</v>
      </c>
      <c r="C10" s="184" t="e">
        <f t="shared" si="2"/>
        <v>#N/A</v>
      </c>
      <c r="D10" s="185" t="e">
        <f t="shared" si="3"/>
        <v>#N/A</v>
      </c>
      <c r="E10" s="177"/>
      <c r="F10" s="177"/>
      <c r="G10" s="177"/>
      <c r="H10" s="174" t="e">
        <f>VLOOKUP(6,Order!A$23:T$1111,4,TRUE)</f>
        <v>#N/A</v>
      </c>
      <c r="I10" s="174" t="e">
        <f>VLOOKUP(6,Order!A$23:T$1111,2,TRUE)</f>
        <v>#N/A</v>
      </c>
      <c r="J10" s="174" t="e">
        <f>VLOOKUP(6,Order!A$23:T$1111,18,TRUE)</f>
        <v>#N/A</v>
      </c>
      <c r="K10" s="174" t="e">
        <f>VLOOKUP(6,Order!A$23:T$1111,20,TRUE)</f>
        <v>#N/A</v>
      </c>
      <c r="L10" s="177"/>
      <c r="M10" s="177"/>
      <c r="N10" s="177"/>
      <c r="O10" s="177"/>
      <c r="P10" s="177"/>
      <c r="Q10" s="177"/>
      <c r="R10" s="177"/>
      <c r="S10" s="177"/>
      <c r="T10" s="177"/>
    </row>
    <row r="11" spans="1:20" x14ac:dyDescent="0.15">
      <c r="A11" s="179" t="e">
        <f t="shared" si="0"/>
        <v>#N/A</v>
      </c>
      <c r="B11" s="183" t="e">
        <f t="shared" si="1"/>
        <v>#N/A</v>
      </c>
      <c r="C11" s="184" t="e">
        <f t="shared" si="2"/>
        <v>#N/A</v>
      </c>
      <c r="D11" s="185" t="e">
        <f t="shared" si="3"/>
        <v>#N/A</v>
      </c>
      <c r="E11" s="177"/>
      <c r="F11" s="177"/>
      <c r="G11" s="177"/>
      <c r="H11" s="174" t="e">
        <f>VLOOKUP(7,Order!A$23:T$1111,4,TRUE)</f>
        <v>#N/A</v>
      </c>
      <c r="I11" s="174" t="e">
        <f>VLOOKUP(7,Order!A$23:T$1111,2,TRUE)</f>
        <v>#N/A</v>
      </c>
      <c r="J11" s="174" t="e">
        <f>VLOOKUP(7,Order!A$23:T$1111,18,TRUE)</f>
        <v>#N/A</v>
      </c>
      <c r="K11" s="174" t="e">
        <f>VLOOKUP(7,Order!A$23:T$1111,20,TRUE)</f>
        <v>#N/A</v>
      </c>
      <c r="L11" s="177"/>
      <c r="M11" s="177"/>
      <c r="N11" s="177"/>
      <c r="O11" s="177"/>
      <c r="P11" s="177"/>
      <c r="Q11" s="177"/>
      <c r="R11" s="177"/>
      <c r="S11" s="177"/>
      <c r="T11" s="177"/>
    </row>
    <row r="12" spans="1:20" x14ac:dyDescent="0.15">
      <c r="A12" s="179" t="e">
        <f t="shared" si="0"/>
        <v>#N/A</v>
      </c>
      <c r="B12" s="183" t="e">
        <f t="shared" si="1"/>
        <v>#N/A</v>
      </c>
      <c r="C12" s="184" t="e">
        <f t="shared" si="2"/>
        <v>#N/A</v>
      </c>
      <c r="D12" s="185" t="e">
        <f t="shared" si="3"/>
        <v>#N/A</v>
      </c>
      <c r="E12" s="177"/>
      <c r="F12" s="177"/>
      <c r="G12" s="177"/>
      <c r="H12" s="174" t="e">
        <f>VLOOKUP(8,Order!A$23:T$1111,4,TRUE)</f>
        <v>#N/A</v>
      </c>
      <c r="I12" s="174" t="e">
        <f>VLOOKUP(8,Order!A$23:T$1111,2,TRUE)</f>
        <v>#N/A</v>
      </c>
      <c r="J12" s="174" t="e">
        <f>VLOOKUP(8,Order!A$23:T$1111,18,TRUE)</f>
        <v>#N/A</v>
      </c>
      <c r="K12" s="174" t="e">
        <f>VLOOKUP(8,Order!A$23:T$1111,20,TRUE)</f>
        <v>#N/A</v>
      </c>
      <c r="L12" s="177"/>
      <c r="M12" s="177"/>
      <c r="N12" s="177"/>
      <c r="O12" s="177"/>
      <c r="P12" s="177"/>
      <c r="Q12" s="177"/>
      <c r="R12" s="177"/>
      <c r="S12" s="177"/>
      <c r="T12" s="177"/>
    </row>
    <row r="13" spans="1:20" x14ac:dyDescent="0.15">
      <c r="A13" s="179" t="e">
        <f t="shared" si="0"/>
        <v>#N/A</v>
      </c>
      <c r="B13" s="183" t="e">
        <f t="shared" si="1"/>
        <v>#N/A</v>
      </c>
      <c r="C13" s="184" t="e">
        <f t="shared" si="2"/>
        <v>#N/A</v>
      </c>
      <c r="D13" s="185" t="e">
        <f t="shared" si="3"/>
        <v>#N/A</v>
      </c>
      <c r="E13" s="177"/>
      <c r="F13" s="177"/>
      <c r="G13" s="177"/>
      <c r="H13" s="174" t="e">
        <f>VLOOKUP(9,Order!A$23:T$1111,4,TRUE)</f>
        <v>#N/A</v>
      </c>
      <c r="I13" s="174" t="e">
        <f>VLOOKUP(9,Order!A$23:T$1111,2,TRUE)</f>
        <v>#N/A</v>
      </c>
      <c r="J13" s="174" t="e">
        <f>VLOOKUP(9,Order!A$23:T$1111,18,TRUE)</f>
        <v>#N/A</v>
      </c>
      <c r="K13" s="174" t="e">
        <f>VLOOKUP(9,Order!A$23:T$1111,20,TRUE)</f>
        <v>#N/A</v>
      </c>
      <c r="L13" s="177"/>
      <c r="M13" s="177"/>
      <c r="N13" s="177"/>
      <c r="O13" s="177"/>
      <c r="P13" s="177"/>
      <c r="Q13" s="177"/>
      <c r="R13" s="177"/>
      <c r="S13" s="177"/>
      <c r="T13" s="177"/>
    </row>
    <row r="14" spans="1:20" x14ac:dyDescent="0.15">
      <c r="A14" s="179" t="e">
        <f t="shared" si="0"/>
        <v>#N/A</v>
      </c>
      <c r="B14" s="183" t="e">
        <f t="shared" si="1"/>
        <v>#N/A</v>
      </c>
      <c r="C14" s="184" t="e">
        <f t="shared" si="2"/>
        <v>#N/A</v>
      </c>
      <c r="D14" s="185" t="e">
        <f t="shared" si="3"/>
        <v>#N/A</v>
      </c>
      <c r="E14" s="177"/>
      <c r="F14" s="177"/>
      <c r="G14" s="177"/>
      <c r="H14" s="174" t="e">
        <f>VLOOKUP(10,Order!A$23:T$1111,4,TRUE)</f>
        <v>#N/A</v>
      </c>
      <c r="I14" s="174" t="e">
        <f>VLOOKUP(10,Order!A$23:T$1111,2,TRUE)</f>
        <v>#N/A</v>
      </c>
      <c r="J14" s="174" t="e">
        <f>VLOOKUP(10,Order!A$23:T$1111,18,TRUE)</f>
        <v>#N/A</v>
      </c>
      <c r="K14" s="174" t="e">
        <f>VLOOKUP(10,Order!A$23:T$1111,20,TRUE)</f>
        <v>#N/A</v>
      </c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20" x14ac:dyDescent="0.15">
      <c r="A15" s="179" t="e">
        <f t="shared" si="0"/>
        <v>#N/A</v>
      </c>
      <c r="B15" s="183" t="e">
        <f t="shared" si="1"/>
        <v>#N/A</v>
      </c>
      <c r="C15" s="184" t="e">
        <f t="shared" si="2"/>
        <v>#N/A</v>
      </c>
      <c r="D15" s="185" t="e">
        <f t="shared" si="3"/>
        <v>#N/A</v>
      </c>
      <c r="E15" s="177"/>
      <c r="F15" s="177"/>
      <c r="G15" s="177"/>
      <c r="H15" s="174" t="e">
        <f>VLOOKUP(11,Order!A$23:T$1111,4,TRUE)</f>
        <v>#N/A</v>
      </c>
      <c r="I15" s="174" t="e">
        <f>VLOOKUP(11,Order!A$23:T$1111,2,TRUE)</f>
        <v>#N/A</v>
      </c>
      <c r="J15" s="174" t="e">
        <f>VLOOKUP(11,Order!A$23:T$1111,18,TRUE)</f>
        <v>#N/A</v>
      </c>
      <c r="K15" s="174" t="e">
        <f>VLOOKUP(11,Order!A$23:T$1111,20,TRUE)</f>
        <v>#N/A</v>
      </c>
      <c r="L15" s="177"/>
      <c r="M15" s="177"/>
      <c r="N15" s="177"/>
      <c r="O15" s="177"/>
      <c r="P15" s="177"/>
      <c r="Q15" s="177"/>
      <c r="R15" s="177"/>
      <c r="S15" s="177"/>
      <c r="T15" s="177"/>
    </row>
    <row r="16" spans="1:20" x14ac:dyDescent="0.15">
      <c r="A16" s="179" t="e">
        <f t="shared" si="0"/>
        <v>#N/A</v>
      </c>
      <c r="B16" s="183" t="e">
        <f t="shared" si="1"/>
        <v>#N/A</v>
      </c>
      <c r="C16" s="184" t="e">
        <f t="shared" si="2"/>
        <v>#N/A</v>
      </c>
      <c r="D16" s="185" t="e">
        <f t="shared" si="3"/>
        <v>#N/A</v>
      </c>
      <c r="E16" s="177"/>
      <c r="F16" s="177"/>
      <c r="G16" s="177"/>
      <c r="H16" s="174" t="e">
        <f>VLOOKUP(12,Order!A$23:T$1111,4,TRUE)</f>
        <v>#N/A</v>
      </c>
      <c r="I16" s="174" t="e">
        <f>VLOOKUP(12,Order!A$23:T$1111,2,TRUE)</f>
        <v>#N/A</v>
      </c>
      <c r="J16" s="174" t="e">
        <f>VLOOKUP(12,Order!A$23:T$1111,18,TRUE)</f>
        <v>#N/A</v>
      </c>
      <c r="K16" s="174" t="e">
        <f>VLOOKUP(12,Order!A$23:T$1111,20,TRUE)</f>
        <v>#N/A</v>
      </c>
      <c r="L16" s="177"/>
      <c r="M16" s="177"/>
      <c r="N16" s="177"/>
      <c r="O16" s="177"/>
      <c r="P16" s="177"/>
      <c r="Q16" s="177"/>
      <c r="R16" s="177"/>
      <c r="S16" s="177"/>
      <c r="T16" s="177"/>
    </row>
    <row r="17" spans="1:20" x14ac:dyDescent="0.15">
      <c r="A17" s="179" t="e">
        <f t="shared" si="0"/>
        <v>#N/A</v>
      </c>
      <c r="B17" s="183" t="e">
        <f t="shared" si="1"/>
        <v>#N/A</v>
      </c>
      <c r="C17" s="184" t="e">
        <f t="shared" si="2"/>
        <v>#N/A</v>
      </c>
      <c r="D17" s="185" t="e">
        <f t="shared" si="3"/>
        <v>#N/A</v>
      </c>
      <c r="E17" s="177"/>
      <c r="F17" s="177"/>
      <c r="G17" s="177"/>
      <c r="H17" s="174" t="e">
        <f>VLOOKUP(13,Order!A$23:T$1111,4,TRUE)</f>
        <v>#N/A</v>
      </c>
      <c r="I17" s="174" t="e">
        <f>VLOOKUP(13,Order!A$23:T$1111,2,TRUE)</f>
        <v>#N/A</v>
      </c>
      <c r="J17" s="174" t="e">
        <f>VLOOKUP(13,Order!A$23:T$1111,18,TRUE)</f>
        <v>#N/A</v>
      </c>
      <c r="K17" s="174" t="e">
        <f>VLOOKUP(13,Order!A$23:T$1111,20,TRUE)</f>
        <v>#N/A</v>
      </c>
      <c r="L17" s="177"/>
      <c r="M17" s="177"/>
      <c r="N17" s="177"/>
      <c r="O17" s="177"/>
      <c r="P17" s="177"/>
      <c r="Q17" s="177"/>
      <c r="R17" s="177"/>
      <c r="S17" s="177"/>
      <c r="T17" s="177"/>
    </row>
    <row r="18" spans="1:20" x14ac:dyDescent="0.15">
      <c r="A18" s="179" t="e">
        <f t="shared" si="0"/>
        <v>#N/A</v>
      </c>
      <c r="B18" s="183" t="e">
        <f t="shared" si="1"/>
        <v>#N/A</v>
      </c>
      <c r="C18" s="184" t="e">
        <f t="shared" si="2"/>
        <v>#N/A</v>
      </c>
      <c r="D18" s="185" t="e">
        <f t="shared" si="3"/>
        <v>#N/A</v>
      </c>
      <c r="E18" s="177"/>
      <c r="F18" s="177"/>
      <c r="G18" s="177"/>
      <c r="H18" s="174" t="e">
        <f>VLOOKUP(14,Order!A$23:T$1111,4,TRUE)</f>
        <v>#N/A</v>
      </c>
      <c r="I18" s="174" t="e">
        <f>VLOOKUP(14,Order!A$23:T$1111,2,TRUE)</f>
        <v>#N/A</v>
      </c>
      <c r="J18" s="174" t="e">
        <f>VLOOKUP(14,Order!A$23:T$1111,18,TRUE)</f>
        <v>#N/A</v>
      </c>
      <c r="K18" s="174" t="e">
        <f>VLOOKUP(14,Order!A$23:T$1111,20,TRUE)</f>
        <v>#N/A</v>
      </c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x14ac:dyDescent="0.15">
      <c r="A19" s="179" t="e">
        <f t="shared" si="0"/>
        <v>#N/A</v>
      </c>
      <c r="B19" s="183" t="e">
        <f t="shared" si="1"/>
        <v>#N/A</v>
      </c>
      <c r="C19" s="184" t="e">
        <f t="shared" si="2"/>
        <v>#N/A</v>
      </c>
      <c r="D19" s="185" t="e">
        <f t="shared" si="3"/>
        <v>#N/A</v>
      </c>
      <c r="E19" s="177"/>
      <c r="F19" s="177"/>
      <c r="G19" s="177"/>
      <c r="H19" s="174" t="e">
        <f>VLOOKUP(15,Order!A$23:T$1111,4,TRUE)</f>
        <v>#N/A</v>
      </c>
      <c r="I19" s="174" t="e">
        <f>VLOOKUP(15,Order!A$23:T$1111,2,TRUE)</f>
        <v>#N/A</v>
      </c>
      <c r="J19" s="174" t="e">
        <f>VLOOKUP(15,Order!A$23:T$1111,18,TRUE)</f>
        <v>#N/A</v>
      </c>
      <c r="K19" s="174" t="e">
        <f>VLOOKUP(15,Order!A$23:T$1111,20,TRUE)</f>
        <v>#N/A</v>
      </c>
      <c r="L19" s="177"/>
      <c r="M19" s="177"/>
      <c r="N19" s="177"/>
      <c r="O19" s="177"/>
      <c r="P19" s="177"/>
      <c r="Q19" s="177"/>
      <c r="R19" s="177"/>
      <c r="S19" s="177"/>
      <c r="T19" s="177"/>
    </row>
    <row r="20" spans="1:20" x14ac:dyDescent="0.15">
      <c r="A20" s="179" t="e">
        <f t="shared" si="0"/>
        <v>#N/A</v>
      </c>
      <c r="B20" s="183" t="e">
        <f t="shared" si="1"/>
        <v>#N/A</v>
      </c>
      <c r="C20" s="184" t="e">
        <f t="shared" si="2"/>
        <v>#N/A</v>
      </c>
      <c r="D20" s="185" t="e">
        <f t="shared" si="3"/>
        <v>#N/A</v>
      </c>
      <c r="E20" s="177"/>
      <c r="F20" s="177"/>
      <c r="G20" s="177"/>
      <c r="H20" s="174" t="e">
        <f>VLOOKUP(16,Order!A$23:T$1111,4,TRUE)</f>
        <v>#N/A</v>
      </c>
      <c r="I20" s="174" t="e">
        <f>VLOOKUP(16,Order!A$23:T$1111,2,TRUE)</f>
        <v>#N/A</v>
      </c>
      <c r="J20" s="174" t="e">
        <f>VLOOKUP(16,Order!A$23:T$1111,18,TRUE)</f>
        <v>#N/A</v>
      </c>
      <c r="K20" s="174" t="e">
        <f>VLOOKUP(16,Order!A$23:T$1111,20,TRUE)</f>
        <v>#N/A</v>
      </c>
      <c r="L20" s="177"/>
      <c r="M20" s="177"/>
      <c r="N20" s="177"/>
      <c r="O20" s="177"/>
      <c r="P20" s="177"/>
      <c r="Q20" s="177"/>
      <c r="R20" s="177"/>
      <c r="S20" s="177"/>
      <c r="T20" s="177"/>
    </row>
    <row r="21" spans="1:20" x14ac:dyDescent="0.15">
      <c r="A21" s="179" t="e">
        <f t="shared" si="0"/>
        <v>#N/A</v>
      </c>
      <c r="B21" s="183" t="e">
        <f t="shared" si="1"/>
        <v>#N/A</v>
      </c>
      <c r="C21" s="184" t="e">
        <f t="shared" si="2"/>
        <v>#N/A</v>
      </c>
      <c r="D21" s="185" t="e">
        <f t="shared" si="3"/>
        <v>#N/A</v>
      </c>
      <c r="E21" s="177"/>
      <c r="F21" s="177"/>
      <c r="G21" s="177"/>
      <c r="H21" s="174" t="e">
        <f>VLOOKUP(17,Order!A$23:T$1111,4,TRUE)</f>
        <v>#N/A</v>
      </c>
      <c r="I21" s="174" t="e">
        <f>VLOOKUP(17,Order!A$23:T$1111,2,TRUE)</f>
        <v>#N/A</v>
      </c>
      <c r="J21" s="174" t="e">
        <f>VLOOKUP(17,Order!A$23:T$1111,18,TRUE)</f>
        <v>#N/A</v>
      </c>
      <c r="K21" s="174" t="e">
        <f>VLOOKUP(17,Order!A$23:T$1111,20,TRUE)</f>
        <v>#N/A</v>
      </c>
      <c r="L21" s="177"/>
      <c r="M21" s="177"/>
      <c r="N21" s="177"/>
      <c r="O21" s="177"/>
      <c r="P21" s="177"/>
      <c r="Q21" s="177"/>
      <c r="R21" s="177"/>
      <c r="S21" s="177"/>
      <c r="T21" s="177"/>
    </row>
    <row r="22" spans="1:20" x14ac:dyDescent="0.15">
      <c r="A22" s="179" t="e">
        <f t="shared" si="0"/>
        <v>#N/A</v>
      </c>
      <c r="B22" s="183" t="e">
        <f t="shared" si="1"/>
        <v>#N/A</v>
      </c>
      <c r="C22" s="184" t="e">
        <f t="shared" si="2"/>
        <v>#N/A</v>
      </c>
      <c r="D22" s="185" t="e">
        <f t="shared" si="3"/>
        <v>#N/A</v>
      </c>
      <c r="E22" s="177"/>
      <c r="F22" s="177"/>
      <c r="G22" s="177"/>
      <c r="H22" s="174" t="e">
        <f>VLOOKUP(18,Order!A$23:T$1111,4,TRUE)</f>
        <v>#N/A</v>
      </c>
      <c r="I22" s="174" t="e">
        <f>VLOOKUP(18,Order!A$23:T$1111,2,TRUE)</f>
        <v>#N/A</v>
      </c>
      <c r="J22" s="174" t="e">
        <f>VLOOKUP(18,Order!A$23:T$1111,18,TRUE)</f>
        <v>#N/A</v>
      </c>
      <c r="K22" s="174" t="e">
        <f>VLOOKUP(18,Order!A$23:T$1111,20,TRUE)</f>
        <v>#N/A</v>
      </c>
      <c r="L22" s="177"/>
      <c r="M22" s="177"/>
      <c r="N22" s="177"/>
      <c r="O22" s="177"/>
      <c r="P22" s="177"/>
      <c r="Q22" s="177"/>
      <c r="R22" s="177"/>
      <c r="S22" s="177"/>
      <c r="T22" s="177"/>
    </row>
    <row r="23" spans="1:20" x14ac:dyDescent="0.15">
      <c r="A23" s="179" t="e">
        <f t="shared" si="0"/>
        <v>#N/A</v>
      </c>
      <c r="B23" s="183" t="e">
        <f t="shared" si="1"/>
        <v>#N/A</v>
      </c>
      <c r="C23" s="184" t="e">
        <f t="shared" si="2"/>
        <v>#N/A</v>
      </c>
      <c r="D23" s="185" t="e">
        <f t="shared" si="3"/>
        <v>#N/A</v>
      </c>
      <c r="E23" s="177"/>
      <c r="F23" s="177"/>
      <c r="G23" s="177"/>
      <c r="H23" s="174" t="e">
        <f>VLOOKUP(19,Order!A$23:T$1111,4,TRUE)</f>
        <v>#N/A</v>
      </c>
      <c r="I23" s="174" t="e">
        <f>VLOOKUP(19,Order!A$23:T$1111,2,TRUE)</f>
        <v>#N/A</v>
      </c>
      <c r="J23" s="174" t="e">
        <f>VLOOKUP(19,Order!A$23:T$1111,18,TRUE)</f>
        <v>#N/A</v>
      </c>
      <c r="K23" s="174" t="e">
        <f>VLOOKUP(19,Order!A$23:T$1111,20,TRUE)</f>
        <v>#N/A</v>
      </c>
      <c r="L23" s="177"/>
      <c r="M23" s="177"/>
      <c r="N23" s="177"/>
      <c r="O23" s="177"/>
      <c r="P23" s="177"/>
      <c r="Q23" s="177"/>
      <c r="R23" s="177"/>
      <c r="S23" s="177"/>
      <c r="T23" s="177"/>
    </row>
    <row r="24" spans="1:20" x14ac:dyDescent="0.15">
      <c r="A24" s="179" t="e">
        <f t="shared" si="0"/>
        <v>#N/A</v>
      </c>
      <c r="B24" s="183" t="e">
        <f t="shared" si="1"/>
        <v>#N/A</v>
      </c>
      <c r="C24" s="184" t="e">
        <f t="shared" si="2"/>
        <v>#N/A</v>
      </c>
      <c r="D24" s="185" t="e">
        <f t="shared" si="3"/>
        <v>#N/A</v>
      </c>
      <c r="E24" s="177"/>
      <c r="F24" s="177"/>
      <c r="G24" s="177"/>
      <c r="H24" s="174" t="e">
        <f>VLOOKUP(20,Order!A$23:T$1111,4,TRUE)</f>
        <v>#N/A</v>
      </c>
      <c r="I24" s="174" t="e">
        <f>VLOOKUP(20,Order!A$23:T$1111,2,TRUE)</f>
        <v>#N/A</v>
      </c>
      <c r="J24" s="174" t="e">
        <f>VLOOKUP(20,Order!A$23:T$1111,18,TRUE)</f>
        <v>#N/A</v>
      </c>
      <c r="K24" s="174" t="e">
        <f>VLOOKUP(20,Order!A$23:T$1111,20,TRUE)</f>
        <v>#N/A</v>
      </c>
      <c r="L24" s="177"/>
      <c r="M24" s="177"/>
      <c r="N24" s="177"/>
      <c r="O24" s="177"/>
      <c r="P24" s="177"/>
      <c r="Q24" s="177"/>
      <c r="R24" s="177"/>
      <c r="S24" s="177"/>
      <c r="T24" s="177"/>
    </row>
    <row r="25" spans="1:20" x14ac:dyDescent="0.15">
      <c r="A25" s="179" t="e">
        <f t="shared" si="0"/>
        <v>#N/A</v>
      </c>
      <c r="B25" s="183" t="e">
        <f>IF(H25=H24,"",H25)</f>
        <v>#N/A</v>
      </c>
      <c r="C25" s="184" t="e">
        <f t="shared" si="2"/>
        <v>#N/A</v>
      </c>
      <c r="D25" s="185" t="e">
        <f t="shared" si="3"/>
        <v>#N/A</v>
      </c>
      <c r="E25" s="177"/>
      <c r="F25" s="177"/>
      <c r="G25" s="177"/>
      <c r="H25" s="174" t="e">
        <f>VLOOKUP(21,Order!A$23:T$1111,4,TRUE)</f>
        <v>#N/A</v>
      </c>
      <c r="I25" s="174" t="e">
        <f>VLOOKUP(21,Order!A$23:T$1111,2,TRUE)</f>
        <v>#N/A</v>
      </c>
      <c r="J25" s="174" t="e">
        <f>VLOOKUP(21,Order!A$23:T$1111,18,TRUE)</f>
        <v>#N/A</v>
      </c>
      <c r="K25" s="174" t="e">
        <f>VLOOKUP(21,Order!A$23:T$1111,20,TRUE)</f>
        <v>#N/A</v>
      </c>
      <c r="L25" s="177"/>
      <c r="M25" s="177"/>
      <c r="N25" s="177"/>
      <c r="O25" s="177"/>
      <c r="P25" s="177"/>
      <c r="Q25" s="177"/>
      <c r="R25" s="177"/>
      <c r="S25" s="177"/>
      <c r="T25" s="177"/>
    </row>
    <row r="26" spans="1:20" x14ac:dyDescent="0.15">
      <c r="A26" s="179" t="e">
        <f t="shared" si="0"/>
        <v>#N/A</v>
      </c>
      <c r="B26" s="183" t="e">
        <f t="shared" si="1"/>
        <v>#N/A</v>
      </c>
      <c r="C26" s="184" t="e">
        <f t="shared" si="2"/>
        <v>#N/A</v>
      </c>
      <c r="D26" s="185" t="e">
        <f t="shared" si="3"/>
        <v>#N/A</v>
      </c>
      <c r="E26" s="177"/>
      <c r="F26" s="177"/>
      <c r="G26" s="177"/>
      <c r="H26" s="174" t="e">
        <f>VLOOKUP(22,Order!A$23:T$1111,4,TRUE)</f>
        <v>#N/A</v>
      </c>
      <c r="I26" s="174" t="e">
        <f>VLOOKUP(22,Order!A$23:T$1111,2,TRUE)</f>
        <v>#N/A</v>
      </c>
      <c r="J26" s="174" t="e">
        <f>VLOOKUP(22,Order!A$23:T$1111,18,TRUE)</f>
        <v>#N/A</v>
      </c>
      <c r="K26" s="174" t="e">
        <f>VLOOKUP(22,Order!A$23:T$1111,20,TRUE)</f>
        <v>#N/A</v>
      </c>
      <c r="L26" s="177"/>
      <c r="M26" s="177"/>
      <c r="N26" s="177"/>
      <c r="O26" s="177"/>
      <c r="P26" s="177"/>
      <c r="Q26" s="177"/>
      <c r="R26" s="177"/>
      <c r="S26" s="177"/>
      <c r="T26" s="177"/>
    </row>
    <row r="27" spans="1:20" x14ac:dyDescent="0.15">
      <c r="A27" s="179" t="e">
        <f t="shared" si="0"/>
        <v>#N/A</v>
      </c>
      <c r="B27" s="183" t="e">
        <f t="shared" si="1"/>
        <v>#N/A</v>
      </c>
      <c r="C27" s="184" t="e">
        <f t="shared" si="2"/>
        <v>#N/A</v>
      </c>
      <c r="D27" s="185" t="e">
        <f t="shared" si="3"/>
        <v>#N/A</v>
      </c>
      <c r="E27" s="177"/>
      <c r="F27" s="177"/>
      <c r="G27" s="177"/>
      <c r="H27" s="174" t="e">
        <f>VLOOKUP(23,Order!A$23:T$1111,4,TRUE)</f>
        <v>#N/A</v>
      </c>
      <c r="I27" s="174" t="e">
        <f>VLOOKUP(23,Order!A$23:T$1111,2,TRUE)</f>
        <v>#N/A</v>
      </c>
      <c r="J27" s="174" t="e">
        <f>VLOOKUP(23,Order!A$23:T$1111,18,TRUE)</f>
        <v>#N/A</v>
      </c>
      <c r="K27" s="174" t="e">
        <f>VLOOKUP(23,Order!A$23:T$1111,20,TRUE)</f>
        <v>#N/A</v>
      </c>
      <c r="L27" s="177"/>
      <c r="M27" s="177"/>
      <c r="N27" s="177"/>
      <c r="O27" s="177"/>
      <c r="P27" s="177"/>
      <c r="Q27" s="177"/>
      <c r="R27" s="177"/>
      <c r="S27" s="174"/>
      <c r="T27" s="174"/>
    </row>
    <row r="28" spans="1:20" x14ac:dyDescent="0.15">
      <c r="A28" s="179" t="e">
        <f t="shared" si="0"/>
        <v>#N/A</v>
      </c>
      <c r="B28" s="183" t="e">
        <f t="shared" si="1"/>
        <v>#N/A</v>
      </c>
      <c r="C28" s="184" t="e">
        <f t="shared" si="2"/>
        <v>#N/A</v>
      </c>
      <c r="D28" s="185" t="e">
        <f t="shared" si="3"/>
        <v>#N/A</v>
      </c>
      <c r="E28" s="177"/>
      <c r="F28" s="177"/>
      <c r="G28" s="177"/>
      <c r="H28" s="174" t="e">
        <f>VLOOKUP(24,Order!A$23:T$1111,4,TRUE)</f>
        <v>#N/A</v>
      </c>
      <c r="I28" s="174" t="e">
        <f>VLOOKUP(24,Order!A$23:T$1111,2,TRUE)</f>
        <v>#N/A</v>
      </c>
      <c r="J28" s="174" t="e">
        <f>VLOOKUP(24,Order!A$23:T$1111,18,TRUE)</f>
        <v>#N/A</v>
      </c>
      <c r="K28" s="174" t="e">
        <f>VLOOKUP(24,Order!A$23:T$1111,20,TRUE)</f>
        <v>#N/A</v>
      </c>
      <c r="L28" s="177"/>
      <c r="M28" s="177"/>
      <c r="N28" s="177"/>
      <c r="O28" s="177"/>
      <c r="P28" s="177"/>
      <c r="Q28" s="177"/>
      <c r="R28" s="177"/>
      <c r="S28" s="174"/>
      <c r="T28" s="174"/>
    </row>
    <row r="29" spans="1:20" x14ac:dyDescent="0.15">
      <c r="A29" s="179" t="e">
        <f t="shared" si="0"/>
        <v>#N/A</v>
      </c>
      <c r="B29" s="183" t="e">
        <f t="shared" si="1"/>
        <v>#N/A</v>
      </c>
      <c r="C29" s="184" t="e">
        <f t="shared" si="2"/>
        <v>#N/A</v>
      </c>
      <c r="D29" s="185" t="e">
        <f t="shared" si="3"/>
        <v>#N/A</v>
      </c>
      <c r="E29" s="177"/>
      <c r="F29" s="177"/>
      <c r="G29" s="177"/>
      <c r="H29" s="174" t="e">
        <f>VLOOKUP(25,Order!A$23:T$1111,4,TRUE)</f>
        <v>#N/A</v>
      </c>
      <c r="I29" s="174" t="e">
        <f>VLOOKUP(25,Order!A$23:T$1111,2,TRUE)</f>
        <v>#N/A</v>
      </c>
      <c r="J29" s="174" t="e">
        <f>VLOOKUP(25,Order!A$23:T$1111,18,TRUE)</f>
        <v>#N/A</v>
      </c>
      <c r="K29" s="174" t="e">
        <f>VLOOKUP(25,Order!A$23:T$1111,20,TRUE)</f>
        <v>#N/A</v>
      </c>
      <c r="L29" s="177"/>
      <c r="M29" s="177"/>
      <c r="N29" s="177"/>
      <c r="O29" s="177"/>
      <c r="P29" s="177"/>
      <c r="Q29" s="177"/>
      <c r="R29" s="177"/>
      <c r="S29" s="174"/>
      <c r="T29" s="174"/>
    </row>
    <row r="30" spans="1:20" x14ac:dyDescent="0.15">
      <c r="A30" s="179" t="e">
        <f t="shared" si="0"/>
        <v>#N/A</v>
      </c>
      <c r="B30" s="183" t="e">
        <f t="shared" si="1"/>
        <v>#N/A</v>
      </c>
      <c r="C30" s="184" t="e">
        <f t="shared" si="2"/>
        <v>#N/A</v>
      </c>
      <c r="D30" s="185" t="e">
        <f t="shared" si="3"/>
        <v>#N/A</v>
      </c>
      <c r="E30" s="177"/>
      <c r="F30" s="177"/>
      <c r="G30" s="177"/>
      <c r="H30" s="174" t="e">
        <f>VLOOKUP(26,Order!A$23:T$1111,4,TRUE)</f>
        <v>#N/A</v>
      </c>
      <c r="I30" s="174" t="e">
        <f>VLOOKUP(26,Order!A$23:T$1111,2,TRUE)</f>
        <v>#N/A</v>
      </c>
      <c r="J30" s="174" t="e">
        <f>VLOOKUP(26,Order!A$23:T$1111,18,TRUE)</f>
        <v>#N/A</v>
      </c>
      <c r="K30" s="174" t="e">
        <f>VLOOKUP(26,Order!A$23:T$1111,20,TRUE)</f>
        <v>#N/A</v>
      </c>
      <c r="L30" s="177"/>
      <c r="M30" s="177"/>
      <c r="N30" s="177"/>
      <c r="O30" s="177"/>
      <c r="P30" s="177"/>
      <c r="Q30" s="177"/>
      <c r="R30" s="177"/>
      <c r="S30" s="174"/>
      <c r="T30" s="174"/>
    </row>
    <row r="31" spans="1:20" x14ac:dyDescent="0.15">
      <c r="A31" s="179" t="e">
        <f t="shared" si="0"/>
        <v>#N/A</v>
      </c>
      <c r="B31" s="183" t="e">
        <f t="shared" si="1"/>
        <v>#N/A</v>
      </c>
      <c r="C31" s="184" t="e">
        <f t="shared" si="2"/>
        <v>#N/A</v>
      </c>
      <c r="D31" s="185" t="e">
        <f t="shared" si="3"/>
        <v>#N/A</v>
      </c>
      <c r="E31" s="177"/>
      <c r="F31" s="177"/>
      <c r="G31" s="177"/>
      <c r="H31" s="174" t="e">
        <f>VLOOKUP(27,Order!A$23:T$1111,4,TRUE)</f>
        <v>#N/A</v>
      </c>
      <c r="I31" s="174" t="e">
        <f>VLOOKUP(27,Order!A$23:T$1111,2,TRUE)</f>
        <v>#N/A</v>
      </c>
      <c r="J31" s="174" t="e">
        <f>VLOOKUP(27,Order!A$23:T$1111,18,TRUE)</f>
        <v>#N/A</v>
      </c>
      <c r="K31" s="174" t="e">
        <f>VLOOKUP(27,Order!A$23:T$1111,20,TRUE)</f>
        <v>#N/A</v>
      </c>
      <c r="L31" s="177"/>
      <c r="M31" s="177"/>
      <c r="N31" s="177"/>
      <c r="O31" s="177"/>
      <c r="P31" s="177"/>
      <c r="Q31" s="177"/>
      <c r="R31" s="177"/>
      <c r="S31" s="174"/>
      <c r="T31" s="174"/>
    </row>
    <row r="32" spans="1:20" x14ac:dyDescent="0.15">
      <c r="A32" s="179" t="e">
        <f t="shared" si="0"/>
        <v>#N/A</v>
      </c>
      <c r="B32" s="183" t="e">
        <f t="shared" si="1"/>
        <v>#N/A</v>
      </c>
      <c r="C32" s="184" t="e">
        <f t="shared" si="2"/>
        <v>#N/A</v>
      </c>
      <c r="D32" s="185" t="e">
        <f t="shared" si="3"/>
        <v>#N/A</v>
      </c>
      <c r="E32" s="177"/>
      <c r="F32" s="177"/>
      <c r="G32" s="177"/>
      <c r="H32" s="174" t="e">
        <f>VLOOKUP(28,Order!A$23:T$1111,4,TRUE)</f>
        <v>#N/A</v>
      </c>
      <c r="I32" s="174" t="e">
        <f>VLOOKUP(28,Order!A$23:T$1111,2,TRUE)</f>
        <v>#N/A</v>
      </c>
      <c r="J32" s="174" t="e">
        <f>VLOOKUP(28,Order!A$23:T$1111,18,TRUE)</f>
        <v>#N/A</v>
      </c>
      <c r="K32" s="174" t="e">
        <f>VLOOKUP(28,Order!A$23:T$1111,20,TRUE)</f>
        <v>#N/A</v>
      </c>
      <c r="L32" s="177"/>
      <c r="M32" s="177"/>
      <c r="N32" s="177"/>
      <c r="O32" s="177"/>
      <c r="P32" s="177"/>
      <c r="Q32" s="177"/>
      <c r="R32" s="177"/>
      <c r="S32" s="174"/>
      <c r="T32" s="174"/>
    </row>
    <row r="33" spans="1:20" x14ac:dyDescent="0.15">
      <c r="A33" s="179" t="e">
        <f t="shared" si="0"/>
        <v>#N/A</v>
      </c>
      <c r="B33" s="183" t="e">
        <f t="shared" si="1"/>
        <v>#N/A</v>
      </c>
      <c r="C33" s="184" t="e">
        <f t="shared" si="2"/>
        <v>#N/A</v>
      </c>
      <c r="D33" s="185" t="e">
        <f t="shared" si="3"/>
        <v>#N/A</v>
      </c>
      <c r="E33" s="177"/>
      <c r="F33" s="177"/>
      <c r="G33" s="177"/>
      <c r="H33" s="174" t="e">
        <f>VLOOKUP(29,Order!A$23:T$1111,4,TRUE)</f>
        <v>#N/A</v>
      </c>
      <c r="I33" s="174" t="e">
        <f>VLOOKUP(29,Order!A$23:T$1111,2,TRUE)</f>
        <v>#N/A</v>
      </c>
      <c r="J33" s="174" t="e">
        <f>VLOOKUP(29,Order!A$23:T$1111,18,TRUE)</f>
        <v>#N/A</v>
      </c>
      <c r="K33" s="174" t="e">
        <f>VLOOKUP(29,Order!A$23:T$1111,20,TRUE)</f>
        <v>#N/A</v>
      </c>
      <c r="L33" s="177"/>
      <c r="M33" s="177"/>
      <c r="N33" s="177"/>
      <c r="O33" s="177"/>
      <c r="P33" s="177"/>
      <c r="Q33" s="177"/>
      <c r="R33" s="177"/>
      <c r="S33" s="174"/>
      <c r="T33" s="174"/>
    </row>
    <row r="34" spans="1:20" x14ac:dyDescent="0.15">
      <c r="A34" s="179" t="e">
        <f t="shared" si="0"/>
        <v>#N/A</v>
      </c>
      <c r="B34" s="183" t="e">
        <f t="shared" si="1"/>
        <v>#N/A</v>
      </c>
      <c r="C34" s="184" t="e">
        <f t="shared" si="2"/>
        <v>#N/A</v>
      </c>
      <c r="D34" s="185" t="e">
        <f t="shared" si="3"/>
        <v>#N/A</v>
      </c>
      <c r="E34" s="177"/>
      <c r="F34" s="177"/>
      <c r="G34" s="177"/>
      <c r="H34" s="174" t="e">
        <f>VLOOKUP(30,Order!A$23:T$1111,4,TRUE)</f>
        <v>#N/A</v>
      </c>
      <c r="I34" s="174" t="e">
        <f>VLOOKUP(30,Order!A$23:T$1111,2,TRUE)</f>
        <v>#N/A</v>
      </c>
      <c r="J34" s="174" t="e">
        <f>VLOOKUP(30,Order!A$23:T$1111,18,TRUE)</f>
        <v>#N/A</v>
      </c>
      <c r="K34" s="174" t="e">
        <f>VLOOKUP(30,Order!A$23:T$1111,20,TRUE)</f>
        <v>#N/A</v>
      </c>
      <c r="L34" s="177"/>
      <c r="M34" s="177"/>
      <c r="N34" s="177"/>
      <c r="O34" s="177"/>
      <c r="P34" s="177"/>
      <c r="Q34" s="177"/>
      <c r="R34" s="177"/>
      <c r="S34" s="174"/>
      <c r="T34" s="174"/>
    </row>
    <row r="35" spans="1:20" x14ac:dyDescent="0.15">
      <c r="A35" s="179" t="e">
        <f t="shared" si="0"/>
        <v>#N/A</v>
      </c>
      <c r="B35" s="183" t="e">
        <f t="shared" si="1"/>
        <v>#N/A</v>
      </c>
      <c r="C35" s="184" t="e">
        <f t="shared" si="2"/>
        <v>#N/A</v>
      </c>
      <c r="D35" s="185" t="e">
        <f t="shared" si="3"/>
        <v>#N/A</v>
      </c>
      <c r="E35" s="177"/>
      <c r="F35" s="177"/>
      <c r="G35" s="177"/>
      <c r="H35" s="174" t="e">
        <f>VLOOKUP(31,Order!A$23:T$1111,4,TRUE)</f>
        <v>#N/A</v>
      </c>
      <c r="I35" s="174" t="e">
        <f>VLOOKUP(31,Order!A$23:T$1111,2,TRUE)</f>
        <v>#N/A</v>
      </c>
      <c r="J35" s="174" t="e">
        <f>VLOOKUP(31,Order!A$23:T$1111,18,TRUE)</f>
        <v>#N/A</v>
      </c>
      <c r="K35" s="174" t="e">
        <f>VLOOKUP(31,Order!A$23:T$1111,20,TRUE)</f>
        <v>#N/A</v>
      </c>
      <c r="L35" s="177"/>
      <c r="M35" s="177"/>
      <c r="N35" s="177"/>
      <c r="O35" s="177"/>
      <c r="P35" s="177"/>
      <c r="Q35" s="177"/>
      <c r="R35" s="177"/>
      <c r="S35" s="174"/>
      <c r="T35" s="174"/>
    </row>
    <row r="36" spans="1:20" x14ac:dyDescent="0.15">
      <c r="A36" s="179" t="e">
        <f t="shared" si="0"/>
        <v>#N/A</v>
      </c>
      <c r="B36" s="183" t="e">
        <f t="shared" si="1"/>
        <v>#N/A</v>
      </c>
      <c r="C36" s="184" t="e">
        <f t="shared" si="2"/>
        <v>#N/A</v>
      </c>
      <c r="D36" s="185" t="e">
        <f t="shared" si="3"/>
        <v>#N/A</v>
      </c>
      <c r="E36" s="177"/>
      <c r="F36" s="177"/>
      <c r="G36" s="177"/>
      <c r="H36" s="174" t="e">
        <f>VLOOKUP(32,Order!A$23:T$1111,4,TRUE)</f>
        <v>#N/A</v>
      </c>
      <c r="I36" s="174" t="e">
        <f>VLOOKUP(32,Order!A$23:T$1111,2,TRUE)</f>
        <v>#N/A</v>
      </c>
      <c r="J36" s="174" t="e">
        <f>VLOOKUP(32,Order!A$23:T$1111,18,TRUE)</f>
        <v>#N/A</v>
      </c>
      <c r="K36" s="174" t="e">
        <f>VLOOKUP(32,Order!A$23:T$1111,20,TRUE)</f>
        <v>#N/A</v>
      </c>
      <c r="L36" s="177"/>
      <c r="M36" s="177"/>
      <c r="N36" s="177"/>
      <c r="O36" s="177"/>
      <c r="P36" s="177"/>
      <c r="Q36" s="177"/>
      <c r="R36" s="177"/>
      <c r="S36" s="174"/>
      <c r="T36" s="174"/>
    </row>
    <row r="37" spans="1:20" x14ac:dyDescent="0.15">
      <c r="A37" s="179" t="e">
        <f t="shared" si="0"/>
        <v>#N/A</v>
      </c>
      <c r="B37" s="183" t="e">
        <f t="shared" si="1"/>
        <v>#N/A</v>
      </c>
      <c r="C37" s="184" t="e">
        <f t="shared" si="2"/>
        <v>#N/A</v>
      </c>
      <c r="D37" s="185" t="e">
        <f t="shared" si="3"/>
        <v>#N/A</v>
      </c>
      <c r="E37" s="177"/>
      <c r="F37" s="177"/>
      <c r="G37" s="177"/>
      <c r="H37" s="174" t="e">
        <f>VLOOKUP(33,Order!A$23:T$1111,4,TRUE)</f>
        <v>#N/A</v>
      </c>
      <c r="I37" s="174" t="e">
        <f>VLOOKUP(33,Order!A$23:T$1111,2,TRUE)</f>
        <v>#N/A</v>
      </c>
      <c r="J37" s="174" t="e">
        <f>VLOOKUP(33,Order!A$23:T$1111,18,TRUE)</f>
        <v>#N/A</v>
      </c>
      <c r="K37" s="174" t="e">
        <f>VLOOKUP(33,Order!A$23:T$1111,20,TRUE)</f>
        <v>#N/A</v>
      </c>
      <c r="L37" s="177"/>
      <c r="M37" s="177"/>
      <c r="N37" s="177"/>
      <c r="O37" s="177"/>
      <c r="P37" s="177"/>
      <c r="Q37" s="177"/>
      <c r="R37" s="177"/>
      <c r="S37" s="174"/>
      <c r="T37" s="174"/>
    </row>
    <row r="38" spans="1:20" x14ac:dyDescent="0.15">
      <c r="A38" s="179" t="e">
        <f t="shared" si="0"/>
        <v>#N/A</v>
      </c>
      <c r="B38" s="183" t="e">
        <f t="shared" si="1"/>
        <v>#N/A</v>
      </c>
      <c r="C38" s="184" t="e">
        <f t="shared" si="2"/>
        <v>#N/A</v>
      </c>
      <c r="D38" s="185" t="e">
        <f t="shared" si="3"/>
        <v>#N/A</v>
      </c>
      <c r="E38" s="177"/>
      <c r="F38" s="177"/>
      <c r="G38" s="177"/>
      <c r="H38" s="174" t="e">
        <f>VLOOKUP(34,Order!A$23:T$1111,4,TRUE)</f>
        <v>#N/A</v>
      </c>
      <c r="I38" s="174" t="e">
        <f>VLOOKUP(34,Order!A$23:T$1111,2,TRUE)</f>
        <v>#N/A</v>
      </c>
      <c r="J38" s="174" t="e">
        <f>VLOOKUP(34,Order!A$23:T$1111,18,TRUE)</f>
        <v>#N/A</v>
      </c>
      <c r="K38" s="174" t="e">
        <f>VLOOKUP(34,Order!A$23:T$1111,20,TRUE)</f>
        <v>#N/A</v>
      </c>
      <c r="L38" s="177"/>
      <c r="M38" s="177"/>
      <c r="N38" s="177"/>
      <c r="O38" s="177"/>
      <c r="P38" s="177"/>
      <c r="Q38" s="177"/>
      <c r="R38" s="177"/>
      <c r="S38" s="174"/>
      <c r="T38" s="174"/>
    </row>
    <row r="39" spans="1:20" x14ac:dyDescent="0.15">
      <c r="A39" s="179" t="e">
        <f t="shared" si="0"/>
        <v>#N/A</v>
      </c>
      <c r="B39" s="183" t="e">
        <f t="shared" si="1"/>
        <v>#N/A</v>
      </c>
      <c r="C39" s="184" t="e">
        <f t="shared" si="2"/>
        <v>#N/A</v>
      </c>
      <c r="D39" s="185" t="e">
        <f t="shared" si="3"/>
        <v>#N/A</v>
      </c>
      <c r="E39" s="177"/>
      <c r="F39" s="177"/>
      <c r="G39" s="177"/>
      <c r="H39" s="174" t="e">
        <f>VLOOKUP(35,Order!A$23:T$1111,4,TRUE)</f>
        <v>#N/A</v>
      </c>
      <c r="I39" s="174" t="e">
        <f>VLOOKUP(35,Order!A$23:T$1111,2,TRUE)</f>
        <v>#N/A</v>
      </c>
      <c r="J39" s="174" t="e">
        <f>VLOOKUP(35,Order!A$23:T$1111,18,TRUE)</f>
        <v>#N/A</v>
      </c>
      <c r="K39" s="174" t="e">
        <f>VLOOKUP(35,Order!A$23:T$1111,20,TRUE)</f>
        <v>#N/A</v>
      </c>
      <c r="L39" s="177"/>
      <c r="M39" s="177"/>
      <c r="N39" s="177"/>
      <c r="O39" s="177"/>
      <c r="P39" s="177"/>
      <c r="Q39" s="177"/>
      <c r="R39" s="177"/>
      <c r="S39" s="174"/>
      <c r="T39" s="174"/>
    </row>
    <row r="40" spans="1:20" x14ac:dyDescent="0.15">
      <c r="A40" s="179" t="e">
        <f t="shared" si="0"/>
        <v>#N/A</v>
      </c>
      <c r="B40" s="183" t="e">
        <f t="shared" si="1"/>
        <v>#N/A</v>
      </c>
      <c r="C40" s="184" t="e">
        <f t="shared" si="2"/>
        <v>#N/A</v>
      </c>
      <c r="D40" s="185" t="e">
        <f t="shared" si="3"/>
        <v>#N/A</v>
      </c>
      <c r="E40" s="177"/>
      <c r="F40" s="177"/>
      <c r="G40" s="177"/>
      <c r="H40" s="174" t="e">
        <f>VLOOKUP(36,Order!A$23:T$1111,4,TRUE)</f>
        <v>#N/A</v>
      </c>
      <c r="I40" s="174" t="e">
        <f>VLOOKUP(36,Order!A$23:T$1111,2,TRUE)</f>
        <v>#N/A</v>
      </c>
      <c r="J40" s="174" t="e">
        <f>VLOOKUP(36,Order!A$23:T$1111,18,TRUE)</f>
        <v>#N/A</v>
      </c>
      <c r="K40" s="174" t="e">
        <f>VLOOKUP(36,Order!A$23:T$1111,20,TRUE)</f>
        <v>#N/A</v>
      </c>
      <c r="L40" s="177"/>
      <c r="M40" s="177"/>
      <c r="N40" s="177"/>
      <c r="O40" s="177"/>
      <c r="P40" s="177"/>
      <c r="Q40" s="177"/>
      <c r="R40" s="177"/>
      <c r="S40" s="174"/>
      <c r="T40" s="174"/>
    </row>
    <row r="41" spans="1:20" x14ac:dyDescent="0.15">
      <c r="A41" s="179" t="e">
        <f t="shared" si="0"/>
        <v>#N/A</v>
      </c>
      <c r="B41" s="183" t="e">
        <f t="shared" si="1"/>
        <v>#N/A</v>
      </c>
      <c r="C41" s="184" t="e">
        <f t="shared" si="2"/>
        <v>#N/A</v>
      </c>
      <c r="D41" s="185" t="e">
        <f t="shared" si="3"/>
        <v>#N/A</v>
      </c>
      <c r="E41" s="177"/>
      <c r="F41" s="177"/>
      <c r="G41" s="177"/>
      <c r="H41" s="174" t="e">
        <f>VLOOKUP(37,Order!A$23:T$1111,4,TRUE)</f>
        <v>#N/A</v>
      </c>
      <c r="I41" s="174" t="e">
        <f>VLOOKUP(37,Order!A$23:T$1111,2,TRUE)</f>
        <v>#N/A</v>
      </c>
      <c r="J41" s="174" t="e">
        <f>VLOOKUP(37,Order!A$23:T$1111,18,TRUE)</f>
        <v>#N/A</v>
      </c>
      <c r="K41" s="174" t="e">
        <f>VLOOKUP(37,Order!A$23:T$1111,20,TRUE)</f>
        <v>#N/A</v>
      </c>
      <c r="L41" s="177"/>
      <c r="M41" s="177"/>
      <c r="N41" s="177"/>
      <c r="O41" s="177"/>
      <c r="P41" s="177"/>
      <c r="Q41" s="177"/>
      <c r="R41" s="177"/>
      <c r="S41" s="174"/>
      <c r="T41" s="174"/>
    </row>
    <row r="42" spans="1:20" x14ac:dyDescent="0.15">
      <c r="A42" s="179" t="e">
        <f t="shared" si="0"/>
        <v>#N/A</v>
      </c>
      <c r="B42" s="183" t="e">
        <f t="shared" si="1"/>
        <v>#N/A</v>
      </c>
      <c r="C42" s="184" t="e">
        <f t="shared" si="2"/>
        <v>#N/A</v>
      </c>
      <c r="D42" s="185" t="e">
        <f t="shared" si="3"/>
        <v>#N/A</v>
      </c>
      <c r="E42" s="177"/>
      <c r="F42" s="177"/>
      <c r="G42" s="177"/>
      <c r="H42" s="174" t="e">
        <f>VLOOKUP(38,Order!A$23:T$1111,4,TRUE)</f>
        <v>#N/A</v>
      </c>
      <c r="I42" s="174" t="e">
        <f>VLOOKUP(38,Order!A$23:T$1111,2,TRUE)</f>
        <v>#N/A</v>
      </c>
      <c r="J42" s="174" t="e">
        <f>VLOOKUP(38,Order!A$23:T$1111,18,TRUE)</f>
        <v>#N/A</v>
      </c>
      <c r="K42" s="174" t="e">
        <f>VLOOKUP(38,Order!A$23:T$1111,20,TRUE)</f>
        <v>#N/A</v>
      </c>
      <c r="L42" s="177"/>
      <c r="M42" s="177"/>
      <c r="N42" s="177"/>
      <c r="O42" s="177"/>
      <c r="P42" s="177"/>
      <c r="Q42" s="177"/>
      <c r="R42" s="177"/>
      <c r="S42" s="174"/>
      <c r="T42" s="174"/>
    </row>
    <row r="43" spans="1:20" x14ac:dyDescent="0.15">
      <c r="A43" s="179" t="e">
        <f t="shared" si="0"/>
        <v>#N/A</v>
      </c>
      <c r="B43" s="183" t="e">
        <f t="shared" si="1"/>
        <v>#N/A</v>
      </c>
      <c r="C43" s="184" t="e">
        <f t="shared" si="2"/>
        <v>#N/A</v>
      </c>
      <c r="D43" s="185" t="e">
        <f t="shared" si="3"/>
        <v>#N/A</v>
      </c>
      <c r="E43" s="177"/>
      <c r="F43" s="177"/>
      <c r="G43" s="177"/>
      <c r="H43" s="174" t="e">
        <f>VLOOKUP(39,Order!A$23:T$1111,4,TRUE)</f>
        <v>#N/A</v>
      </c>
      <c r="I43" s="174" t="e">
        <f>VLOOKUP(39,Order!A$23:T$1111,2,TRUE)</f>
        <v>#N/A</v>
      </c>
      <c r="J43" s="174" t="e">
        <f>VLOOKUP(39,Order!A$23:T$1111,18,TRUE)</f>
        <v>#N/A</v>
      </c>
      <c r="K43" s="174" t="e">
        <f>VLOOKUP(39,Order!A$23:T$1111,20,TRUE)</f>
        <v>#N/A</v>
      </c>
      <c r="L43" s="177"/>
      <c r="M43" s="177"/>
      <c r="N43" s="177"/>
      <c r="O43" s="177"/>
      <c r="P43" s="177"/>
      <c r="Q43" s="177"/>
      <c r="R43" s="177"/>
      <c r="S43" s="174"/>
      <c r="T43" s="174"/>
    </row>
    <row r="44" spans="1:20" x14ac:dyDescent="0.15">
      <c r="A44" s="179" t="e">
        <f t="shared" si="0"/>
        <v>#N/A</v>
      </c>
      <c r="B44" s="183" t="e">
        <f t="shared" si="1"/>
        <v>#N/A</v>
      </c>
      <c r="C44" s="184" t="e">
        <f t="shared" si="2"/>
        <v>#N/A</v>
      </c>
      <c r="D44" s="185" t="e">
        <f t="shared" si="3"/>
        <v>#N/A</v>
      </c>
      <c r="E44" s="177"/>
      <c r="F44" s="177"/>
      <c r="G44" s="177"/>
      <c r="H44" s="174" t="e">
        <f>VLOOKUP(40,Order!A$23:T$1111,4,TRUE)</f>
        <v>#N/A</v>
      </c>
      <c r="I44" s="174" t="e">
        <f>VLOOKUP(40,Order!A$23:T$1111,2,TRUE)</f>
        <v>#N/A</v>
      </c>
      <c r="J44" s="174" t="e">
        <f>VLOOKUP(40,Order!A$23:T$1111,18,TRUE)</f>
        <v>#N/A</v>
      </c>
      <c r="K44" s="174" t="e">
        <f>VLOOKUP(40,Order!A$23:T$1111,20,TRUE)</f>
        <v>#N/A</v>
      </c>
      <c r="L44" s="177"/>
      <c r="M44" s="177"/>
      <c r="N44" s="177"/>
      <c r="O44" s="177"/>
      <c r="P44" s="177"/>
      <c r="Q44" s="177"/>
      <c r="R44" s="177"/>
      <c r="S44" s="174"/>
      <c r="T44" s="174"/>
    </row>
    <row r="45" spans="1:20" x14ac:dyDescent="0.15">
      <c r="A45" s="179" t="e">
        <f t="shared" si="0"/>
        <v>#N/A</v>
      </c>
      <c r="B45" s="183" t="e">
        <f t="shared" si="1"/>
        <v>#N/A</v>
      </c>
      <c r="C45" s="184" t="e">
        <f t="shared" si="2"/>
        <v>#N/A</v>
      </c>
      <c r="D45" s="185" t="e">
        <f t="shared" si="3"/>
        <v>#N/A</v>
      </c>
      <c r="E45" s="177"/>
      <c r="F45" s="177"/>
      <c r="G45" s="177"/>
      <c r="H45" s="174" t="e">
        <f>VLOOKUP(41,Order!A$23:T$1111,4,TRUE)</f>
        <v>#N/A</v>
      </c>
      <c r="I45" s="174" t="e">
        <f>VLOOKUP(41,Order!A$23:T$1111,2,TRUE)</f>
        <v>#N/A</v>
      </c>
      <c r="J45" s="174" t="e">
        <f>VLOOKUP(41,Order!A$23:T$1111,18,TRUE)</f>
        <v>#N/A</v>
      </c>
      <c r="K45" s="174" t="e">
        <f>VLOOKUP(41,Order!A$23:T$1111,20,TRUE)</f>
        <v>#N/A</v>
      </c>
      <c r="L45" s="177"/>
      <c r="M45" s="177"/>
      <c r="N45" s="177"/>
      <c r="O45" s="177"/>
      <c r="P45" s="177"/>
      <c r="Q45" s="177"/>
      <c r="R45" s="177"/>
      <c r="S45" s="174"/>
      <c r="T45" s="174"/>
    </row>
    <row r="46" spans="1:20" x14ac:dyDescent="0.15">
      <c r="A46" s="179" t="e">
        <f t="shared" si="0"/>
        <v>#N/A</v>
      </c>
      <c r="B46" s="183" t="e">
        <f t="shared" si="1"/>
        <v>#N/A</v>
      </c>
      <c r="C46" s="184" t="e">
        <f t="shared" si="2"/>
        <v>#N/A</v>
      </c>
      <c r="D46" s="185" t="e">
        <f t="shared" si="3"/>
        <v>#N/A</v>
      </c>
      <c r="E46" s="177"/>
      <c r="F46" s="177"/>
      <c r="G46" s="177"/>
      <c r="H46" s="174" t="e">
        <f>VLOOKUP(42,Order!A$23:T$1111,4,TRUE)</f>
        <v>#N/A</v>
      </c>
      <c r="I46" s="174" t="e">
        <f>VLOOKUP(42,Order!A$23:T$1111,2,TRUE)</f>
        <v>#N/A</v>
      </c>
      <c r="J46" s="174" t="e">
        <f>VLOOKUP(42,Order!A$23:T$1111,18,TRUE)</f>
        <v>#N/A</v>
      </c>
      <c r="K46" s="174" t="e">
        <f>VLOOKUP(42,Order!A$23:T$1111,20,TRUE)</f>
        <v>#N/A</v>
      </c>
      <c r="L46" s="177"/>
      <c r="M46" s="177"/>
      <c r="N46" s="177"/>
      <c r="O46" s="177"/>
      <c r="P46" s="177"/>
      <c r="Q46" s="177"/>
      <c r="R46" s="177"/>
      <c r="S46" s="174"/>
      <c r="T46" s="174"/>
    </row>
    <row r="47" spans="1:20" x14ac:dyDescent="0.15">
      <c r="A47" s="179" t="e">
        <f t="shared" si="0"/>
        <v>#N/A</v>
      </c>
      <c r="B47" s="183" t="e">
        <f t="shared" si="1"/>
        <v>#N/A</v>
      </c>
      <c r="C47" s="184" t="e">
        <f t="shared" si="2"/>
        <v>#N/A</v>
      </c>
      <c r="D47" s="185" t="e">
        <f t="shared" si="3"/>
        <v>#N/A</v>
      </c>
      <c r="E47" s="177"/>
      <c r="F47" s="177"/>
      <c r="G47" s="177"/>
      <c r="H47" s="174" t="e">
        <f>VLOOKUP(43,Order!A$23:T$1111,4,TRUE)</f>
        <v>#N/A</v>
      </c>
      <c r="I47" s="174" t="e">
        <f>VLOOKUP(43,Order!A$23:T$1111,2,TRUE)</f>
        <v>#N/A</v>
      </c>
      <c r="J47" s="174" t="e">
        <f>VLOOKUP(43,Order!A$23:T$1111,18,TRUE)</f>
        <v>#N/A</v>
      </c>
      <c r="K47" s="174" t="e">
        <f>VLOOKUP(43,Order!A$23:T$1111,20,TRUE)</f>
        <v>#N/A</v>
      </c>
      <c r="L47" s="177"/>
      <c r="M47" s="177"/>
      <c r="N47" s="177"/>
      <c r="O47" s="177"/>
      <c r="P47" s="177"/>
      <c r="Q47" s="177"/>
      <c r="R47" s="177"/>
      <c r="S47" s="174"/>
      <c r="T47" s="174"/>
    </row>
    <row r="48" spans="1:20" x14ac:dyDescent="0.15">
      <c r="A48" s="179" t="e">
        <f t="shared" si="0"/>
        <v>#N/A</v>
      </c>
      <c r="B48" s="183" t="e">
        <f t="shared" si="1"/>
        <v>#N/A</v>
      </c>
      <c r="C48" s="184" t="e">
        <f t="shared" si="2"/>
        <v>#N/A</v>
      </c>
      <c r="D48" s="185" t="e">
        <f t="shared" si="3"/>
        <v>#N/A</v>
      </c>
      <c r="E48" s="177"/>
      <c r="F48" s="177"/>
      <c r="G48" s="177"/>
      <c r="H48" s="174" t="e">
        <f>VLOOKUP(44,Order!A$23:T$1111,4,TRUE)</f>
        <v>#N/A</v>
      </c>
      <c r="I48" s="174" t="e">
        <f>VLOOKUP(44,Order!A$23:T$1111,2,TRUE)</f>
        <v>#N/A</v>
      </c>
      <c r="J48" s="174" t="e">
        <f>VLOOKUP(44,Order!A$23:T$1111,18,TRUE)</f>
        <v>#N/A</v>
      </c>
      <c r="K48" s="174" t="e">
        <f>VLOOKUP(44,Order!A$23:T$1111,20,TRUE)</f>
        <v>#N/A</v>
      </c>
      <c r="L48" s="177"/>
      <c r="M48" s="177"/>
      <c r="N48" s="177"/>
      <c r="O48" s="177"/>
      <c r="P48" s="177"/>
      <c r="Q48" s="177"/>
      <c r="R48" s="177"/>
      <c r="S48" s="174"/>
      <c r="T48" s="174"/>
    </row>
    <row r="49" spans="1:20" x14ac:dyDescent="0.15">
      <c r="A49" s="179" t="e">
        <f t="shared" si="0"/>
        <v>#N/A</v>
      </c>
      <c r="B49" s="183" t="e">
        <f t="shared" si="1"/>
        <v>#N/A</v>
      </c>
      <c r="C49" s="184" t="e">
        <f t="shared" si="2"/>
        <v>#N/A</v>
      </c>
      <c r="D49" s="185" t="e">
        <f t="shared" si="3"/>
        <v>#N/A</v>
      </c>
      <c r="E49" s="177"/>
      <c r="F49" s="177"/>
      <c r="G49" s="177"/>
      <c r="H49" s="174" t="e">
        <f>VLOOKUP(45,Order!A$23:T$1111,4,TRUE)</f>
        <v>#N/A</v>
      </c>
      <c r="I49" s="174" t="e">
        <f>VLOOKUP(45,Order!A$23:T$1111,2,TRUE)</f>
        <v>#N/A</v>
      </c>
      <c r="J49" s="174" t="e">
        <f>VLOOKUP(45,Order!A$23:T$1111,18,TRUE)</f>
        <v>#N/A</v>
      </c>
      <c r="K49" s="174" t="e">
        <f>VLOOKUP(45,Order!A$23:T$1111,20,TRUE)</f>
        <v>#N/A</v>
      </c>
      <c r="L49" s="177"/>
      <c r="M49" s="177"/>
      <c r="N49" s="177"/>
      <c r="O49" s="177"/>
      <c r="P49" s="177"/>
      <c r="Q49" s="177"/>
      <c r="R49" s="177"/>
      <c r="S49" s="174"/>
      <c r="T49" s="174"/>
    </row>
    <row r="50" spans="1:20" x14ac:dyDescent="0.15">
      <c r="A50" s="179" t="e">
        <f t="shared" si="0"/>
        <v>#N/A</v>
      </c>
      <c r="B50" s="183" t="e">
        <f t="shared" si="1"/>
        <v>#N/A</v>
      </c>
      <c r="C50" s="184" t="e">
        <f t="shared" si="2"/>
        <v>#N/A</v>
      </c>
      <c r="D50" s="185" t="e">
        <f t="shared" si="3"/>
        <v>#N/A</v>
      </c>
      <c r="E50" s="177"/>
      <c r="F50" s="177"/>
      <c r="G50" s="177"/>
      <c r="H50" s="174" t="e">
        <f>VLOOKUP(46,Order!A$23:T$1111,4,TRUE)</f>
        <v>#N/A</v>
      </c>
      <c r="I50" s="174" t="e">
        <f>VLOOKUP(46,Order!A$23:T$1111,2,TRUE)</f>
        <v>#N/A</v>
      </c>
      <c r="J50" s="174" t="e">
        <f>VLOOKUP(46,Order!A$23:T$1111,18,TRUE)</f>
        <v>#N/A</v>
      </c>
      <c r="K50" s="174" t="e">
        <f>VLOOKUP(46,Order!A$23:T$1111,20,TRUE)</f>
        <v>#N/A</v>
      </c>
      <c r="L50" s="177"/>
      <c r="M50" s="177"/>
      <c r="N50" s="177"/>
      <c r="O50" s="177"/>
      <c r="P50" s="177"/>
      <c r="Q50" s="177"/>
      <c r="R50" s="177"/>
      <c r="S50" s="177"/>
      <c r="T50" s="177"/>
    </row>
    <row r="51" spans="1:20" x14ac:dyDescent="0.15">
      <c r="A51" s="179" t="e">
        <f t="shared" si="0"/>
        <v>#N/A</v>
      </c>
      <c r="B51" s="183" t="e">
        <f t="shared" si="1"/>
        <v>#N/A</v>
      </c>
      <c r="C51" s="184" t="e">
        <f>IF(H51=H50,"",I51)</f>
        <v>#N/A</v>
      </c>
      <c r="D51" s="185" t="e">
        <f t="shared" si="3"/>
        <v>#N/A</v>
      </c>
      <c r="E51" s="177"/>
      <c r="F51" s="177"/>
      <c r="G51" s="177"/>
      <c r="H51" s="174" t="e">
        <f>VLOOKUP(47,Order!A$23:T$1111,4,TRUE)</f>
        <v>#N/A</v>
      </c>
      <c r="I51" s="174" t="e">
        <f>VLOOKUP(47,Order!A$23:T$1111,2,TRUE)</f>
        <v>#N/A</v>
      </c>
      <c r="J51" s="174" t="e">
        <f>VLOOKUP(47,Order!A$23:T$1111,18,TRUE)</f>
        <v>#N/A</v>
      </c>
      <c r="K51" s="174" t="e">
        <f>VLOOKUP(47,Order!A$23:T$1111,20,TRUE)</f>
        <v>#N/A</v>
      </c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x14ac:dyDescent="0.15">
      <c r="A52" s="179" t="e">
        <f t="shared" si="0"/>
        <v>#N/A</v>
      </c>
      <c r="B52" s="183" t="e">
        <f t="shared" si="1"/>
        <v>#N/A</v>
      </c>
      <c r="C52" s="184" t="e">
        <f t="shared" si="2"/>
        <v>#N/A</v>
      </c>
      <c r="D52" s="185" t="e">
        <f t="shared" si="3"/>
        <v>#N/A</v>
      </c>
      <c r="E52" s="177"/>
      <c r="F52" s="177"/>
      <c r="G52" s="177"/>
      <c r="H52" s="174" t="e">
        <f>VLOOKUP(48,Order!A$23:T$1111,4,TRUE)</f>
        <v>#N/A</v>
      </c>
      <c r="I52" s="174" t="e">
        <f>VLOOKUP(48,Order!A$23:T$1111,2,TRUE)</f>
        <v>#N/A</v>
      </c>
      <c r="J52" s="174" t="e">
        <f>VLOOKUP(48,Order!A$23:T$1111,18,TRUE)</f>
        <v>#N/A</v>
      </c>
      <c r="K52" s="174" t="e">
        <f>VLOOKUP(48,Order!A$23:T$1111,20,TRUE)</f>
        <v>#N/A</v>
      </c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 x14ac:dyDescent="0.15">
      <c r="A53" s="179" t="e">
        <f t="shared" si="0"/>
        <v>#N/A</v>
      </c>
      <c r="B53" s="183" t="e">
        <f t="shared" si="1"/>
        <v>#N/A</v>
      </c>
      <c r="C53" s="184" t="e">
        <f t="shared" si="2"/>
        <v>#N/A</v>
      </c>
      <c r="D53" s="185" t="e">
        <f t="shared" si="3"/>
        <v>#N/A</v>
      </c>
      <c r="E53" s="177"/>
      <c r="F53" s="177"/>
      <c r="G53" s="177"/>
      <c r="H53" s="174" t="e">
        <f>VLOOKUP(49,Order!A$23:T$1111,4,TRUE)</f>
        <v>#N/A</v>
      </c>
      <c r="I53" s="174" t="e">
        <f>VLOOKUP(49,Order!A$23:T$1111,2,TRUE)</f>
        <v>#N/A</v>
      </c>
      <c r="J53" s="174" t="e">
        <f>VLOOKUP(49,Order!A$23:T$1111,18,TRUE)</f>
        <v>#N/A</v>
      </c>
      <c r="K53" s="174" t="e">
        <f>VLOOKUP(49,Order!A$23:T$1111,20,TRUE)</f>
        <v>#N/A</v>
      </c>
      <c r="L53" s="177"/>
      <c r="M53" s="177"/>
      <c r="N53" s="177"/>
      <c r="O53" s="177"/>
      <c r="P53" s="177"/>
      <c r="Q53" s="177"/>
      <c r="R53" s="177"/>
      <c r="S53" s="177"/>
      <c r="T53" s="177"/>
    </row>
    <row r="54" spans="1:20" x14ac:dyDescent="0.15">
      <c r="A54" s="179" t="e">
        <f t="shared" si="0"/>
        <v>#N/A</v>
      </c>
      <c r="B54" s="183" t="e">
        <f t="shared" si="1"/>
        <v>#N/A</v>
      </c>
      <c r="C54" s="184" t="e">
        <f t="shared" si="2"/>
        <v>#N/A</v>
      </c>
      <c r="D54" s="185" t="e">
        <f t="shared" si="3"/>
        <v>#N/A</v>
      </c>
      <c r="E54" s="177"/>
      <c r="F54" s="177"/>
      <c r="G54" s="177"/>
      <c r="H54" s="174" t="e">
        <f>VLOOKUP(50,Order!A$23:T$1111,4,TRUE)</f>
        <v>#N/A</v>
      </c>
      <c r="I54" s="174" t="e">
        <f>VLOOKUP(50,Order!A$23:T$1111,2,TRUE)</f>
        <v>#N/A</v>
      </c>
      <c r="J54" s="174" t="e">
        <f>VLOOKUP(50,Order!A$23:T$1111,18,TRUE)</f>
        <v>#N/A</v>
      </c>
      <c r="K54" s="174" t="e">
        <f>VLOOKUP(50,Order!A$23:T$1111,20,TRUE)</f>
        <v>#N/A</v>
      </c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x14ac:dyDescent="0.15">
      <c r="A55" s="179" t="e">
        <f t="shared" si="0"/>
        <v>#N/A</v>
      </c>
      <c r="B55" s="183" t="e">
        <f t="shared" si="1"/>
        <v>#N/A</v>
      </c>
      <c r="C55" s="184" t="e">
        <f t="shared" si="2"/>
        <v>#N/A</v>
      </c>
      <c r="D55" s="185" t="e">
        <f t="shared" si="3"/>
        <v>#N/A</v>
      </c>
      <c r="E55" s="177"/>
      <c r="F55" s="177"/>
      <c r="G55" s="177"/>
      <c r="H55" s="174" t="e">
        <f>VLOOKUP(51,Order!A$23:T$1111,4,TRUE)</f>
        <v>#N/A</v>
      </c>
      <c r="I55" s="174" t="e">
        <f>VLOOKUP(51,Order!A$23:T$1111,2,TRUE)</f>
        <v>#N/A</v>
      </c>
      <c r="J55" s="174" t="e">
        <f>VLOOKUP(51,Order!A$23:T$1111,18,TRUE)</f>
        <v>#N/A</v>
      </c>
      <c r="K55" s="174" t="e">
        <f>VLOOKUP(51,Order!A$23:T$1111,20,TRUE)</f>
        <v>#N/A</v>
      </c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x14ac:dyDescent="0.15">
      <c r="A56" s="179" t="e">
        <f t="shared" si="0"/>
        <v>#N/A</v>
      </c>
      <c r="B56" s="183" t="e">
        <f t="shared" si="1"/>
        <v>#N/A</v>
      </c>
      <c r="C56" s="184" t="e">
        <f t="shared" si="2"/>
        <v>#N/A</v>
      </c>
      <c r="D56" s="185" t="e">
        <f t="shared" si="3"/>
        <v>#N/A</v>
      </c>
      <c r="E56" s="177"/>
      <c r="F56" s="177"/>
      <c r="G56" s="177"/>
      <c r="H56" s="174" t="e">
        <f>VLOOKUP(52,Order!A$23:T$1111,4,TRUE)</f>
        <v>#N/A</v>
      </c>
      <c r="I56" s="174" t="e">
        <f>VLOOKUP(52,Order!A$23:T$1111,2,TRUE)</f>
        <v>#N/A</v>
      </c>
      <c r="J56" s="174" t="e">
        <f>VLOOKUP(52,Order!A$23:T$1111,18,TRUE)</f>
        <v>#N/A</v>
      </c>
      <c r="K56" s="174" t="e">
        <f>VLOOKUP(52,Order!A$23:T$1111,20,TRUE)</f>
        <v>#N/A</v>
      </c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x14ac:dyDescent="0.15">
      <c r="A57" s="179" t="e">
        <f t="shared" si="0"/>
        <v>#N/A</v>
      </c>
      <c r="B57" s="183" t="e">
        <f t="shared" si="1"/>
        <v>#N/A</v>
      </c>
      <c r="C57" s="184" t="e">
        <f t="shared" si="2"/>
        <v>#N/A</v>
      </c>
      <c r="D57" s="185" t="e">
        <f t="shared" si="3"/>
        <v>#N/A</v>
      </c>
      <c r="E57" s="177"/>
      <c r="F57" s="177"/>
      <c r="G57" s="177"/>
      <c r="H57" s="174" t="e">
        <f>VLOOKUP(53,Order!A$23:T$1111,4,TRUE)</f>
        <v>#N/A</v>
      </c>
      <c r="I57" s="174" t="e">
        <f>VLOOKUP(53,Order!A$23:T$1111,2,TRUE)</f>
        <v>#N/A</v>
      </c>
      <c r="J57" s="174" t="e">
        <f>VLOOKUP(53,Order!A$23:T$1111,18,TRUE)</f>
        <v>#N/A</v>
      </c>
      <c r="K57" s="174" t="e">
        <f>VLOOKUP(53,Order!A$23:T$1111,20,TRUE)</f>
        <v>#N/A</v>
      </c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x14ac:dyDescent="0.15">
      <c r="A58" s="179" t="e">
        <f t="shared" si="0"/>
        <v>#N/A</v>
      </c>
      <c r="B58" s="183" t="e">
        <f t="shared" si="1"/>
        <v>#N/A</v>
      </c>
      <c r="C58" s="184" t="e">
        <f t="shared" si="2"/>
        <v>#N/A</v>
      </c>
      <c r="D58" s="185" t="e">
        <f t="shared" si="3"/>
        <v>#N/A</v>
      </c>
      <c r="E58" s="177"/>
      <c r="F58" s="177"/>
      <c r="G58" s="177"/>
      <c r="H58" s="174" t="e">
        <f>VLOOKUP(54,Order!A$23:T$1111,4,TRUE)</f>
        <v>#N/A</v>
      </c>
      <c r="I58" s="174" t="e">
        <f>VLOOKUP(54,Order!A$23:T$1111,2,TRUE)</f>
        <v>#N/A</v>
      </c>
      <c r="J58" s="174" t="e">
        <f>VLOOKUP(54,Order!A$23:T$1111,18,TRUE)</f>
        <v>#N/A</v>
      </c>
      <c r="K58" s="174" t="e">
        <f>VLOOKUP(54,Order!A$23:T$1111,20,TRUE)</f>
        <v>#N/A</v>
      </c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x14ac:dyDescent="0.15">
      <c r="A59" s="179" t="e">
        <f t="shared" si="0"/>
        <v>#N/A</v>
      </c>
      <c r="B59" s="183" t="e">
        <f t="shared" si="1"/>
        <v>#N/A</v>
      </c>
      <c r="C59" s="184" t="e">
        <f t="shared" si="2"/>
        <v>#N/A</v>
      </c>
      <c r="D59" s="185" t="e">
        <f t="shared" si="3"/>
        <v>#N/A</v>
      </c>
      <c r="E59" s="177"/>
      <c r="F59" s="177"/>
      <c r="G59" s="177"/>
      <c r="H59" s="174" t="e">
        <f>VLOOKUP(55,Order!A$23:T$1111,4,TRUE)</f>
        <v>#N/A</v>
      </c>
      <c r="I59" s="174" t="e">
        <f>VLOOKUP(55,Order!A$23:T$1111,2,TRUE)</f>
        <v>#N/A</v>
      </c>
      <c r="J59" s="174" t="e">
        <f>VLOOKUP(55,Order!A$23:T$1111,18,TRUE)</f>
        <v>#N/A</v>
      </c>
      <c r="K59" s="174" t="e">
        <f>VLOOKUP(55,Order!A$23:T$1111,20,TRUE)</f>
        <v>#N/A</v>
      </c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x14ac:dyDescent="0.15">
      <c r="A60" s="179" t="e">
        <f t="shared" si="0"/>
        <v>#N/A</v>
      </c>
      <c r="B60" s="183" t="e">
        <f t="shared" si="1"/>
        <v>#N/A</v>
      </c>
      <c r="C60" s="184" t="e">
        <f t="shared" si="2"/>
        <v>#N/A</v>
      </c>
      <c r="D60" s="185" t="e">
        <f t="shared" si="3"/>
        <v>#N/A</v>
      </c>
      <c r="E60" s="177"/>
      <c r="F60" s="177"/>
      <c r="G60" s="177"/>
      <c r="H60" s="174" t="e">
        <f>VLOOKUP(56,Order!A$23:T$1111,4,TRUE)</f>
        <v>#N/A</v>
      </c>
      <c r="I60" s="174" t="e">
        <f>VLOOKUP(56,Order!A$23:T$1111,2,TRUE)</f>
        <v>#N/A</v>
      </c>
      <c r="J60" s="174" t="e">
        <f>VLOOKUP(56,Order!A$23:T$1111,18,TRUE)</f>
        <v>#N/A</v>
      </c>
      <c r="K60" s="174" t="e">
        <f>VLOOKUP(56,Order!A$23:T$1111,20,TRUE)</f>
        <v>#N/A</v>
      </c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x14ac:dyDescent="0.15">
      <c r="A61" s="179" t="e">
        <f t="shared" si="0"/>
        <v>#N/A</v>
      </c>
      <c r="B61" s="183" t="e">
        <f t="shared" si="1"/>
        <v>#N/A</v>
      </c>
      <c r="C61" s="184" t="e">
        <f t="shared" si="2"/>
        <v>#N/A</v>
      </c>
      <c r="D61" s="185" t="e">
        <f t="shared" si="3"/>
        <v>#N/A</v>
      </c>
      <c r="E61" s="177"/>
      <c r="F61" s="177"/>
      <c r="G61" s="177"/>
      <c r="H61" s="174" t="e">
        <f>VLOOKUP(57,Order!A$23:T$1111,4,TRUE)</f>
        <v>#N/A</v>
      </c>
      <c r="I61" s="174" t="e">
        <f>VLOOKUP(57,Order!A$23:T$1111,2,TRUE)</f>
        <v>#N/A</v>
      </c>
      <c r="J61" s="174" t="e">
        <f>VLOOKUP(57,Order!A$23:T$1111,18,TRUE)</f>
        <v>#N/A</v>
      </c>
      <c r="K61" s="174" t="e">
        <f>VLOOKUP(57,Order!A$23:T$1111,20,TRUE)</f>
        <v>#N/A</v>
      </c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x14ac:dyDescent="0.15">
      <c r="A62" s="179" t="e">
        <f t="shared" ref="A62:A67" si="4">IF(J62=0,"",IF(J62=J61,"",J62))</f>
        <v>#N/A</v>
      </c>
      <c r="B62" s="183" t="e">
        <f t="shared" ref="B62:B67" si="5">IF(H62=H61,"",H62)</f>
        <v>#N/A</v>
      </c>
      <c r="C62" s="184" t="e">
        <f t="shared" ref="C62:C67" si="6">IF(H62=H61,"",I62)</f>
        <v>#N/A</v>
      </c>
      <c r="D62" s="185" t="e">
        <f t="shared" si="3"/>
        <v>#N/A</v>
      </c>
      <c r="E62" s="177"/>
      <c r="F62" s="177"/>
      <c r="G62" s="177"/>
      <c r="H62" s="174" t="e">
        <f>VLOOKUP(58,Order!A$23:T$1111,4,TRUE)</f>
        <v>#N/A</v>
      </c>
      <c r="I62" s="174" t="e">
        <f>VLOOKUP(58,Order!A$23:T$1111,2,TRUE)</f>
        <v>#N/A</v>
      </c>
      <c r="J62" s="174" t="e">
        <f>VLOOKUP(58,Order!A$23:T$1111,18,TRUE)</f>
        <v>#N/A</v>
      </c>
      <c r="K62" s="174" t="e">
        <f>VLOOKUP(58,Order!A$23:T$1111,20,TRUE)</f>
        <v>#N/A</v>
      </c>
      <c r="L62" s="177"/>
      <c r="M62" s="177"/>
      <c r="N62" s="177"/>
      <c r="O62" s="177"/>
      <c r="P62" s="177"/>
      <c r="Q62" s="177"/>
      <c r="R62" s="177"/>
    </row>
    <row r="63" spans="1:20" x14ac:dyDescent="0.15">
      <c r="A63" s="179" t="e">
        <f t="shared" si="4"/>
        <v>#N/A</v>
      </c>
      <c r="B63" s="183" t="e">
        <f t="shared" si="5"/>
        <v>#N/A</v>
      </c>
      <c r="C63" s="184" t="e">
        <f t="shared" si="6"/>
        <v>#N/A</v>
      </c>
      <c r="D63" s="185" t="e">
        <f t="shared" si="3"/>
        <v>#N/A</v>
      </c>
      <c r="E63" s="177"/>
      <c r="F63" s="177"/>
      <c r="G63" s="177"/>
      <c r="H63" s="174" t="e">
        <f>VLOOKUP(59,Order!A$23:T$1111,4,TRUE)</f>
        <v>#N/A</v>
      </c>
      <c r="I63" s="174" t="e">
        <f>VLOOKUP(59,Order!A$23:T$1111,2,TRUE)</f>
        <v>#N/A</v>
      </c>
      <c r="J63" s="174" t="e">
        <f>VLOOKUP(59,Order!A$23:T$1111,18,TRUE)</f>
        <v>#N/A</v>
      </c>
      <c r="K63" s="174" t="e">
        <f>VLOOKUP(59,Order!A$23:T$1111,20,TRUE)</f>
        <v>#N/A</v>
      </c>
      <c r="L63" s="177"/>
      <c r="M63" s="177"/>
      <c r="N63" s="177"/>
      <c r="O63" s="177"/>
      <c r="P63" s="177"/>
      <c r="Q63" s="177"/>
      <c r="R63" s="177"/>
    </row>
    <row r="64" spans="1:20" x14ac:dyDescent="0.15">
      <c r="A64" s="179" t="e">
        <f t="shared" si="4"/>
        <v>#N/A</v>
      </c>
      <c r="B64" s="183" t="e">
        <f t="shared" si="5"/>
        <v>#N/A</v>
      </c>
      <c r="C64" s="184" t="e">
        <f t="shared" si="6"/>
        <v>#N/A</v>
      </c>
      <c r="D64" s="185" t="e">
        <f t="shared" si="3"/>
        <v>#N/A</v>
      </c>
      <c r="E64" s="177"/>
      <c r="F64" s="177"/>
      <c r="G64" s="177"/>
      <c r="H64" s="174" t="e">
        <f>VLOOKUP(60,Order!A$23:T$1111,4,TRUE)</f>
        <v>#N/A</v>
      </c>
      <c r="I64" s="174" t="e">
        <f>VLOOKUP(60,Order!A$23:T$1111,2,TRUE)</f>
        <v>#N/A</v>
      </c>
      <c r="J64" s="174" t="e">
        <f>VLOOKUP(60,Order!A$23:T$1111,18,TRUE)</f>
        <v>#N/A</v>
      </c>
      <c r="K64" s="174" t="e">
        <f>VLOOKUP(60,Order!A$23:T$1111,20,TRUE)</f>
        <v>#N/A</v>
      </c>
      <c r="L64" s="177"/>
      <c r="M64" s="177"/>
      <c r="N64" s="177"/>
      <c r="O64" s="177"/>
      <c r="P64" s="177"/>
      <c r="Q64" s="177"/>
      <c r="R64" s="177"/>
    </row>
    <row r="65" spans="1:18" x14ac:dyDescent="0.15">
      <c r="A65" s="179" t="e">
        <f t="shared" si="4"/>
        <v>#N/A</v>
      </c>
      <c r="B65" s="183" t="e">
        <f t="shared" si="5"/>
        <v>#N/A</v>
      </c>
      <c r="C65" s="184" t="e">
        <f t="shared" si="6"/>
        <v>#N/A</v>
      </c>
      <c r="D65" s="185" t="e">
        <f t="shared" si="3"/>
        <v>#N/A</v>
      </c>
      <c r="E65" s="177"/>
      <c r="F65" s="177"/>
      <c r="G65" s="177"/>
      <c r="H65" s="174" t="e">
        <f>VLOOKUP(61,Order!A$23:T$1111,4,TRUE)</f>
        <v>#N/A</v>
      </c>
      <c r="I65" s="174" t="e">
        <f>VLOOKUP(61,Order!A$23:T$1111,2,TRUE)</f>
        <v>#N/A</v>
      </c>
      <c r="J65" s="174" t="e">
        <f>VLOOKUP(61,Order!A$23:T$1111,18,TRUE)</f>
        <v>#N/A</v>
      </c>
      <c r="K65" s="174" t="e">
        <f>VLOOKUP(61,Order!A$23:T$1111,20,TRUE)</f>
        <v>#N/A</v>
      </c>
      <c r="L65" s="177"/>
      <c r="M65" s="177"/>
      <c r="N65" s="177"/>
      <c r="O65" s="177"/>
      <c r="P65" s="177"/>
      <c r="Q65" s="177"/>
      <c r="R65" s="177"/>
    </row>
    <row r="66" spans="1:18" x14ac:dyDescent="0.15">
      <c r="A66" s="179" t="e">
        <f t="shared" si="4"/>
        <v>#N/A</v>
      </c>
      <c r="B66" s="183" t="e">
        <f t="shared" si="5"/>
        <v>#N/A</v>
      </c>
      <c r="C66" s="184" t="e">
        <f t="shared" si="6"/>
        <v>#N/A</v>
      </c>
      <c r="D66" s="185" t="e">
        <f t="shared" si="3"/>
        <v>#N/A</v>
      </c>
      <c r="E66" s="177"/>
      <c r="F66" s="177"/>
      <c r="G66" s="177"/>
      <c r="H66" s="174" t="e">
        <f>VLOOKUP(62,Order!A$23:T$1111,4,TRUE)</f>
        <v>#N/A</v>
      </c>
      <c r="I66" s="174" t="e">
        <f>VLOOKUP(62,Order!A$23:T$1111,2,TRUE)</f>
        <v>#N/A</v>
      </c>
      <c r="J66" s="174" t="e">
        <f>VLOOKUP(62,Order!A$23:T$1111,18,TRUE)</f>
        <v>#N/A</v>
      </c>
      <c r="K66" s="174" t="e">
        <f>VLOOKUP(62,Order!A$23:T$1111,20,TRUE)</f>
        <v>#N/A</v>
      </c>
      <c r="L66" s="177"/>
      <c r="M66" s="177"/>
      <c r="N66" s="177"/>
      <c r="O66" s="177"/>
      <c r="P66" s="177"/>
      <c r="Q66" s="177"/>
      <c r="R66" s="177"/>
    </row>
    <row r="67" spans="1:18" x14ac:dyDescent="0.15">
      <c r="A67" s="179" t="e">
        <f t="shared" si="4"/>
        <v>#N/A</v>
      </c>
      <c r="B67" s="183" t="e">
        <f t="shared" si="5"/>
        <v>#N/A</v>
      </c>
      <c r="C67" s="184" t="e">
        <f t="shared" si="6"/>
        <v>#N/A</v>
      </c>
      <c r="D67" s="185" t="e">
        <f t="shared" si="3"/>
        <v>#N/A</v>
      </c>
      <c r="E67" s="177"/>
      <c r="F67" s="177"/>
      <c r="G67" s="177"/>
      <c r="H67" s="174" t="e">
        <f>VLOOKUP(63,Order!A$23:T$1111,4,TRUE)</f>
        <v>#N/A</v>
      </c>
      <c r="I67" s="174" t="e">
        <f>VLOOKUP(63,Order!A$23:T$1111,2,TRUE)</f>
        <v>#N/A</v>
      </c>
      <c r="J67" s="174" t="e">
        <f>VLOOKUP(63,Order!A$23:T$1111,18,TRUE)</f>
        <v>#N/A</v>
      </c>
      <c r="K67" s="174" t="e">
        <f>VLOOKUP(63,Order!A$23:T$1111,20,TRUE)</f>
        <v>#N/A</v>
      </c>
      <c r="L67" s="177"/>
      <c r="M67" s="177"/>
      <c r="N67" s="177"/>
      <c r="O67" s="177"/>
      <c r="P67" s="177"/>
      <c r="Q67" s="177"/>
      <c r="R67" s="177"/>
    </row>
    <row r="68" spans="1:18" x14ac:dyDescent="0.15">
      <c r="A68" s="179" t="e">
        <f t="shared" ref="A68:A104" si="7">IF(J68=0,"",IF(J68=J67,"",J68))</f>
        <v>#N/A</v>
      </c>
      <c r="B68" s="183" t="e">
        <f t="shared" ref="B68:B104" si="8">IF(H68=H67,"",H68)</f>
        <v>#N/A</v>
      </c>
      <c r="C68" s="184" t="e">
        <f t="shared" ref="C68:C104" si="9">IF(H68=H67,"",I68)</f>
        <v>#N/A</v>
      </c>
      <c r="D68" s="185" t="e">
        <f t="shared" si="3"/>
        <v>#N/A</v>
      </c>
      <c r="E68" s="177"/>
      <c r="F68" s="177"/>
      <c r="G68" s="177"/>
      <c r="H68" s="174" t="e">
        <f>VLOOKUP(64,Order!A$23:T$1111,4,TRUE)</f>
        <v>#N/A</v>
      </c>
      <c r="I68" s="174" t="e">
        <f>VLOOKUP(64,Order!A$23:T$1111,2,TRUE)</f>
        <v>#N/A</v>
      </c>
      <c r="J68" s="174" t="e">
        <f>VLOOKUP(64,Order!A$23:T$1111,18,TRUE)</f>
        <v>#N/A</v>
      </c>
      <c r="K68" s="174" t="e">
        <f>VLOOKUP(64,Order!A$23:T$1111,20,TRUE)</f>
        <v>#N/A</v>
      </c>
      <c r="L68" s="177"/>
      <c r="M68" s="177"/>
      <c r="N68" s="177"/>
      <c r="O68" s="177"/>
      <c r="P68" s="177"/>
      <c r="Q68" s="177"/>
      <c r="R68" s="177"/>
    </row>
    <row r="69" spans="1:18" x14ac:dyDescent="0.15">
      <c r="A69" s="179" t="e">
        <f t="shared" si="7"/>
        <v>#N/A</v>
      </c>
      <c r="B69" s="183" t="e">
        <f t="shared" si="8"/>
        <v>#N/A</v>
      </c>
      <c r="C69" s="184" t="e">
        <f t="shared" si="9"/>
        <v>#N/A</v>
      </c>
      <c r="D69" s="185" t="e">
        <f t="shared" si="3"/>
        <v>#N/A</v>
      </c>
      <c r="E69" s="177"/>
      <c r="F69" s="177"/>
      <c r="G69" s="177"/>
      <c r="H69" s="174" t="e">
        <f>VLOOKUP(65,Order!A$23:T$1111,4,TRUE)</f>
        <v>#N/A</v>
      </c>
      <c r="I69" s="174" t="e">
        <f>VLOOKUP(65,Order!A$23:T$1111,2,TRUE)</f>
        <v>#N/A</v>
      </c>
      <c r="J69" s="174" t="e">
        <f>VLOOKUP(65,Order!A$23:T$1111,18,TRUE)</f>
        <v>#N/A</v>
      </c>
      <c r="K69" s="174" t="e">
        <f>VLOOKUP(65,Order!A$23:T$1111,20,TRUE)</f>
        <v>#N/A</v>
      </c>
      <c r="L69" s="177"/>
      <c r="M69" s="177"/>
      <c r="N69" s="177"/>
      <c r="O69" s="177"/>
      <c r="P69" s="177"/>
      <c r="Q69" s="177"/>
      <c r="R69" s="177"/>
    </row>
    <row r="70" spans="1:18" x14ac:dyDescent="0.15">
      <c r="A70" s="179" t="e">
        <f t="shared" si="7"/>
        <v>#N/A</v>
      </c>
      <c r="B70" s="183" t="e">
        <f t="shared" si="8"/>
        <v>#N/A</v>
      </c>
      <c r="C70" s="184" t="e">
        <f t="shared" si="9"/>
        <v>#N/A</v>
      </c>
      <c r="D70" s="185" t="e">
        <f t="shared" si="3"/>
        <v>#N/A</v>
      </c>
      <c r="E70" s="177"/>
      <c r="F70" s="177"/>
      <c r="G70" s="177"/>
      <c r="H70" s="174" t="e">
        <f>VLOOKUP(66,Order!A$23:T$1111,4,TRUE)</f>
        <v>#N/A</v>
      </c>
      <c r="I70" s="174" t="e">
        <f>VLOOKUP(66,Order!A$23:T$1111,2,TRUE)</f>
        <v>#N/A</v>
      </c>
      <c r="J70" s="174" t="e">
        <f>VLOOKUP(66,Order!A$23:T$1111,18,TRUE)</f>
        <v>#N/A</v>
      </c>
      <c r="K70" s="174" t="e">
        <f>VLOOKUP(66,Order!A$23:T$1111,20,TRUE)</f>
        <v>#N/A</v>
      </c>
      <c r="L70" s="177"/>
      <c r="M70" s="177"/>
      <c r="N70" s="177"/>
      <c r="O70" s="177"/>
      <c r="P70" s="177"/>
      <c r="Q70" s="177"/>
      <c r="R70" s="177"/>
    </row>
    <row r="71" spans="1:18" x14ac:dyDescent="0.15">
      <c r="A71" s="179" t="e">
        <f t="shared" si="7"/>
        <v>#N/A</v>
      </c>
      <c r="B71" s="183" t="e">
        <f t="shared" si="8"/>
        <v>#N/A</v>
      </c>
      <c r="C71" s="184" t="e">
        <f t="shared" si="9"/>
        <v>#N/A</v>
      </c>
      <c r="D71" s="185" t="e">
        <f t="shared" ref="D71:D134" si="10">IF(H71=H70,"",K71)</f>
        <v>#N/A</v>
      </c>
      <c r="E71" s="177"/>
      <c r="F71" s="177"/>
      <c r="G71" s="177"/>
      <c r="H71" s="174" t="e">
        <f>VLOOKUP(67,Order!A$23:T$1111,4,TRUE)</f>
        <v>#N/A</v>
      </c>
      <c r="I71" s="174" t="e">
        <f>VLOOKUP(67,Order!A$23:T$1111,2,TRUE)</f>
        <v>#N/A</v>
      </c>
      <c r="J71" s="174" t="e">
        <f>VLOOKUP(67,Order!A$23:T$1111,18,TRUE)</f>
        <v>#N/A</v>
      </c>
      <c r="K71" s="174" t="e">
        <f>VLOOKUP(67,Order!A$23:T$1111,20,TRUE)</f>
        <v>#N/A</v>
      </c>
      <c r="L71" s="177"/>
      <c r="M71" s="177"/>
      <c r="N71" s="177"/>
      <c r="O71" s="177"/>
      <c r="P71" s="177"/>
      <c r="Q71" s="177"/>
      <c r="R71" s="177"/>
    </row>
    <row r="72" spans="1:18" x14ac:dyDescent="0.15">
      <c r="A72" s="179" t="e">
        <f t="shared" si="7"/>
        <v>#N/A</v>
      </c>
      <c r="B72" s="183" t="e">
        <f t="shared" si="8"/>
        <v>#N/A</v>
      </c>
      <c r="C72" s="184" t="e">
        <f t="shared" si="9"/>
        <v>#N/A</v>
      </c>
      <c r="D72" s="185" t="e">
        <f t="shared" si="10"/>
        <v>#N/A</v>
      </c>
      <c r="E72" s="177"/>
      <c r="F72" s="177"/>
      <c r="G72" s="177"/>
      <c r="H72" s="174" t="e">
        <f>VLOOKUP(68,Order!A$23:T$1111,4,TRUE)</f>
        <v>#N/A</v>
      </c>
      <c r="I72" s="174" t="e">
        <f>VLOOKUP(68,Order!A$23:T$1111,2,TRUE)</f>
        <v>#N/A</v>
      </c>
      <c r="J72" s="174" t="e">
        <f>VLOOKUP(68,Order!A$23:T$1111,18,TRUE)</f>
        <v>#N/A</v>
      </c>
      <c r="K72" s="174" t="e">
        <f>VLOOKUP(68,Order!A$23:T$1111,20,TRUE)</f>
        <v>#N/A</v>
      </c>
      <c r="L72" s="177"/>
      <c r="M72" s="177"/>
      <c r="N72" s="177"/>
      <c r="O72" s="177"/>
      <c r="P72" s="177"/>
      <c r="Q72" s="177"/>
      <c r="R72" s="177"/>
    </row>
    <row r="73" spans="1:18" x14ac:dyDescent="0.15">
      <c r="A73" s="179" t="e">
        <f t="shared" si="7"/>
        <v>#N/A</v>
      </c>
      <c r="B73" s="183" t="e">
        <f t="shared" si="8"/>
        <v>#N/A</v>
      </c>
      <c r="C73" s="184" t="e">
        <f t="shared" si="9"/>
        <v>#N/A</v>
      </c>
      <c r="D73" s="185" t="e">
        <f t="shared" si="10"/>
        <v>#N/A</v>
      </c>
      <c r="E73" s="177"/>
      <c r="F73" s="177"/>
      <c r="G73" s="177"/>
      <c r="H73" s="174" t="e">
        <f>VLOOKUP(69,Order!A$23:T$1111,4,TRUE)</f>
        <v>#N/A</v>
      </c>
      <c r="I73" s="174" t="e">
        <f>VLOOKUP(69,Order!A$23:T$1111,2,TRUE)</f>
        <v>#N/A</v>
      </c>
      <c r="J73" s="174" t="e">
        <f>VLOOKUP(69,Order!A$23:T$1111,18,TRUE)</f>
        <v>#N/A</v>
      </c>
      <c r="K73" s="174" t="e">
        <f>VLOOKUP(69,Order!A$23:T$1111,20,TRUE)</f>
        <v>#N/A</v>
      </c>
      <c r="L73" s="177"/>
      <c r="M73" s="177"/>
      <c r="N73" s="177"/>
      <c r="O73" s="177"/>
      <c r="P73" s="177"/>
      <c r="Q73" s="177"/>
      <c r="R73" s="177"/>
    </row>
    <row r="74" spans="1:18" x14ac:dyDescent="0.15">
      <c r="A74" s="179" t="e">
        <f t="shared" si="7"/>
        <v>#N/A</v>
      </c>
      <c r="B74" s="183" t="e">
        <f t="shared" si="8"/>
        <v>#N/A</v>
      </c>
      <c r="C74" s="184" t="e">
        <f t="shared" si="9"/>
        <v>#N/A</v>
      </c>
      <c r="D74" s="185" t="e">
        <f t="shared" si="10"/>
        <v>#N/A</v>
      </c>
      <c r="E74" s="177"/>
      <c r="F74" s="177"/>
      <c r="G74" s="177"/>
      <c r="H74" s="174" t="e">
        <f>VLOOKUP(70,Order!A$23:T$1111,4,TRUE)</f>
        <v>#N/A</v>
      </c>
      <c r="I74" s="174" t="e">
        <f>VLOOKUP(70,Order!A$23:T$1111,2,TRUE)</f>
        <v>#N/A</v>
      </c>
      <c r="J74" s="174" t="e">
        <f>VLOOKUP(70,Order!A$23:T$1111,18,TRUE)</f>
        <v>#N/A</v>
      </c>
      <c r="K74" s="174" t="e">
        <f>VLOOKUP(70,Order!A$23:T$1111,20,TRUE)</f>
        <v>#N/A</v>
      </c>
      <c r="L74" s="177"/>
      <c r="M74" s="177"/>
      <c r="N74" s="177"/>
      <c r="O74" s="177"/>
      <c r="P74" s="177"/>
      <c r="Q74" s="177"/>
      <c r="R74" s="177"/>
    </row>
    <row r="75" spans="1:18" x14ac:dyDescent="0.15">
      <c r="A75" s="179" t="e">
        <f t="shared" si="7"/>
        <v>#N/A</v>
      </c>
      <c r="B75" s="183" t="e">
        <f t="shared" si="8"/>
        <v>#N/A</v>
      </c>
      <c r="C75" s="184" t="e">
        <f t="shared" si="9"/>
        <v>#N/A</v>
      </c>
      <c r="D75" s="185" t="e">
        <f t="shared" si="10"/>
        <v>#N/A</v>
      </c>
      <c r="E75" s="177"/>
      <c r="F75" s="177"/>
      <c r="G75" s="177"/>
      <c r="H75" s="174" t="e">
        <f>VLOOKUP(71,Order!A$23:T$1111,4,TRUE)</f>
        <v>#N/A</v>
      </c>
      <c r="I75" s="174" t="e">
        <f>VLOOKUP(71,Order!A$23:T$1111,2,TRUE)</f>
        <v>#N/A</v>
      </c>
      <c r="J75" s="174" t="e">
        <f>VLOOKUP(71,Order!A$23:T$1111,18,TRUE)</f>
        <v>#N/A</v>
      </c>
      <c r="K75" s="174" t="e">
        <f>VLOOKUP(71,Order!A$23:T$1111,20,TRUE)</f>
        <v>#N/A</v>
      </c>
      <c r="L75" s="177"/>
      <c r="M75" s="177"/>
      <c r="N75" s="177"/>
      <c r="O75" s="177"/>
      <c r="P75" s="177"/>
      <c r="Q75" s="177"/>
      <c r="R75" s="177"/>
    </row>
    <row r="76" spans="1:18" x14ac:dyDescent="0.15">
      <c r="A76" s="179" t="e">
        <f t="shared" si="7"/>
        <v>#N/A</v>
      </c>
      <c r="B76" s="183" t="e">
        <f t="shared" si="8"/>
        <v>#N/A</v>
      </c>
      <c r="C76" s="184" t="e">
        <f t="shared" si="9"/>
        <v>#N/A</v>
      </c>
      <c r="D76" s="185" t="e">
        <f t="shared" si="10"/>
        <v>#N/A</v>
      </c>
      <c r="E76" s="177"/>
      <c r="F76" s="177"/>
      <c r="G76" s="177"/>
      <c r="H76" s="174" t="e">
        <f>VLOOKUP(72,Order!A$23:T$1111,4,TRUE)</f>
        <v>#N/A</v>
      </c>
      <c r="I76" s="174" t="e">
        <f>VLOOKUP(72,Order!A$23:T$1111,2,TRUE)</f>
        <v>#N/A</v>
      </c>
      <c r="J76" s="174" t="e">
        <f>VLOOKUP(72,Order!A$23:T$1111,18,TRUE)</f>
        <v>#N/A</v>
      </c>
      <c r="K76" s="174" t="e">
        <f>VLOOKUP(72,Order!A$23:T$1111,20,TRUE)</f>
        <v>#N/A</v>
      </c>
      <c r="L76" s="177"/>
      <c r="M76" s="177"/>
      <c r="N76" s="177"/>
      <c r="O76" s="177"/>
      <c r="P76" s="177"/>
      <c r="Q76" s="177"/>
      <c r="R76" s="177"/>
    </row>
    <row r="77" spans="1:18" x14ac:dyDescent="0.15">
      <c r="A77" s="179" t="e">
        <f t="shared" si="7"/>
        <v>#N/A</v>
      </c>
      <c r="B77" s="183" t="e">
        <f t="shared" si="8"/>
        <v>#N/A</v>
      </c>
      <c r="C77" s="184" t="e">
        <f t="shared" si="9"/>
        <v>#N/A</v>
      </c>
      <c r="D77" s="185" t="e">
        <f t="shared" si="10"/>
        <v>#N/A</v>
      </c>
      <c r="E77" s="177"/>
      <c r="F77" s="177"/>
      <c r="G77" s="177"/>
      <c r="H77" s="174" t="e">
        <f>VLOOKUP(73,Order!A$23:T$1111,4,TRUE)</f>
        <v>#N/A</v>
      </c>
      <c r="I77" s="174" t="e">
        <f>VLOOKUP(73,Order!A$23:T$1111,2,TRUE)</f>
        <v>#N/A</v>
      </c>
      <c r="J77" s="174" t="e">
        <f>VLOOKUP(73,Order!A$23:T$1111,18,TRUE)</f>
        <v>#N/A</v>
      </c>
      <c r="K77" s="174" t="e">
        <f>VLOOKUP(73,Order!A$23:T$1111,20,TRUE)</f>
        <v>#N/A</v>
      </c>
      <c r="L77" s="177"/>
      <c r="M77" s="177"/>
      <c r="N77" s="177"/>
      <c r="O77" s="177"/>
      <c r="P77" s="177"/>
      <c r="Q77" s="177"/>
      <c r="R77" s="177"/>
    </row>
    <row r="78" spans="1:18" x14ac:dyDescent="0.15">
      <c r="A78" s="179" t="e">
        <f t="shared" si="7"/>
        <v>#N/A</v>
      </c>
      <c r="B78" s="183" t="e">
        <f t="shared" si="8"/>
        <v>#N/A</v>
      </c>
      <c r="C78" s="184" t="e">
        <f t="shared" si="9"/>
        <v>#N/A</v>
      </c>
      <c r="D78" s="185" t="e">
        <f t="shared" si="10"/>
        <v>#N/A</v>
      </c>
      <c r="E78" s="177"/>
      <c r="F78" s="177"/>
      <c r="G78" s="177"/>
      <c r="H78" s="174" t="e">
        <f>VLOOKUP(74,Order!A$23:T$1111,4,TRUE)</f>
        <v>#N/A</v>
      </c>
      <c r="I78" s="174" t="e">
        <f>VLOOKUP(74,Order!A$23:T$1111,2,TRUE)</f>
        <v>#N/A</v>
      </c>
      <c r="J78" s="174" t="e">
        <f>VLOOKUP(74,Order!A$23:T$1111,18,TRUE)</f>
        <v>#N/A</v>
      </c>
      <c r="K78" s="174" t="e">
        <f>VLOOKUP(74,Order!A$23:T$1111,20,TRUE)</f>
        <v>#N/A</v>
      </c>
      <c r="L78" s="177"/>
      <c r="M78" s="177"/>
      <c r="N78" s="177"/>
      <c r="O78" s="177"/>
      <c r="P78" s="177"/>
      <c r="Q78" s="177"/>
      <c r="R78" s="177"/>
    </row>
    <row r="79" spans="1:18" x14ac:dyDescent="0.15">
      <c r="A79" s="179" t="e">
        <f t="shared" si="7"/>
        <v>#N/A</v>
      </c>
      <c r="B79" s="183" t="e">
        <f t="shared" si="8"/>
        <v>#N/A</v>
      </c>
      <c r="C79" s="184" t="e">
        <f t="shared" si="9"/>
        <v>#N/A</v>
      </c>
      <c r="D79" s="185" t="e">
        <f t="shared" si="10"/>
        <v>#N/A</v>
      </c>
      <c r="E79" s="177"/>
      <c r="F79" s="177"/>
      <c r="G79" s="177"/>
      <c r="H79" s="174" t="e">
        <f>VLOOKUP(75,Order!A$23:T$1111,4,TRUE)</f>
        <v>#N/A</v>
      </c>
      <c r="I79" s="174" t="e">
        <f>VLOOKUP(75,Order!A$23:T$1111,2,TRUE)</f>
        <v>#N/A</v>
      </c>
      <c r="J79" s="174" t="e">
        <f>VLOOKUP(75,Order!A$23:T$1111,18,TRUE)</f>
        <v>#N/A</v>
      </c>
      <c r="K79" s="174" t="e">
        <f>VLOOKUP(75,Order!A$23:T$1111,20,TRUE)</f>
        <v>#N/A</v>
      </c>
      <c r="L79" s="177"/>
      <c r="M79" s="177"/>
      <c r="N79" s="177"/>
      <c r="O79" s="177"/>
      <c r="P79" s="177"/>
      <c r="Q79" s="177"/>
      <c r="R79" s="177"/>
    </row>
    <row r="80" spans="1:18" x14ac:dyDescent="0.15">
      <c r="A80" s="179" t="e">
        <f t="shared" si="7"/>
        <v>#N/A</v>
      </c>
      <c r="B80" s="183" t="e">
        <f t="shared" si="8"/>
        <v>#N/A</v>
      </c>
      <c r="C80" s="184" t="e">
        <f t="shared" si="9"/>
        <v>#N/A</v>
      </c>
      <c r="D80" s="185" t="e">
        <f t="shared" si="10"/>
        <v>#N/A</v>
      </c>
      <c r="E80" s="177"/>
      <c r="F80" s="177"/>
      <c r="G80" s="177"/>
      <c r="H80" s="174" t="e">
        <f>VLOOKUP(76,Order!A$23:T$1111,4,TRUE)</f>
        <v>#N/A</v>
      </c>
      <c r="I80" s="174" t="e">
        <f>VLOOKUP(76,Order!A$23:T$1111,2,TRUE)</f>
        <v>#N/A</v>
      </c>
      <c r="J80" s="174" t="e">
        <f>VLOOKUP(76,Order!A$23:T$1111,18,TRUE)</f>
        <v>#N/A</v>
      </c>
      <c r="K80" s="174" t="e">
        <f>VLOOKUP(76,Order!A$23:T$1111,20,TRUE)</f>
        <v>#N/A</v>
      </c>
      <c r="L80" s="177"/>
      <c r="M80" s="177"/>
      <c r="N80" s="177"/>
      <c r="O80" s="177"/>
      <c r="P80" s="177"/>
      <c r="Q80" s="177"/>
      <c r="R80" s="177"/>
    </row>
    <row r="81" spans="1:18" x14ac:dyDescent="0.15">
      <c r="A81" s="179" t="e">
        <f t="shared" si="7"/>
        <v>#N/A</v>
      </c>
      <c r="B81" s="183" t="e">
        <f t="shared" si="8"/>
        <v>#N/A</v>
      </c>
      <c r="C81" s="184" t="e">
        <f t="shared" si="9"/>
        <v>#N/A</v>
      </c>
      <c r="D81" s="185" t="e">
        <f t="shared" si="10"/>
        <v>#N/A</v>
      </c>
      <c r="E81" s="177"/>
      <c r="F81" s="177"/>
      <c r="G81" s="177"/>
      <c r="H81" s="174" t="e">
        <f>VLOOKUP(77,Order!A$23:T$1111,4,TRUE)</f>
        <v>#N/A</v>
      </c>
      <c r="I81" s="174" t="e">
        <f>VLOOKUP(77,Order!A$23:T$1111,2,TRUE)</f>
        <v>#N/A</v>
      </c>
      <c r="J81" s="174" t="e">
        <f>VLOOKUP(77,Order!A$23:T$1111,18,TRUE)</f>
        <v>#N/A</v>
      </c>
      <c r="K81" s="174" t="e">
        <f>VLOOKUP(77,Order!A$23:T$1111,20,TRUE)</f>
        <v>#N/A</v>
      </c>
      <c r="L81" s="177"/>
      <c r="M81" s="177"/>
      <c r="N81" s="177"/>
      <c r="O81" s="177"/>
      <c r="P81" s="177"/>
      <c r="Q81" s="177"/>
      <c r="R81" s="177"/>
    </row>
    <row r="82" spans="1:18" x14ac:dyDescent="0.15">
      <c r="A82" s="179" t="e">
        <f t="shared" si="7"/>
        <v>#N/A</v>
      </c>
      <c r="B82" s="183" t="e">
        <f t="shared" si="8"/>
        <v>#N/A</v>
      </c>
      <c r="C82" s="184" t="e">
        <f t="shared" si="9"/>
        <v>#N/A</v>
      </c>
      <c r="D82" s="185" t="e">
        <f t="shared" si="10"/>
        <v>#N/A</v>
      </c>
      <c r="E82" s="177"/>
      <c r="F82" s="177"/>
      <c r="G82" s="177"/>
      <c r="H82" s="174" t="e">
        <f>VLOOKUP(78,Order!A$23:T$1111,4,TRUE)</f>
        <v>#N/A</v>
      </c>
      <c r="I82" s="174" t="e">
        <f>VLOOKUP(78,Order!A$23:T$1111,2,TRUE)</f>
        <v>#N/A</v>
      </c>
      <c r="J82" s="174" t="e">
        <f>VLOOKUP(78,Order!A$23:T$1111,18,TRUE)</f>
        <v>#N/A</v>
      </c>
      <c r="K82" s="174" t="e">
        <f>VLOOKUP(78,Order!A$23:T$1111,20,TRUE)</f>
        <v>#N/A</v>
      </c>
      <c r="L82" s="177"/>
      <c r="M82" s="177"/>
      <c r="N82" s="177"/>
      <c r="O82" s="177"/>
      <c r="P82" s="177"/>
      <c r="Q82" s="177"/>
      <c r="R82" s="177"/>
    </row>
    <row r="83" spans="1:18" x14ac:dyDescent="0.15">
      <c r="A83" s="179" t="e">
        <f t="shared" si="7"/>
        <v>#N/A</v>
      </c>
      <c r="B83" s="183" t="e">
        <f t="shared" si="8"/>
        <v>#N/A</v>
      </c>
      <c r="C83" s="184" t="e">
        <f t="shared" si="9"/>
        <v>#N/A</v>
      </c>
      <c r="D83" s="185" t="e">
        <f t="shared" si="10"/>
        <v>#N/A</v>
      </c>
      <c r="E83" s="177"/>
      <c r="F83" s="177"/>
      <c r="G83" s="177"/>
      <c r="H83" s="174" t="e">
        <f>VLOOKUP(79,Order!A$23:T$1111,4,TRUE)</f>
        <v>#N/A</v>
      </c>
      <c r="I83" s="174" t="e">
        <f>VLOOKUP(79,Order!A$23:T$1111,2,TRUE)</f>
        <v>#N/A</v>
      </c>
      <c r="J83" s="174" t="e">
        <f>VLOOKUP(79,Order!A$23:T$1111,18,TRUE)</f>
        <v>#N/A</v>
      </c>
      <c r="K83" s="174" t="e">
        <f>VLOOKUP(79,Order!A$23:T$1111,20,TRUE)</f>
        <v>#N/A</v>
      </c>
      <c r="L83" s="177"/>
      <c r="M83" s="177"/>
      <c r="N83" s="177"/>
      <c r="O83" s="177"/>
      <c r="P83" s="177"/>
      <c r="Q83" s="177"/>
      <c r="R83" s="177"/>
    </row>
    <row r="84" spans="1:18" x14ac:dyDescent="0.15">
      <c r="A84" s="179" t="e">
        <f t="shared" si="7"/>
        <v>#N/A</v>
      </c>
      <c r="B84" s="183" t="e">
        <f t="shared" si="8"/>
        <v>#N/A</v>
      </c>
      <c r="C84" s="184" t="e">
        <f t="shared" si="9"/>
        <v>#N/A</v>
      </c>
      <c r="D84" s="185" t="e">
        <f t="shared" si="10"/>
        <v>#N/A</v>
      </c>
      <c r="E84" s="177"/>
      <c r="F84" s="177"/>
      <c r="G84" s="177"/>
      <c r="H84" s="174" t="e">
        <f>VLOOKUP(80,Order!A$23:T$1111,4,TRUE)</f>
        <v>#N/A</v>
      </c>
      <c r="I84" s="174" t="e">
        <f>VLOOKUP(80,Order!A$23:T$1111,2,TRUE)</f>
        <v>#N/A</v>
      </c>
      <c r="J84" s="174" t="e">
        <f>VLOOKUP(80,Order!A$23:T$1111,18,TRUE)</f>
        <v>#N/A</v>
      </c>
      <c r="K84" s="174" t="e">
        <f>VLOOKUP(80,Order!A$23:T$1111,20,TRUE)</f>
        <v>#N/A</v>
      </c>
      <c r="L84" s="177"/>
      <c r="M84" s="177"/>
      <c r="N84" s="177"/>
      <c r="O84" s="177"/>
      <c r="P84" s="177"/>
      <c r="Q84" s="177"/>
      <c r="R84" s="177"/>
    </row>
    <row r="85" spans="1:18" x14ac:dyDescent="0.15">
      <c r="A85" s="179" t="e">
        <f t="shared" si="7"/>
        <v>#N/A</v>
      </c>
      <c r="B85" s="183" t="e">
        <f t="shared" si="8"/>
        <v>#N/A</v>
      </c>
      <c r="C85" s="184" t="e">
        <f t="shared" si="9"/>
        <v>#N/A</v>
      </c>
      <c r="D85" s="185" t="e">
        <f t="shared" si="10"/>
        <v>#N/A</v>
      </c>
      <c r="E85" s="177"/>
      <c r="F85" s="177"/>
      <c r="G85" s="177"/>
      <c r="H85" s="174" t="e">
        <f>VLOOKUP(81,Order!A$23:T$1111,4,TRUE)</f>
        <v>#N/A</v>
      </c>
      <c r="I85" s="174" t="e">
        <f>VLOOKUP(81,Order!A$23:T$1111,2,TRUE)</f>
        <v>#N/A</v>
      </c>
      <c r="J85" s="174" t="e">
        <f>VLOOKUP(81,Order!A$23:T$1111,18,TRUE)</f>
        <v>#N/A</v>
      </c>
      <c r="K85" s="174" t="e">
        <f>VLOOKUP(81,Order!A$23:T$1111,20,TRUE)</f>
        <v>#N/A</v>
      </c>
      <c r="L85" s="177"/>
      <c r="M85" s="177"/>
      <c r="N85" s="177"/>
      <c r="O85" s="177"/>
      <c r="P85" s="177"/>
      <c r="Q85" s="177"/>
      <c r="R85" s="177"/>
    </row>
    <row r="86" spans="1:18" x14ac:dyDescent="0.15">
      <c r="A86" s="179" t="e">
        <f t="shared" si="7"/>
        <v>#N/A</v>
      </c>
      <c r="B86" s="183" t="e">
        <f t="shared" si="8"/>
        <v>#N/A</v>
      </c>
      <c r="C86" s="184" t="e">
        <f t="shared" si="9"/>
        <v>#N/A</v>
      </c>
      <c r="D86" s="185" t="e">
        <f t="shared" si="10"/>
        <v>#N/A</v>
      </c>
      <c r="E86" s="177"/>
      <c r="F86" s="177"/>
      <c r="G86" s="177"/>
      <c r="H86" s="174" t="e">
        <f>VLOOKUP(82,Order!A$23:T$1111,4,TRUE)</f>
        <v>#N/A</v>
      </c>
      <c r="I86" s="174" t="e">
        <f>VLOOKUP(82,Order!A$23:T$1111,2,TRUE)</f>
        <v>#N/A</v>
      </c>
      <c r="J86" s="174" t="e">
        <f>VLOOKUP(82,Order!A$23:T$1111,18,TRUE)</f>
        <v>#N/A</v>
      </c>
      <c r="K86" s="174" t="e">
        <f>VLOOKUP(82,Order!A$23:T$1111,20,TRUE)</f>
        <v>#N/A</v>
      </c>
      <c r="L86" s="177"/>
      <c r="M86" s="177"/>
      <c r="N86" s="177"/>
      <c r="O86" s="177"/>
      <c r="P86" s="177"/>
      <c r="Q86" s="177"/>
      <c r="R86" s="177"/>
    </row>
    <row r="87" spans="1:18" x14ac:dyDescent="0.15">
      <c r="A87" s="179" t="e">
        <f t="shared" si="7"/>
        <v>#N/A</v>
      </c>
      <c r="B87" s="183" t="e">
        <f t="shared" si="8"/>
        <v>#N/A</v>
      </c>
      <c r="C87" s="184" t="e">
        <f t="shared" si="9"/>
        <v>#N/A</v>
      </c>
      <c r="D87" s="185" t="e">
        <f t="shared" si="10"/>
        <v>#N/A</v>
      </c>
      <c r="E87" s="177"/>
      <c r="F87" s="177"/>
      <c r="G87" s="177"/>
      <c r="H87" s="174" t="e">
        <f>VLOOKUP(83,Order!A$23:T$1111,4,TRUE)</f>
        <v>#N/A</v>
      </c>
      <c r="I87" s="174" t="e">
        <f>VLOOKUP(83,Order!A$23:T$1111,2,TRUE)</f>
        <v>#N/A</v>
      </c>
      <c r="J87" s="174" t="e">
        <f>VLOOKUP(83,Order!A$23:T$1111,18,TRUE)</f>
        <v>#N/A</v>
      </c>
      <c r="K87" s="174" t="e">
        <f>VLOOKUP(83,Order!A$23:T$1111,20,TRUE)</f>
        <v>#N/A</v>
      </c>
      <c r="L87" s="177"/>
      <c r="M87" s="177"/>
      <c r="N87" s="177"/>
      <c r="O87" s="177"/>
      <c r="P87" s="177"/>
      <c r="Q87" s="177"/>
      <c r="R87" s="177"/>
    </row>
    <row r="88" spans="1:18" x14ac:dyDescent="0.15">
      <c r="A88" s="179" t="e">
        <f t="shared" si="7"/>
        <v>#N/A</v>
      </c>
      <c r="B88" s="183" t="e">
        <f t="shared" si="8"/>
        <v>#N/A</v>
      </c>
      <c r="C88" s="184" t="e">
        <f t="shared" si="9"/>
        <v>#N/A</v>
      </c>
      <c r="D88" s="185" t="e">
        <f t="shared" si="10"/>
        <v>#N/A</v>
      </c>
      <c r="E88" s="177"/>
      <c r="F88" s="177"/>
      <c r="G88" s="177"/>
      <c r="H88" s="174" t="e">
        <f>VLOOKUP(84,Order!A$23:T$1111,4,TRUE)</f>
        <v>#N/A</v>
      </c>
      <c r="I88" s="174" t="e">
        <f>VLOOKUP(84,Order!A$23:T$1111,2,TRUE)</f>
        <v>#N/A</v>
      </c>
      <c r="J88" s="174" t="e">
        <f>VLOOKUP(84,Order!A$23:T$1111,18,TRUE)</f>
        <v>#N/A</v>
      </c>
      <c r="K88" s="174" t="e">
        <f>VLOOKUP(84,Order!A$23:T$1111,20,TRUE)</f>
        <v>#N/A</v>
      </c>
      <c r="L88" s="177"/>
      <c r="M88" s="177"/>
      <c r="N88" s="177"/>
      <c r="O88" s="177"/>
      <c r="P88" s="177"/>
      <c r="Q88" s="177"/>
      <c r="R88" s="177"/>
    </row>
    <row r="89" spans="1:18" x14ac:dyDescent="0.15">
      <c r="A89" s="179" t="e">
        <f t="shared" si="7"/>
        <v>#N/A</v>
      </c>
      <c r="B89" s="183" t="e">
        <f t="shared" si="8"/>
        <v>#N/A</v>
      </c>
      <c r="C89" s="184" t="e">
        <f t="shared" si="9"/>
        <v>#N/A</v>
      </c>
      <c r="D89" s="185" t="e">
        <f t="shared" si="10"/>
        <v>#N/A</v>
      </c>
      <c r="E89" s="177"/>
      <c r="F89" s="177"/>
      <c r="G89" s="177"/>
      <c r="H89" s="174" t="e">
        <f>VLOOKUP(85,Order!A$23:T$1111,4,TRUE)</f>
        <v>#N/A</v>
      </c>
      <c r="I89" s="174" t="e">
        <f>VLOOKUP(85,Order!A$23:T$1111,2,TRUE)</f>
        <v>#N/A</v>
      </c>
      <c r="J89" s="174" t="e">
        <f>VLOOKUP(85,Order!A$23:T$1111,18,TRUE)</f>
        <v>#N/A</v>
      </c>
      <c r="K89" s="174" t="e">
        <f>VLOOKUP(85,Order!A$23:T$1111,20,TRUE)</f>
        <v>#N/A</v>
      </c>
      <c r="L89" s="177"/>
      <c r="M89" s="177"/>
      <c r="N89" s="177"/>
      <c r="O89" s="177"/>
      <c r="P89" s="177"/>
      <c r="Q89" s="177"/>
      <c r="R89" s="177"/>
    </row>
    <row r="90" spans="1:18" x14ac:dyDescent="0.15">
      <c r="A90" s="179" t="e">
        <f t="shared" si="7"/>
        <v>#N/A</v>
      </c>
      <c r="B90" s="183" t="e">
        <f t="shared" si="8"/>
        <v>#N/A</v>
      </c>
      <c r="C90" s="184" t="e">
        <f t="shared" si="9"/>
        <v>#N/A</v>
      </c>
      <c r="D90" s="185" t="e">
        <f t="shared" si="10"/>
        <v>#N/A</v>
      </c>
      <c r="E90" s="177"/>
      <c r="F90" s="177"/>
      <c r="G90" s="177"/>
      <c r="H90" s="174" t="e">
        <f>VLOOKUP(86,Order!A$23:T$1111,4,TRUE)</f>
        <v>#N/A</v>
      </c>
      <c r="I90" s="174" t="e">
        <f>VLOOKUP(86,Order!A$23:T$1111,2,TRUE)</f>
        <v>#N/A</v>
      </c>
      <c r="J90" s="174" t="e">
        <f>VLOOKUP(86,Order!A$23:T$1111,18,TRUE)</f>
        <v>#N/A</v>
      </c>
      <c r="K90" s="174" t="e">
        <f>VLOOKUP(86,Order!A$23:T$1111,20,TRUE)</f>
        <v>#N/A</v>
      </c>
      <c r="L90" s="177"/>
      <c r="M90" s="177"/>
      <c r="N90" s="177"/>
      <c r="O90" s="177"/>
      <c r="P90" s="177"/>
      <c r="Q90" s="177"/>
      <c r="R90" s="177"/>
    </row>
    <row r="91" spans="1:18" x14ac:dyDescent="0.15">
      <c r="A91" s="179" t="e">
        <f t="shared" si="7"/>
        <v>#N/A</v>
      </c>
      <c r="B91" s="183" t="e">
        <f t="shared" si="8"/>
        <v>#N/A</v>
      </c>
      <c r="C91" s="184" t="e">
        <f t="shared" si="9"/>
        <v>#N/A</v>
      </c>
      <c r="D91" s="185" t="e">
        <f t="shared" si="10"/>
        <v>#N/A</v>
      </c>
      <c r="E91" s="177"/>
      <c r="F91" s="177"/>
      <c r="G91" s="177"/>
      <c r="H91" s="174" t="e">
        <f>VLOOKUP(87,Order!A$23:T$1111,4,TRUE)</f>
        <v>#N/A</v>
      </c>
      <c r="I91" s="174" t="e">
        <f>VLOOKUP(87,Order!A$23:T$1111,2,TRUE)</f>
        <v>#N/A</v>
      </c>
      <c r="J91" s="174" t="e">
        <f>VLOOKUP(87,Order!A$23:T$1111,18,TRUE)</f>
        <v>#N/A</v>
      </c>
      <c r="K91" s="174" t="e">
        <f>VLOOKUP(87,Order!A$23:T$1111,20,TRUE)</f>
        <v>#N/A</v>
      </c>
      <c r="L91" s="177"/>
      <c r="M91" s="177"/>
      <c r="N91" s="177"/>
      <c r="O91" s="177"/>
      <c r="P91" s="177"/>
      <c r="Q91" s="177"/>
      <c r="R91" s="177"/>
    </row>
    <row r="92" spans="1:18" x14ac:dyDescent="0.15">
      <c r="A92" s="179" t="e">
        <f t="shared" si="7"/>
        <v>#N/A</v>
      </c>
      <c r="B92" s="183" t="e">
        <f t="shared" si="8"/>
        <v>#N/A</v>
      </c>
      <c r="C92" s="184" t="e">
        <f t="shared" si="9"/>
        <v>#N/A</v>
      </c>
      <c r="D92" s="185" t="e">
        <f t="shared" si="10"/>
        <v>#N/A</v>
      </c>
      <c r="E92" s="177"/>
      <c r="F92" s="177"/>
      <c r="G92" s="177"/>
      <c r="H92" s="174" t="e">
        <f>VLOOKUP(88,Order!A$23:T$1111,4,TRUE)</f>
        <v>#N/A</v>
      </c>
      <c r="I92" s="174" t="e">
        <f>VLOOKUP(88,Order!A$23:T$1111,2,TRUE)</f>
        <v>#N/A</v>
      </c>
      <c r="J92" s="174" t="e">
        <f>VLOOKUP(88,Order!A$23:T$1111,18,TRUE)</f>
        <v>#N/A</v>
      </c>
      <c r="K92" s="174" t="e">
        <f>VLOOKUP(88,Order!A$23:T$1111,20,TRUE)</f>
        <v>#N/A</v>
      </c>
      <c r="L92" s="177"/>
      <c r="M92" s="177"/>
      <c r="N92" s="177"/>
      <c r="O92" s="177"/>
      <c r="P92" s="177"/>
      <c r="Q92" s="177"/>
      <c r="R92" s="177"/>
    </row>
    <row r="93" spans="1:18" x14ac:dyDescent="0.15">
      <c r="A93" s="179" t="e">
        <f t="shared" si="7"/>
        <v>#N/A</v>
      </c>
      <c r="B93" s="183" t="e">
        <f t="shared" si="8"/>
        <v>#N/A</v>
      </c>
      <c r="C93" s="184" t="e">
        <f t="shared" si="9"/>
        <v>#N/A</v>
      </c>
      <c r="D93" s="185" t="e">
        <f t="shared" si="10"/>
        <v>#N/A</v>
      </c>
      <c r="E93" s="177"/>
      <c r="F93" s="177"/>
      <c r="G93" s="177"/>
      <c r="H93" s="174" t="e">
        <f>VLOOKUP(89,Order!A$23:T$1111,4,TRUE)</f>
        <v>#N/A</v>
      </c>
      <c r="I93" s="174" t="e">
        <f>VLOOKUP(89,Order!A$23:T$1111,2,TRUE)</f>
        <v>#N/A</v>
      </c>
      <c r="J93" s="174" t="e">
        <f>VLOOKUP(89,Order!A$23:T$1111,18,TRUE)</f>
        <v>#N/A</v>
      </c>
      <c r="K93" s="174" t="e">
        <f>VLOOKUP(89,Order!A$23:T$1111,20,TRUE)</f>
        <v>#N/A</v>
      </c>
      <c r="L93" s="177"/>
      <c r="M93" s="177"/>
      <c r="N93" s="177"/>
      <c r="O93" s="177"/>
      <c r="P93" s="177"/>
      <c r="Q93" s="177"/>
      <c r="R93" s="177"/>
    </row>
    <row r="94" spans="1:18" x14ac:dyDescent="0.15">
      <c r="A94" s="179" t="e">
        <f t="shared" si="7"/>
        <v>#N/A</v>
      </c>
      <c r="B94" s="183" t="e">
        <f t="shared" si="8"/>
        <v>#N/A</v>
      </c>
      <c r="C94" s="184" t="e">
        <f t="shared" si="9"/>
        <v>#N/A</v>
      </c>
      <c r="D94" s="185" t="e">
        <f t="shared" si="10"/>
        <v>#N/A</v>
      </c>
      <c r="E94" s="177"/>
      <c r="F94" s="177"/>
      <c r="G94" s="177"/>
      <c r="H94" s="174" t="e">
        <f>VLOOKUP(90,Order!A$23:T$1111,4,TRUE)</f>
        <v>#N/A</v>
      </c>
      <c r="I94" s="174" t="e">
        <f>VLOOKUP(90,Order!A$23:T$1111,2,TRUE)</f>
        <v>#N/A</v>
      </c>
      <c r="J94" s="174" t="e">
        <f>VLOOKUP(90,Order!A$23:T$1111,18,TRUE)</f>
        <v>#N/A</v>
      </c>
      <c r="K94" s="174" t="e">
        <f>VLOOKUP(90,Order!A$23:T$1111,20,TRUE)</f>
        <v>#N/A</v>
      </c>
      <c r="L94" s="177"/>
      <c r="M94" s="177"/>
      <c r="N94" s="177"/>
      <c r="O94" s="177"/>
      <c r="P94" s="177"/>
      <c r="Q94" s="177"/>
      <c r="R94" s="177"/>
    </row>
    <row r="95" spans="1:18" x14ac:dyDescent="0.15">
      <c r="A95" s="179" t="e">
        <f t="shared" si="7"/>
        <v>#N/A</v>
      </c>
      <c r="B95" s="183" t="e">
        <f t="shared" si="8"/>
        <v>#N/A</v>
      </c>
      <c r="C95" s="184" t="e">
        <f t="shared" si="9"/>
        <v>#N/A</v>
      </c>
      <c r="D95" s="185" t="e">
        <f t="shared" si="10"/>
        <v>#N/A</v>
      </c>
      <c r="E95" s="177"/>
      <c r="F95" s="177"/>
      <c r="G95" s="177"/>
      <c r="H95" s="174" t="e">
        <f>VLOOKUP(91,Order!A$23:T$1111,4,TRUE)</f>
        <v>#N/A</v>
      </c>
      <c r="I95" s="174" t="e">
        <f>VLOOKUP(91,Order!A$23:T$1111,2,TRUE)</f>
        <v>#N/A</v>
      </c>
      <c r="J95" s="174" t="e">
        <f>VLOOKUP(91,Order!A$23:T$1111,18,TRUE)</f>
        <v>#N/A</v>
      </c>
      <c r="K95" s="174" t="e">
        <f>VLOOKUP(91,Order!A$23:T$1111,20,TRUE)</f>
        <v>#N/A</v>
      </c>
      <c r="L95" s="177"/>
      <c r="M95" s="177"/>
      <c r="N95" s="177"/>
      <c r="O95" s="177"/>
      <c r="P95" s="177"/>
      <c r="Q95" s="177"/>
      <c r="R95" s="177"/>
    </row>
    <row r="96" spans="1:18" x14ac:dyDescent="0.15">
      <c r="A96" s="179" t="e">
        <f t="shared" si="7"/>
        <v>#N/A</v>
      </c>
      <c r="B96" s="183" t="e">
        <f t="shared" si="8"/>
        <v>#N/A</v>
      </c>
      <c r="C96" s="184" t="e">
        <f t="shared" si="9"/>
        <v>#N/A</v>
      </c>
      <c r="D96" s="185" t="e">
        <f t="shared" si="10"/>
        <v>#N/A</v>
      </c>
      <c r="E96" s="177"/>
      <c r="F96" s="177"/>
      <c r="G96" s="177"/>
      <c r="H96" s="174" t="e">
        <f>VLOOKUP(92,Order!A$23:T$1111,4,TRUE)</f>
        <v>#N/A</v>
      </c>
      <c r="I96" s="174" t="e">
        <f>VLOOKUP(92,Order!A$23:T$1111,2,TRUE)</f>
        <v>#N/A</v>
      </c>
      <c r="J96" s="174" t="e">
        <f>VLOOKUP(92,Order!A$23:T$1111,18,TRUE)</f>
        <v>#N/A</v>
      </c>
      <c r="K96" s="174" t="e">
        <f>VLOOKUP(92,Order!A$23:T$1111,20,TRUE)</f>
        <v>#N/A</v>
      </c>
      <c r="L96" s="177"/>
      <c r="M96" s="177"/>
      <c r="N96" s="177"/>
      <c r="O96" s="177"/>
      <c r="P96" s="177"/>
      <c r="Q96" s="177"/>
      <c r="R96" s="177"/>
    </row>
    <row r="97" spans="1:18" x14ac:dyDescent="0.15">
      <c r="A97" s="179" t="e">
        <f t="shared" si="7"/>
        <v>#N/A</v>
      </c>
      <c r="B97" s="183" t="e">
        <f t="shared" si="8"/>
        <v>#N/A</v>
      </c>
      <c r="C97" s="184" t="e">
        <f t="shared" si="9"/>
        <v>#N/A</v>
      </c>
      <c r="D97" s="185" t="e">
        <f t="shared" si="10"/>
        <v>#N/A</v>
      </c>
      <c r="E97" s="177"/>
      <c r="F97" s="177"/>
      <c r="G97" s="177"/>
      <c r="H97" s="174" t="e">
        <f>VLOOKUP(93,Order!A$23:T$1111,4,TRUE)</f>
        <v>#N/A</v>
      </c>
      <c r="I97" s="174" t="e">
        <f>VLOOKUP(93,Order!A$23:T$1111,2,TRUE)</f>
        <v>#N/A</v>
      </c>
      <c r="J97" s="174" t="e">
        <f>VLOOKUP(93,Order!A$23:T$1111,18,TRUE)</f>
        <v>#N/A</v>
      </c>
      <c r="K97" s="174" t="e">
        <f>VLOOKUP(93,Order!A$23:T$1111,20,TRUE)</f>
        <v>#N/A</v>
      </c>
      <c r="L97" s="177"/>
      <c r="M97" s="177"/>
      <c r="N97" s="177"/>
      <c r="O97" s="177"/>
      <c r="P97" s="177"/>
      <c r="Q97" s="177"/>
      <c r="R97" s="177"/>
    </row>
    <row r="98" spans="1:18" x14ac:dyDescent="0.15">
      <c r="A98" s="179" t="e">
        <f t="shared" si="7"/>
        <v>#N/A</v>
      </c>
      <c r="B98" s="183" t="e">
        <f t="shared" si="8"/>
        <v>#N/A</v>
      </c>
      <c r="C98" s="184" t="e">
        <f t="shared" si="9"/>
        <v>#N/A</v>
      </c>
      <c r="D98" s="185" t="e">
        <f t="shared" si="10"/>
        <v>#N/A</v>
      </c>
      <c r="E98" s="177"/>
      <c r="F98" s="177"/>
      <c r="G98" s="177"/>
      <c r="H98" s="174" t="e">
        <f>VLOOKUP(94,Order!A$23:T$1111,4,TRUE)</f>
        <v>#N/A</v>
      </c>
      <c r="I98" s="174" t="e">
        <f>VLOOKUP(94,Order!A$23:T$1111,2,TRUE)</f>
        <v>#N/A</v>
      </c>
      <c r="J98" s="174" t="e">
        <f>VLOOKUP(94,Order!A$23:T$1111,18,TRUE)</f>
        <v>#N/A</v>
      </c>
      <c r="K98" s="174" t="e">
        <f>VLOOKUP(94,Order!A$23:T$1111,20,TRUE)</f>
        <v>#N/A</v>
      </c>
      <c r="L98" s="177"/>
      <c r="M98" s="177"/>
      <c r="N98" s="177"/>
      <c r="O98" s="177"/>
      <c r="P98" s="177"/>
      <c r="Q98" s="177"/>
      <c r="R98" s="177"/>
    </row>
    <row r="99" spans="1:18" x14ac:dyDescent="0.15">
      <c r="A99" s="179" t="e">
        <f t="shared" si="7"/>
        <v>#N/A</v>
      </c>
      <c r="B99" s="183" t="e">
        <f t="shared" si="8"/>
        <v>#N/A</v>
      </c>
      <c r="C99" s="184" t="e">
        <f t="shared" si="9"/>
        <v>#N/A</v>
      </c>
      <c r="D99" s="185" t="e">
        <f t="shared" si="10"/>
        <v>#N/A</v>
      </c>
      <c r="E99" s="177"/>
      <c r="F99" s="177"/>
      <c r="G99" s="177"/>
      <c r="H99" s="174" t="e">
        <f>VLOOKUP(95,Order!A$23:T$1111,4,TRUE)</f>
        <v>#N/A</v>
      </c>
      <c r="I99" s="174" t="e">
        <f>VLOOKUP(95,Order!A$23:T$1111,2,TRUE)</f>
        <v>#N/A</v>
      </c>
      <c r="J99" s="174" t="e">
        <f>VLOOKUP(95,Order!A$23:T$1111,18,TRUE)</f>
        <v>#N/A</v>
      </c>
      <c r="K99" s="174" t="e">
        <f>VLOOKUP(95,Order!A$23:T$1111,20,TRUE)</f>
        <v>#N/A</v>
      </c>
      <c r="L99" s="177"/>
      <c r="M99" s="177"/>
      <c r="N99" s="177"/>
      <c r="O99" s="177"/>
      <c r="P99" s="177"/>
      <c r="Q99" s="177"/>
      <c r="R99" s="177"/>
    </row>
    <row r="100" spans="1:18" x14ac:dyDescent="0.15">
      <c r="A100" s="179" t="e">
        <f t="shared" si="7"/>
        <v>#N/A</v>
      </c>
      <c r="B100" s="183" t="e">
        <f t="shared" si="8"/>
        <v>#N/A</v>
      </c>
      <c r="C100" s="184" t="e">
        <f t="shared" si="9"/>
        <v>#N/A</v>
      </c>
      <c r="D100" s="185" t="e">
        <f t="shared" si="10"/>
        <v>#N/A</v>
      </c>
      <c r="E100" s="177"/>
      <c r="F100" s="177"/>
      <c r="G100" s="177"/>
      <c r="H100" s="174" t="e">
        <f>VLOOKUP(96,Order!A$23:T$1111,4,TRUE)</f>
        <v>#N/A</v>
      </c>
      <c r="I100" s="174" t="e">
        <f>VLOOKUP(96,Order!A$23:T$1111,2,TRUE)</f>
        <v>#N/A</v>
      </c>
      <c r="J100" s="174" t="e">
        <f>VLOOKUP(96,Order!A$23:T$1111,18,TRUE)</f>
        <v>#N/A</v>
      </c>
      <c r="K100" s="174" t="e">
        <f>VLOOKUP(96,Order!A$23:T$1111,20,TRUE)</f>
        <v>#N/A</v>
      </c>
      <c r="L100" s="177"/>
      <c r="M100" s="177"/>
      <c r="N100" s="177"/>
      <c r="O100" s="177"/>
      <c r="P100" s="177"/>
      <c r="Q100" s="177"/>
      <c r="R100" s="177"/>
    </row>
    <row r="101" spans="1:18" x14ac:dyDescent="0.15">
      <c r="A101" s="179" t="e">
        <f t="shared" si="7"/>
        <v>#N/A</v>
      </c>
      <c r="B101" s="183" t="e">
        <f t="shared" si="8"/>
        <v>#N/A</v>
      </c>
      <c r="C101" s="184" t="e">
        <f t="shared" si="9"/>
        <v>#N/A</v>
      </c>
      <c r="D101" s="185" t="e">
        <f t="shared" si="10"/>
        <v>#N/A</v>
      </c>
      <c r="E101" s="177"/>
      <c r="F101" s="177"/>
      <c r="G101" s="177"/>
      <c r="H101" s="174" t="e">
        <f>VLOOKUP(97,Order!A$23:T$1111,4,TRUE)</f>
        <v>#N/A</v>
      </c>
      <c r="I101" s="174" t="e">
        <f>VLOOKUP(97,Order!A$23:T$1111,2,TRUE)</f>
        <v>#N/A</v>
      </c>
      <c r="J101" s="174" t="e">
        <f>VLOOKUP(97,Order!A$23:T$1111,18,TRUE)</f>
        <v>#N/A</v>
      </c>
      <c r="K101" s="174" t="e">
        <f>VLOOKUP(97,Order!A$23:T$1111,20,TRUE)</f>
        <v>#N/A</v>
      </c>
      <c r="L101" s="177"/>
      <c r="M101" s="177"/>
      <c r="N101" s="177"/>
      <c r="O101" s="177"/>
      <c r="P101" s="177"/>
      <c r="Q101" s="177"/>
      <c r="R101" s="177"/>
    </row>
    <row r="102" spans="1:18" x14ac:dyDescent="0.15">
      <c r="A102" s="179" t="e">
        <f t="shared" si="7"/>
        <v>#N/A</v>
      </c>
      <c r="B102" s="183" t="e">
        <f t="shared" si="8"/>
        <v>#N/A</v>
      </c>
      <c r="C102" s="184" t="e">
        <f t="shared" si="9"/>
        <v>#N/A</v>
      </c>
      <c r="D102" s="185" t="e">
        <f t="shared" si="10"/>
        <v>#N/A</v>
      </c>
      <c r="E102" s="177"/>
      <c r="F102" s="177"/>
      <c r="G102" s="177"/>
      <c r="H102" s="174" t="e">
        <f>VLOOKUP(98,Order!A$23:T$1111,4,TRUE)</f>
        <v>#N/A</v>
      </c>
      <c r="I102" s="174" t="e">
        <f>VLOOKUP(98,Order!A$23:T$1111,2,TRUE)</f>
        <v>#N/A</v>
      </c>
      <c r="J102" s="174" t="e">
        <f>VLOOKUP(98,Order!A$23:T$1111,18,TRUE)</f>
        <v>#N/A</v>
      </c>
      <c r="K102" s="174" t="e">
        <f>VLOOKUP(98,Order!A$23:T$1111,20,TRUE)</f>
        <v>#N/A</v>
      </c>
      <c r="L102" s="177"/>
      <c r="M102" s="177"/>
      <c r="N102" s="177"/>
      <c r="O102" s="177"/>
      <c r="P102" s="177"/>
      <c r="Q102" s="177"/>
      <c r="R102" s="177"/>
    </row>
    <row r="103" spans="1:18" x14ac:dyDescent="0.15">
      <c r="A103" s="179" t="e">
        <f t="shared" si="7"/>
        <v>#N/A</v>
      </c>
      <c r="B103" s="183" t="e">
        <f t="shared" si="8"/>
        <v>#N/A</v>
      </c>
      <c r="C103" s="184" t="e">
        <f t="shared" si="9"/>
        <v>#N/A</v>
      </c>
      <c r="D103" s="185" t="e">
        <f t="shared" si="10"/>
        <v>#N/A</v>
      </c>
      <c r="E103" s="177"/>
      <c r="F103" s="177"/>
      <c r="G103" s="177"/>
      <c r="H103" s="174" t="e">
        <f>VLOOKUP(99,Order!A$23:T$1111,4,TRUE)</f>
        <v>#N/A</v>
      </c>
      <c r="I103" s="174" t="e">
        <f>VLOOKUP(99,Order!A$23:T$1111,2,TRUE)</f>
        <v>#N/A</v>
      </c>
      <c r="J103" s="174" t="e">
        <f>VLOOKUP(99,Order!A$23:T$1111,18,TRUE)</f>
        <v>#N/A</v>
      </c>
      <c r="K103" s="174" t="e">
        <f>VLOOKUP(99,Order!A$23:T$1111,20,TRUE)</f>
        <v>#N/A</v>
      </c>
      <c r="L103" s="177"/>
      <c r="M103" s="177"/>
      <c r="N103" s="177"/>
      <c r="O103" s="177"/>
      <c r="P103" s="177"/>
      <c r="Q103" s="177"/>
      <c r="R103" s="177"/>
    </row>
    <row r="104" spans="1:18" x14ac:dyDescent="0.15">
      <c r="A104" s="179" t="e">
        <f t="shared" si="7"/>
        <v>#N/A</v>
      </c>
      <c r="B104" s="183" t="e">
        <f t="shared" si="8"/>
        <v>#N/A</v>
      </c>
      <c r="C104" s="184" t="e">
        <f t="shared" si="9"/>
        <v>#N/A</v>
      </c>
      <c r="D104" s="185" t="e">
        <f t="shared" si="10"/>
        <v>#N/A</v>
      </c>
      <c r="E104" s="177"/>
      <c r="F104" s="177"/>
      <c r="G104" s="177"/>
      <c r="H104" s="174" t="e">
        <f>VLOOKUP(100,Order!A$23:T$1111,4,TRUE)</f>
        <v>#N/A</v>
      </c>
      <c r="I104" s="174" t="e">
        <f>VLOOKUP(100,Order!A$23:T$1111,2,TRUE)</f>
        <v>#N/A</v>
      </c>
      <c r="J104" s="174" t="e">
        <f>VLOOKUP(100,Order!A$23:T$1111,18,TRUE)</f>
        <v>#N/A</v>
      </c>
      <c r="K104" s="174" t="e">
        <f>VLOOKUP(100,Order!A$23:T$1111,20,TRUE)</f>
        <v>#N/A</v>
      </c>
      <c r="L104" s="177"/>
      <c r="M104" s="177"/>
      <c r="N104" s="177"/>
      <c r="O104" s="177"/>
      <c r="P104" s="177"/>
      <c r="Q104" s="177"/>
      <c r="R104" s="177"/>
    </row>
    <row r="105" spans="1:18" x14ac:dyDescent="0.15">
      <c r="A105" s="179" t="e">
        <f t="shared" ref="A105:A154" si="11">IF(J105=0,"",IF(J105=J104,"",J105))</f>
        <v>#N/A</v>
      </c>
      <c r="B105" s="183" t="e">
        <f t="shared" ref="B105:B154" si="12">IF(H105=H104,"",H105)</f>
        <v>#N/A</v>
      </c>
      <c r="C105" s="184" t="e">
        <f t="shared" ref="C105:C154" si="13">IF(H105=H104,"",I105)</f>
        <v>#N/A</v>
      </c>
      <c r="D105" s="185" t="e">
        <f t="shared" si="10"/>
        <v>#N/A</v>
      </c>
      <c r="E105" s="177"/>
      <c r="F105" s="177"/>
      <c r="G105" s="177"/>
      <c r="H105" s="174" t="e">
        <f>VLOOKUP(101,Order!A$23:T$1111,4,TRUE)</f>
        <v>#N/A</v>
      </c>
      <c r="I105" s="174" t="e">
        <f>VLOOKUP(101,Order!A$23:T$1111,2,TRUE)</f>
        <v>#N/A</v>
      </c>
      <c r="J105" s="174" t="e">
        <f>VLOOKUP(101,Order!A$23:T$1111,18,TRUE)</f>
        <v>#N/A</v>
      </c>
      <c r="K105" s="174" t="e">
        <f>VLOOKUP(101,Order!A$23:T$1111,20,TRUE)</f>
        <v>#N/A</v>
      </c>
      <c r="L105" s="177"/>
      <c r="M105" s="177"/>
      <c r="N105" s="177"/>
      <c r="O105" s="177"/>
      <c r="P105" s="177"/>
      <c r="Q105" s="177"/>
      <c r="R105" s="177"/>
    </row>
    <row r="106" spans="1:18" x14ac:dyDescent="0.15">
      <c r="A106" s="179" t="e">
        <f t="shared" si="11"/>
        <v>#N/A</v>
      </c>
      <c r="B106" s="183" t="e">
        <f t="shared" si="12"/>
        <v>#N/A</v>
      </c>
      <c r="C106" s="184" t="e">
        <f t="shared" si="13"/>
        <v>#N/A</v>
      </c>
      <c r="D106" s="185" t="e">
        <f t="shared" si="10"/>
        <v>#N/A</v>
      </c>
      <c r="E106" s="177"/>
      <c r="F106" s="177"/>
      <c r="G106" s="177"/>
      <c r="H106" s="174" t="e">
        <f>VLOOKUP(102,Order!A$23:T$1111,4,TRUE)</f>
        <v>#N/A</v>
      </c>
      <c r="I106" s="174" t="e">
        <f>VLOOKUP(102,Order!A$23:T$1111,2,TRUE)</f>
        <v>#N/A</v>
      </c>
      <c r="J106" s="174" t="e">
        <f>VLOOKUP(102,Order!A$23:T$1111,18,TRUE)</f>
        <v>#N/A</v>
      </c>
      <c r="K106" s="174" t="e">
        <f>VLOOKUP(102,Order!A$23:T$1111,20,TRUE)</f>
        <v>#N/A</v>
      </c>
      <c r="L106" s="177"/>
      <c r="M106" s="177"/>
      <c r="N106" s="177"/>
      <c r="O106" s="177"/>
      <c r="P106" s="177"/>
      <c r="Q106" s="177"/>
      <c r="R106" s="177"/>
    </row>
    <row r="107" spans="1:18" x14ac:dyDescent="0.15">
      <c r="A107" s="179" t="e">
        <f t="shared" si="11"/>
        <v>#N/A</v>
      </c>
      <c r="B107" s="183" t="e">
        <f t="shared" si="12"/>
        <v>#N/A</v>
      </c>
      <c r="C107" s="184" t="e">
        <f t="shared" si="13"/>
        <v>#N/A</v>
      </c>
      <c r="D107" s="185" t="e">
        <f t="shared" si="10"/>
        <v>#N/A</v>
      </c>
      <c r="E107" s="177"/>
      <c r="F107" s="177"/>
      <c r="G107" s="177"/>
      <c r="H107" s="174" t="e">
        <f>VLOOKUP(103,Order!A$23:T$1111,4,TRUE)</f>
        <v>#N/A</v>
      </c>
      <c r="I107" s="174" t="e">
        <f>VLOOKUP(103,Order!A$23:T$1111,2,TRUE)</f>
        <v>#N/A</v>
      </c>
      <c r="J107" s="174" t="e">
        <f>VLOOKUP(103,Order!A$23:T$1111,18,TRUE)</f>
        <v>#N/A</v>
      </c>
      <c r="K107" s="174" t="e">
        <f>VLOOKUP(103,Order!A$23:T$1111,20,TRUE)</f>
        <v>#N/A</v>
      </c>
      <c r="L107" s="177"/>
      <c r="M107" s="177"/>
      <c r="N107" s="177"/>
      <c r="O107" s="177"/>
      <c r="P107" s="177"/>
      <c r="Q107" s="177"/>
      <c r="R107" s="177"/>
    </row>
    <row r="108" spans="1:18" x14ac:dyDescent="0.15">
      <c r="A108" s="179" t="e">
        <f t="shared" si="11"/>
        <v>#N/A</v>
      </c>
      <c r="B108" s="183" t="e">
        <f t="shared" si="12"/>
        <v>#N/A</v>
      </c>
      <c r="C108" s="184" t="e">
        <f t="shared" si="13"/>
        <v>#N/A</v>
      </c>
      <c r="D108" s="185" t="e">
        <f t="shared" si="10"/>
        <v>#N/A</v>
      </c>
      <c r="E108" s="177"/>
      <c r="F108" s="177"/>
      <c r="G108" s="177"/>
      <c r="H108" s="174" t="e">
        <f>VLOOKUP(104,Order!A$23:T$1111,4,TRUE)</f>
        <v>#N/A</v>
      </c>
      <c r="I108" s="174" t="e">
        <f>VLOOKUP(104,Order!A$23:T$1111,2,TRUE)</f>
        <v>#N/A</v>
      </c>
      <c r="J108" s="174" t="e">
        <f>VLOOKUP(104,Order!A$23:T$1111,18,TRUE)</f>
        <v>#N/A</v>
      </c>
      <c r="K108" s="174" t="e">
        <f>VLOOKUP(104,Order!A$23:T$1111,20,TRUE)</f>
        <v>#N/A</v>
      </c>
      <c r="L108" s="177"/>
      <c r="M108" s="177"/>
      <c r="N108" s="177"/>
      <c r="O108" s="177"/>
      <c r="P108" s="177"/>
      <c r="Q108" s="177"/>
      <c r="R108" s="177"/>
    </row>
    <row r="109" spans="1:18" x14ac:dyDescent="0.15">
      <c r="A109" s="179" t="e">
        <f t="shared" si="11"/>
        <v>#N/A</v>
      </c>
      <c r="B109" s="183" t="e">
        <f t="shared" si="12"/>
        <v>#N/A</v>
      </c>
      <c r="C109" s="184" t="e">
        <f t="shared" si="13"/>
        <v>#N/A</v>
      </c>
      <c r="D109" s="185" t="e">
        <f t="shared" si="10"/>
        <v>#N/A</v>
      </c>
      <c r="E109" s="177"/>
      <c r="F109" s="177"/>
      <c r="G109" s="177"/>
      <c r="H109" s="174" t="e">
        <f>VLOOKUP(105,Order!A$23:T$1111,4,TRUE)</f>
        <v>#N/A</v>
      </c>
      <c r="I109" s="174" t="e">
        <f>VLOOKUP(105,Order!A$23:T$1111,2,TRUE)</f>
        <v>#N/A</v>
      </c>
      <c r="J109" s="174" t="e">
        <f>VLOOKUP(105,Order!A$23:T$1111,18,TRUE)</f>
        <v>#N/A</v>
      </c>
      <c r="K109" s="174" t="e">
        <f>VLOOKUP(105,Order!A$23:T$1111,20,TRUE)</f>
        <v>#N/A</v>
      </c>
      <c r="L109" s="177"/>
      <c r="M109" s="177"/>
      <c r="N109" s="177"/>
      <c r="O109" s="177"/>
      <c r="P109" s="177"/>
      <c r="Q109" s="177"/>
      <c r="R109" s="177"/>
    </row>
    <row r="110" spans="1:18" x14ac:dyDescent="0.15">
      <c r="A110" s="179" t="e">
        <f t="shared" si="11"/>
        <v>#N/A</v>
      </c>
      <c r="B110" s="183" t="e">
        <f t="shared" si="12"/>
        <v>#N/A</v>
      </c>
      <c r="C110" s="184" t="e">
        <f t="shared" si="13"/>
        <v>#N/A</v>
      </c>
      <c r="D110" s="185" t="e">
        <f t="shared" si="10"/>
        <v>#N/A</v>
      </c>
      <c r="E110" s="177"/>
      <c r="F110" s="177"/>
      <c r="G110" s="177"/>
      <c r="H110" s="174" t="e">
        <f>VLOOKUP(106,Order!A$23:T$1111,4,TRUE)</f>
        <v>#N/A</v>
      </c>
      <c r="I110" s="174" t="e">
        <f>VLOOKUP(106,Order!A$23:T$1111,2,TRUE)</f>
        <v>#N/A</v>
      </c>
      <c r="J110" s="174" t="e">
        <f>VLOOKUP(106,Order!A$23:T$1111,18,TRUE)</f>
        <v>#N/A</v>
      </c>
      <c r="K110" s="174" t="e">
        <f>VLOOKUP(106,Order!A$23:T$1111,20,TRUE)</f>
        <v>#N/A</v>
      </c>
      <c r="L110" s="177"/>
      <c r="M110" s="177"/>
      <c r="N110" s="177"/>
      <c r="O110" s="177"/>
      <c r="P110" s="177"/>
      <c r="Q110" s="177"/>
      <c r="R110" s="177"/>
    </row>
    <row r="111" spans="1:18" x14ac:dyDescent="0.15">
      <c r="A111" s="179" t="e">
        <f t="shared" si="11"/>
        <v>#N/A</v>
      </c>
      <c r="B111" s="183" t="e">
        <f t="shared" si="12"/>
        <v>#N/A</v>
      </c>
      <c r="C111" s="184" t="e">
        <f t="shared" si="13"/>
        <v>#N/A</v>
      </c>
      <c r="D111" s="185" t="e">
        <f t="shared" si="10"/>
        <v>#N/A</v>
      </c>
      <c r="E111" s="177"/>
      <c r="F111" s="177"/>
      <c r="G111" s="177"/>
      <c r="H111" s="174" t="e">
        <f>VLOOKUP(107,Order!A$23:T$1111,4,TRUE)</f>
        <v>#N/A</v>
      </c>
      <c r="I111" s="174" t="e">
        <f>VLOOKUP(107,Order!A$23:T$1111,2,TRUE)</f>
        <v>#N/A</v>
      </c>
      <c r="J111" s="174" t="e">
        <f>VLOOKUP(107,Order!A$23:T$1111,18,TRUE)</f>
        <v>#N/A</v>
      </c>
      <c r="K111" s="174" t="e">
        <f>VLOOKUP(107,Order!A$23:T$1111,20,TRUE)</f>
        <v>#N/A</v>
      </c>
      <c r="L111" s="177"/>
      <c r="M111" s="177"/>
      <c r="N111" s="177"/>
      <c r="O111" s="177"/>
      <c r="P111" s="177"/>
      <c r="Q111" s="177"/>
      <c r="R111" s="177"/>
    </row>
    <row r="112" spans="1:18" x14ac:dyDescent="0.15">
      <c r="A112" s="179" t="e">
        <f t="shared" si="11"/>
        <v>#N/A</v>
      </c>
      <c r="B112" s="183" t="e">
        <f t="shared" si="12"/>
        <v>#N/A</v>
      </c>
      <c r="C112" s="184" t="e">
        <f t="shared" si="13"/>
        <v>#N/A</v>
      </c>
      <c r="D112" s="185" t="e">
        <f t="shared" si="10"/>
        <v>#N/A</v>
      </c>
      <c r="E112" s="177"/>
      <c r="F112" s="177"/>
      <c r="G112" s="177"/>
      <c r="H112" s="174" t="e">
        <f>VLOOKUP(108,Order!A$23:T$1111,4,TRUE)</f>
        <v>#N/A</v>
      </c>
      <c r="I112" s="174" t="e">
        <f>VLOOKUP(108,Order!A$23:T$1111,2,TRUE)</f>
        <v>#N/A</v>
      </c>
      <c r="J112" s="174" t="e">
        <f>VLOOKUP(108,Order!A$23:T$1111,18,TRUE)</f>
        <v>#N/A</v>
      </c>
      <c r="K112" s="174" t="e">
        <f>VLOOKUP(108,Order!A$23:T$1111,20,TRUE)</f>
        <v>#N/A</v>
      </c>
      <c r="L112" s="177"/>
      <c r="M112" s="177"/>
      <c r="N112" s="177"/>
      <c r="O112" s="177"/>
      <c r="P112" s="177"/>
      <c r="Q112" s="177"/>
      <c r="R112" s="177"/>
    </row>
    <row r="113" spans="1:18" x14ac:dyDescent="0.15">
      <c r="A113" s="179" t="e">
        <f t="shared" si="11"/>
        <v>#N/A</v>
      </c>
      <c r="B113" s="183" t="e">
        <f t="shared" si="12"/>
        <v>#N/A</v>
      </c>
      <c r="C113" s="184" t="e">
        <f t="shared" si="13"/>
        <v>#N/A</v>
      </c>
      <c r="D113" s="185" t="e">
        <f t="shared" si="10"/>
        <v>#N/A</v>
      </c>
      <c r="E113" s="177"/>
      <c r="F113" s="177"/>
      <c r="G113" s="177"/>
      <c r="H113" s="174" t="e">
        <f>VLOOKUP(109,Order!A$23:T$1111,4,TRUE)</f>
        <v>#N/A</v>
      </c>
      <c r="I113" s="174" t="e">
        <f>VLOOKUP(109,Order!A$23:T$1111,2,TRUE)</f>
        <v>#N/A</v>
      </c>
      <c r="J113" s="174" t="e">
        <f>VLOOKUP(109,Order!A$23:T$1111,18,TRUE)</f>
        <v>#N/A</v>
      </c>
      <c r="K113" s="174" t="e">
        <f>VLOOKUP(109,Order!A$23:T$1111,20,TRUE)</f>
        <v>#N/A</v>
      </c>
      <c r="L113" s="177"/>
      <c r="M113" s="177"/>
      <c r="N113" s="177"/>
      <c r="O113" s="177"/>
      <c r="P113" s="177"/>
      <c r="Q113" s="177"/>
      <c r="R113" s="177"/>
    </row>
    <row r="114" spans="1:18" x14ac:dyDescent="0.15">
      <c r="A114" s="179" t="e">
        <f t="shared" si="11"/>
        <v>#N/A</v>
      </c>
      <c r="B114" s="183" t="e">
        <f t="shared" si="12"/>
        <v>#N/A</v>
      </c>
      <c r="C114" s="184" t="e">
        <f t="shared" si="13"/>
        <v>#N/A</v>
      </c>
      <c r="D114" s="185" t="e">
        <f t="shared" si="10"/>
        <v>#N/A</v>
      </c>
      <c r="E114" s="177"/>
      <c r="F114" s="177"/>
      <c r="G114" s="177"/>
      <c r="H114" s="174" t="e">
        <f>VLOOKUP(110,Order!A$23:T$1111,4,TRUE)</f>
        <v>#N/A</v>
      </c>
      <c r="I114" s="174" t="e">
        <f>VLOOKUP(110,Order!A$23:T$1111,2,TRUE)</f>
        <v>#N/A</v>
      </c>
      <c r="J114" s="174" t="e">
        <f>VLOOKUP(110,Order!A$23:T$1111,18,TRUE)</f>
        <v>#N/A</v>
      </c>
      <c r="K114" s="174" t="e">
        <f>VLOOKUP(110,Order!A$23:T$1111,20,TRUE)</f>
        <v>#N/A</v>
      </c>
      <c r="L114" s="177"/>
      <c r="M114" s="177"/>
      <c r="N114" s="177"/>
      <c r="O114" s="177"/>
      <c r="P114" s="177"/>
      <c r="Q114" s="177"/>
      <c r="R114" s="177"/>
    </row>
    <row r="115" spans="1:18" x14ac:dyDescent="0.15">
      <c r="A115" s="179" t="e">
        <f t="shared" si="11"/>
        <v>#N/A</v>
      </c>
      <c r="B115" s="183" t="e">
        <f t="shared" si="12"/>
        <v>#N/A</v>
      </c>
      <c r="C115" s="184" t="e">
        <f t="shared" si="13"/>
        <v>#N/A</v>
      </c>
      <c r="D115" s="185" t="e">
        <f t="shared" si="10"/>
        <v>#N/A</v>
      </c>
      <c r="E115" s="177"/>
      <c r="F115" s="177"/>
      <c r="G115" s="177"/>
      <c r="H115" s="174" t="e">
        <f>VLOOKUP(111,Order!A$23:T$1111,4,TRUE)</f>
        <v>#N/A</v>
      </c>
      <c r="I115" s="174" t="e">
        <f>VLOOKUP(111,Order!A$23:T$1111,2,TRUE)</f>
        <v>#N/A</v>
      </c>
      <c r="J115" s="174" t="e">
        <f>VLOOKUP(111,Order!A$23:T$1111,18,TRUE)</f>
        <v>#N/A</v>
      </c>
      <c r="K115" s="174" t="e">
        <f>VLOOKUP(111,Order!A$23:T$1111,20,TRUE)</f>
        <v>#N/A</v>
      </c>
      <c r="L115" s="177"/>
      <c r="M115" s="177"/>
      <c r="N115" s="177"/>
      <c r="O115" s="177"/>
      <c r="P115" s="177"/>
      <c r="Q115" s="177"/>
      <c r="R115" s="177"/>
    </row>
    <row r="116" spans="1:18" x14ac:dyDescent="0.15">
      <c r="A116" s="179" t="e">
        <f t="shared" si="11"/>
        <v>#N/A</v>
      </c>
      <c r="B116" s="183" t="e">
        <f t="shared" si="12"/>
        <v>#N/A</v>
      </c>
      <c r="C116" s="184" t="e">
        <f t="shared" si="13"/>
        <v>#N/A</v>
      </c>
      <c r="D116" s="185" t="e">
        <f t="shared" si="10"/>
        <v>#N/A</v>
      </c>
      <c r="E116" s="177"/>
      <c r="F116" s="177"/>
      <c r="G116" s="177"/>
      <c r="H116" s="174" t="e">
        <f>VLOOKUP(112,Order!A$23:T$1111,4,TRUE)</f>
        <v>#N/A</v>
      </c>
      <c r="I116" s="174" t="e">
        <f>VLOOKUP(112,Order!A$23:T$1111,2,TRUE)</f>
        <v>#N/A</v>
      </c>
      <c r="J116" s="174" t="e">
        <f>VLOOKUP(112,Order!A$23:T$1111,18,TRUE)</f>
        <v>#N/A</v>
      </c>
      <c r="K116" s="174" t="e">
        <f>VLOOKUP(112,Order!A$23:T$1111,20,TRUE)</f>
        <v>#N/A</v>
      </c>
      <c r="L116" s="177"/>
      <c r="M116" s="177"/>
      <c r="N116" s="177"/>
      <c r="O116" s="177"/>
      <c r="P116" s="177"/>
      <c r="Q116" s="177"/>
      <c r="R116" s="177"/>
    </row>
    <row r="117" spans="1:18" x14ac:dyDescent="0.15">
      <c r="A117" s="179" t="e">
        <f t="shared" si="11"/>
        <v>#N/A</v>
      </c>
      <c r="B117" s="183" t="e">
        <f t="shared" si="12"/>
        <v>#N/A</v>
      </c>
      <c r="C117" s="184" t="e">
        <f t="shared" si="13"/>
        <v>#N/A</v>
      </c>
      <c r="D117" s="185" t="e">
        <f t="shared" si="10"/>
        <v>#N/A</v>
      </c>
      <c r="E117" s="177"/>
      <c r="F117" s="177"/>
      <c r="G117" s="177"/>
      <c r="H117" s="174" t="e">
        <f>VLOOKUP(113,Order!A$23:T$1111,4,TRUE)</f>
        <v>#N/A</v>
      </c>
      <c r="I117" s="174" t="e">
        <f>VLOOKUP(113,Order!A$23:T$1111,2,TRUE)</f>
        <v>#N/A</v>
      </c>
      <c r="J117" s="174" t="e">
        <f>VLOOKUP(113,Order!A$23:T$1111,18,TRUE)</f>
        <v>#N/A</v>
      </c>
      <c r="K117" s="174" t="e">
        <f>VLOOKUP(113,Order!A$23:T$1111,20,TRUE)</f>
        <v>#N/A</v>
      </c>
      <c r="L117" s="177"/>
      <c r="M117" s="177"/>
      <c r="N117" s="177"/>
      <c r="O117" s="177"/>
      <c r="P117" s="177"/>
      <c r="Q117" s="177"/>
      <c r="R117" s="177"/>
    </row>
    <row r="118" spans="1:18" x14ac:dyDescent="0.15">
      <c r="A118" s="179" t="e">
        <f t="shared" si="11"/>
        <v>#N/A</v>
      </c>
      <c r="B118" s="183" t="e">
        <f t="shared" si="12"/>
        <v>#N/A</v>
      </c>
      <c r="C118" s="184" t="e">
        <f t="shared" si="13"/>
        <v>#N/A</v>
      </c>
      <c r="D118" s="185" t="e">
        <f t="shared" si="10"/>
        <v>#N/A</v>
      </c>
      <c r="E118" s="177"/>
      <c r="F118" s="177"/>
      <c r="G118" s="177"/>
      <c r="H118" s="174" t="e">
        <f>VLOOKUP(114,Order!A$23:T$1111,4,TRUE)</f>
        <v>#N/A</v>
      </c>
      <c r="I118" s="174" t="e">
        <f>VLOOKUP(114,Order!A$23:T$1111,2,TRUE)</f>
        <v>#N/A</v>
      </c>
      <c r="J118" s="174" t="e">
        <f>VLOOKUP(114,Order!A$23:T$1111,18,TRUE)</f>
        <v>#N/A</v>
      </c>
      <c r="K118" s="174" t="e">
        <f>VLOOKUP(114,Order!A$23:T$1111,20,TRUE)</f>
        <v>#N/A</v>
      </c>
      <c r="L118" s="177"/>
      <c r="M118" s="177"/>
      <c r="N118" s="177"/>
      <c r="O118" s="177"/>
      <c r="P118" s="177"/>
      <c r="Q118" s="177"/>
      <c r="R118" s="177"/>
    </row>
    <row r="119" spans="1:18" x14ac:dyDescent="0.15">
      <c r="A119" s="179" t="e">
        <f t="shared" si="11"/>
        <v>#N/A</v>
      </c>
      <c r="B119" s="183" t="e">
        <f t="shared" si="12"/>
        <v>#N/A</v>
      </c>
      <c r="C119" s="184" t="e">
        <f t="shared" si="13"/>
        <v>#N/A</v>
      </c>
      <c r="D119" s="185" t="e">
        <f t="shared" si="10"/>
        <v>#N/A</v>
      </c>
      <c r="E119" s="177"/>
      <c r="F119" s="177"/>
      <c r="G119" s="177"/>
      <c r="H119" s="174" t="e">
        <f>VLOOKUP(115,Order!A$23:T$1111,4,TRUE)</f>
        <v>#N/A</v>
      </c>
      <c r="I119" s="174" t="e">
        <f>VLOOKUP(115,Order!A$23:T$1111,2,TRUE)</f>
        <v>#N/A</v>
      </c>
      <c r="J119" s="174" t="e">
        <f>VLOOKUP(115,Order!A$23:T$1111,18,TRUE)</f>
        <v>#N/A</v>
      </c>
      <c r="K119" s="174" t="e">
        <f>VLOOKUP(115,Order!A$23:T$1111,20,TRUE)</f>
        <v>#N/A</v>
      </c>
      <c r="L119" s="177"/>
      <c r="M119" s="177"/>
      <c r="N119" s="177"/>
      <c r="O119" s="177"/>
      <c r="P119" s="177"/>
      <c r="Q119" s="177"/>
      <c r="R119" s="177"/>
    </row>
    <row r="120" spans="1:18" x14ac:dyDescent="0.15">
      <c r="A120" s="179" t="e">
        <f t="shared" si="11"/>
        <v>#N/A</v>
      </c>
      <c r="B120" s="183" t="e">
        <f t="shared" si="12"/>
        <v>#N/A</v>
      </c>
      <c r="C120" s="184" t="e">
        <f t="shared" si="13"/>
        <v>#N/A</v>
      </c>
      <c r="D120" s="185" t="e">
        <f t="shared" si="10"/>
        <v>#N/A</v>
      </c>
      <c r="E120" s="177"/>
      <c r="F120" s="177"/>
      <c r="G120" s="177"/>
      <c r="H120" s="174" t="e">
        <f>VLOOKUP(116,Order!A$23:T$1111,4,TRUE)</f>
        <v>#N/A</v>
      </c>
      <c r="I120" s="174" t="e">
        <f>VLOOKUP(116,Order!A$23:T$1111,2,TRUE)</f>
        <v>#N/A</v>
      </c>
      <c r="J120" s="174" t="e">
        <f>VLOOKUP(116,Order!A$23:T$1111,18,TRUE)</f>
        <v>#N/A</v>
      </c>
      <c r="K120" s="174" t="e">
        <f>VLOOKUP(116,Order!A$23:T$1111,20,TRUE)</f>
        <v>#N/A</v>
      </c>
      <c r="L120" s="177"/>
      <c r="M120" s="177"/>
      <c r="N120" s="177"/>
      <c r="O120" s="177"/>
      <c r="P120" s="177"/>
      <c r="Q120" s="177"/>
      <c r="R120" s="177"/>
    </row>
    <row r="121" spans="1:18" x14ac:dyDescent="0.15">
      <c r="A121" s="179" t="e">
        <f t="shared" si="11"/>
        <v>#N/A</v>
      </c>
      <c r="B121" s="183" t="e">
        <f t="shared" si="12"/>
        <v>#N/A</v>
      </c>
      <c r="C121" s="184" t="e">
        <f t="shared" si="13"/>
        <v>#N/A</v>
      </c>
      <c r="D121" s="185" t="e">
        <f t="shared" si="10"/>
        <v>#N/A</v>
      </c>
      <c r="E121" s="177"/>
      <c r="F121" s="177"/>
      <c r="G121" s="177"/>
      <c r="H121" s="174" t="e">
        <f>VLOOKUP(117,Order!A$23:T$1111,4,TRUE)</f>
        <v>#N/A</v>
      </c>
      <c r="I121" s="174" t="e">
        <f>VLOOKUP(117,Order!A$23:T$1111,2,TRUE)</f>
        <v>#N/A</v>
      </c>
      <c r="J121" s="174" t="e">
        <f>VLOOKUP(117,Order!A$23:T$1111,18,TRUE)</f>
        <v>#N/A</v>
      </c>
      <c r="K121" s="174" t="e">
        <f>VLOOKUP(117,Order!A$23:T$1111,20,TRUE)</f>
        <v>#N/A</v>
      </c>
      <c r="L121" s="177"/>
      <c r="M121" s="177"/>
      <c r="N121" s="177"/>
      <c r="O121" s="177"/>
      <c r="P121" s="177"/>
      <c r="Q121" s="177"/>
      <c r="R121" s="177"/>
    </row>
    <row r="122" spans="1:18" x14ac:dyDescent="0.15">
      <c r="A122" s="179" t="e">
        <f t="shared" si="11"/>
        <v>#N/A</v>
      </c>
      <c r="B122" s="183" t="e">
        <f t="shared" si="12"/>
        <v>#N/A</v>
      </c>
      <c r="C122" s="184" t="e">
        <f t="shared" si="13"/>
        <v>#N/A</v>
      </c>
      <c r="D122" s="185" t="e">
        <f t="shared" si="10"/>
        <v>#N/A</v>
      </c>
      <c r="E122" s="177"/>
      <c r="F122" s="177"/>
      <c r="G122" s="177"/>
      <c r="H122" s="174" t="e">
        <f>VLOOKUP(118,Order!A$23:T$1111,4,TRUE)</f>
        <v>#N/A</v>
      </c>
      <c r="I122" s="174" t="e">
        <f>VLOOKUP(118,Order!A$23:T$1111,2,TRUE)</f>
        <v>#N/A</v>
      </c>
      <c r="J122" s="174" t="e">
        <f>VLOOKUP(118,Order!A$23:T$1111,18,TRUE)</f>
        <v>#N/A</v>
      </c>
      <c r="K122" s="174" t="e">
        <f>VLOOKUP(118,Order!A$23:T$1111,20,TRUE)</f>
        <v>#N/A</v>
      </c>
      <c r="L122" s="177"/>
      <c r="M122" s="177"/>
      <c r="N122" s="177"/>
      <c r="O122" s="177"/>
      <c r="P122" s="177"/>
      <c r="Q122" s="177"/>
      <c r="R122" s="177"/>
    </row>
    <row r="123" spans="1:18" x14ac:dyDescent="0.15">
      <c r="A123" s="179" t="e">
        <f t="shared" si="11"/>
        <v>#N/A</v>
      </c>
      <c r="B123" s="183" t="e">
        <f t="shared" si="12"/>
        <v>#N/A</v>
      </c>
      <c r="C123" s="184" t="e">
        <f t="shared" si="13"/>
        <v>#N/A</v>
      </c>
      <c r="D123" s="185" t="e">
        <f t="shared" si="10"/>
        <v>#N/A</v>
      </c>
      <c r="E123" s="177"/>
      <c r="F123" s="177"/>
      <c r="G123" s="177"/>
      <c r="H123" s="174" t="e">
        <f>VLOOKUP(119,Order!A$23:T$1111,4,TRUE)</f>
        <v>#N/A</v>
      </c>
      <c r="I123" s="174" t="e">
        <f>VLOOKUP(119,Order!A$23:T$1111,2,TRUE)</f>
        <v>#N/A</v>
      </c>
      <c r="J123" s="174" t="e">
        <f>VLOOKUP(119,Order!A$23:T$1111,18,TRUE)</f>
        <v>#N/A</v>
      </c>
      <c r="K123" s="174" t="e">
        <f>VLOOKUP(119,Order!A$23:T$1111,20,TRUE)</f>
        <v>#N/A</v>
      </c>
      <c r="L123" s="177"/>
      <c r="M123" s="177"/>
      <c r="N123" s="177"/>
      <c r="O123" s="177"/>
      <c r="P123" s="177"/>
      <c r="Q123" s="177"/>
      <c r="R123" s="177"/>
    </row>
    <row r="124" spans="1:18" x14ac:dyDescent="0.15">
      <c r="A124" s="179" t="e">
        <f t="shared" si="11"/>
        <v>#N/A</v>
      </c>
      <c r="B124" s="183" t="e">
        <f t="shared" si="12"/>
        <v>#N/A</v>
      </c>
      <c r="C124" s="184" t="e">
        <f t="shared" si="13"/>
        <v>#N/A</v>
      </c>
      <c r="D124" s="185" t="e">
        <f t="shared" si="10"/>
        <v>#N/A</v>
      </c>
      <c r="E124" s="177"/>
      <c r="F124" s="177"/>
      <c r="G124" s="177"/>
      <c r="H124" s="174" t="e">
        <f>VLOOKUP(120,Order!A$23:T$1111,4,TRUE)</f>
        <v>#N/A</v>
      </c>
      <c r="I124" s="174" t="e">
        <f>VLOOKUP(120,Order!A$23:T$1111,2,TRUE)</f>
        <v>#N/A</v>
      </c>
      <c r="J124" s="174" t="e">
        <f>VLOOKUP(120,Order!A$23:T$1111,18,TRUE)</f>
        <v>#N/A</v>
      </c>
      <c r="K124" s="174" t="e">
        <f>VLOOKUP(120,Order!A$23:T$1111,20,TRUE)</f>
        <v>#N/A</v>
      </c>
      <c r="L124" s="177"/>
      <c r="M124" s="177"/>
      <c r="N124" s="177"/>
      <c r="O124" s="177"/>
      <c r="P124" s="177"/>
      <c r="Q124" s="177"/>
      <c r="R124" s="177"/>
    </row>
    <row r="125" spans="1:18" x14ac:dyDescent="0.15">
      <c r="A125" s="179" t="e">
        <f t="shared" si="11"/>
        <v>#N/A</v>
      </c>
      <c r="B125" s="183" t="e">
        <f t="shared" si="12"/>
        <v>#N/A</v>
      </c>
      <c r="C125" s="184" t="e">
        <f t="shared" si="13"/>
        <v>#N/A</v>
      </c>
      <c r="D125" s="185" t="e">
        <f t="shared" si="10"/>
        <v>#N/A</v>
      </c>
      <c r="E125" s="177"/>
      <c r="F125" s="177"/>
      <c r="G125" s="177"/>
      <c r="H125" s="174" t="e">
        <f>VLOOKUP(121,Order!A$23:T$1111,4,TRUE)</f>
        <v>#N/A</v>
      </c>
      <c r="I125" s="174" t="e">
        <f>VLOOKUP(121,Order!A$23:T$1111,2,TRUE)</f>
        <v>#N/A</v>
      </c>
      <c r="J125" s="174" t="e">
        <f>VLOOKUP(121,Order!A$23:T$1111,18,TRUE)</f>
        <v>#N/A</v>
      </c>
      <c r="K125" s="174" t="e">
        <f>VLOOKUP(121,Order!A$23:T$1111,20,TRUE)</f>
        <v>#N/A</v>
      </c>
      <c r="L125" s="177"/>
      <c r="M125" s="177"/>
      <c r="N125" s="177"/>
      <c r="O125" s="177"/>
      <c r="P125" s="177"/>
      <c r="Q125" s="177"/>
      <c r="R125" s="177"/>
    </row>
    <row r="126" spans="1:18" x14ac:dyDescent="0.15">
      <c r="A126" s="179" t="e">
        <f t="shared" si="11"/>
        <v>#N/A</v>
      </c>
      <c r="B126" s="183" t="e">
        <f t="shared" si="12"/>
        <v>#N/A</v>
      </c>
      <c r="C126" s="184" t="e">
        <f t="shared" si="13"/>
        <v>#N/A</v>
      </c>
      <c r="D126" s="185" t="e">
        <f t="shared" si="10"/>
        <v>#N/A</v>
      </c>
      <c r="E126" s="177"/>
      <c r="F126" s="177"/>
      <c r="G126" s="177"/>
      <c r="H126" s="174" t="e">
        <f>VLOOKUP(122,Order!A$23:T$1111,4,TRUE)</f>
        <v>#N/A</v>
      </c>
      <c r="I126" s="174" t="e">
        <f>VLOOKUP(122,Order!A$23:T$1111,2,TRUE)</f>
        <v>#N/A</v>
      </c>
      <c r="J126" s="174" t="e">
        <f>VLOOKUP(122,Order!A$23:T$1111,18,TRUE)</f>
        <v>#N/A</v>
      </c>
      <c r="K126" s="174" t="e">
        <f>VLOOKUP(122,Order!A$23:T$1111,20,TRUE)</f>
        <v>#N/A</v>
      </c>
      <c r="L126" s="177"/>
      <c r="M126" s="177"/>
      <c r="N126" s="177"/>
      <c r="O126" s="177"/>
      <c r="P126" s="177"/>
      <c r="Q126" s="177"/>
      <c r="R126" s="177"/>
    </row>
    <row r="127" spans="1:18" x14ac:dyDescent="0.15">
      <c r="A127" s="179" t="e">
        <f t="shared" si="11"/>
        <v>#N/A</v>
      </c>
      <c r="B127" s="183" t="e">
        <f t="shared" si="12"/>
        <v>#N/A</v>
      </c>
      <c r="C127" s="184" t="e">
        <f t="shared" si="13"/>
        <v>#N/A</v>
      </c>
      <c r="D127" s="185" t="e">
        <f t="shared" si="10"/>
        <v>#N/A</v>
      </c>
      <c r="E127" s="177"/>
      <c r="F127" s="177"/>
      <c r="G127" s="177"/>
      <c r="H127" s="174" t="e">
        <f>VLOOKUP(123,Order!A$23:T$1111,4,TRUE)</f>
        <v>#N/A</v>
      </c>
      <c r="I127" s="174" t="e">
        <f>VLOOKUP(123,Order!A$23:T$1111,2,TRUE)</f>
        <v>#N/A</v>
      </c>
      <c r="J127" s="174" t="e">
        <f>VLOOKUP(123,Order!A$23:T$1111,18,TRUE)</f>
        <v>#N/A</v>
      </c>
      <c r="K127" s="174" t="e">
        <f>VLOOKUP(123,Order!A$23:T$1111,20,TRUE)</f>
        <v>#N/A</v>
      </c>
      <c r="L127" s="177"/>
      <c r="M127" s="177"/>
      <c r="N127" s="177"/>
      <c r="O127" s="177"/>
      <c r="P127" s="177"/>
      <c r="Q127" s="177"/>
      <c r="R127" s="177"/>
    </row>
    <row r="128" spans="1:18" x14ac:dyDescent="0.15">
      <c r="A128" s="179" t="e">
        <f t="shared" si="11"/>
        <v>#N/A</v>
      </c>
      <c r="B128" s="183" t="e">
        <f t="shared" si="12"/>
        <v>#N/A</v>
      </c>
      <c r="C128" s="184" t="e">
        <f t="shared" si="13"/>
        <v>#N/A</v>
      </c>
      <c r="D128" s="185" t="e">
        <f t="shared" si="10"/>
        <v>#N/A</v>
      </c>
      <c r="E128" s="177"/>
      <c r="F128" s="177"/>
      <c r="G128" s="177"/>
      <c r="H128" s="174" t="e">
        <f>VLOOKUP(124,Order!A$23:T$1111,4,TRUE)</f>
        <v>#N/A</v>
      </c>
      <c r="I128" s="174" t="e">
        <f>VLOOKUP(124,Order!A$23:T$1111,2,TRUE)</f>
        <v>#N/A</v>
      </c>
      <c r="J128" s="174" t="e">
        <f>VLOOKUP(124,Order!A$23:T$1111,18,TRUE)</f>
        <v>#N/A</v>
      </c>
      <c r="K128" s="174" t="e">
        <f>VLOOKUP(124,Order!A$23:T$1111,20,TRUE)</f>
        <v>#N/A</v>
      </c>
      <c r="L128" s="177"/>
      <c r="M128" s="177"/>
      <c r="N128" s="177"/>
      <c r="O128" s="177"/>
      <c r="P128" s="177"/>
      <c r="Q128" s="177"/>
      <c r="R128" s="177"/>
    </row>
    <row r="129" spans="1:18" x14ac:dyDescent="0.15">
      <c r="A129" s="179" t="e">
        <f t="shared" si="11"/>
        <v>#N/A</v>
      </c>
      <c r="B129" s="183" t="e">
        <f t="shared" si="12"/>
        <v>#N/A</v>
      </c>
      <c r="C129" s="184" t="e">
        <f t="shared" si="13"/>
        <v>#N/A</v>
      </c>
      <c r="D129" s="185" t="e">
        <f t="shared" si="10"/>
        <v>#N/A</v>
      </c>
      <c r="E129" s="177"/>
      <c r="F129" s="177"/>
      <c r="G129" s="177"/>
      <c r="H129" s="174" t="e">
        <f>VLOOKUP(125,Order!A$23:T$1111,4,TRUE)</f>
        <v>#N/A</v>
      </c>
      <c r="I129" s="174" t="e">
        <f>VLOOKUP(125,Order!A$23:T$1111,2,TRUE)</f>
        <v>#N/A</v>
      </c>
      <c r="J129" s="174" t="e">
        <f>VLOOKUP(125,Order!A$23:T$1111,18,TRUE)</f>
        <v>#N/A</v>
      </c>
      <c r="K129" s="174" t="e">
        <f>VLOOKUP(125,Order!A$23:T$1111,20,TRUE)</f>
        <v>#N/A</v>
      </c>
      <c r="L129" s="177"/>
      <c r="M129" s="177"/>
      <c r="N129" s="177"/>
      <c r="O129" s="177"/>
      <c r="P129" s="177"/>
      <c r="Q129" s="177"/>
      <c r="R129" s="177"/>
    </row>
    <row r="130" spans="1:18" x14ac:dyDescent="0.15">
      <c r="A130" s="179" t="e">
        <f t="shared" si="11"/>
        <v>#N/A</v>
      </c>
      <c r="B130" s="183" t="e">
        <f t="shared" si="12"/>
        <v>#N/A</v>
      </c>
      <c r="C130" s="184" t="e">
        <f t="shared" si="13"/>
        <v>#N/A</v>
      </c>
      <c r="D130" s="185" t="e">
        <f t="shared" si="10"/>
        <v>#N/A</v>
      </c>
      <c r="E130" s="177"/>
      <c r="F130" s="177"/>
      <c r="G130" s="177"/>
      <c r="H130" s="174" t="e">
        <f>VLOOKUP(126,Order!A$23:T$1111,4,TRUE)</f>
        <v>#N/A</v>
      </c>
      <c r="I130" s="174" t="e">
        <f>VLOOKUP(126,Order!A$23:T$1111,2,TRUE)</f>
        <v>#N/A</v>
      </c>
      <c r="J130" s="174" t="e">
        <f>VLOOKUP(126,Order!A$23:T$1111,18,TRUE)</f>
        <v>#N/A</v>
      </c>
      <c r="K130" s="174" t="e">
        <f>VLOOKUP(126,Order!A$23:T$1111,20,TRUE)</f>
        <v>#N/A</v>
      </c>
      <c r="L130" s="177"/>
      <c r="M130" s="177"/>
      <c r="N130" s="177"/>
      <c r="O130" s="177"/>
      <c r="P130" s="177"/>
      <c r="Q130" s="177"/>
      <c r="R130" s="177"/>
    </row>
    <row r="131" spans="1:18" x14ac:dyDescent="0.15">
      <c r="A131" s="179" t="e">
        <f t="shared" si="11"/>
        <v>#N/A</v>
      </c>
      <c r="B131" s="183" t="e">
        <f t="shared" si="12"/>
        <v>#N/A</v>
      </c>
      <c r="C131" s="184" t="e">
        <f t="shared" si="13"/>
        <v>#N/A</v>
      </c>
      <c r="D131" s="185" t="e">
        <f t="shared" si="10"/>
        <v>#N/A</v>
      </c>
      <c r="E131" s="177"/>
      <c r="F131" s="177"/>
      <c r="G131" s="177"/>
      <c r="H131" s="174" t="e">
        <f>VLOOKUP(127,Order!A$23:T$1111,4,TRUE)</f>
        <v>#N/A</v>
      </c>
      <c r="I131" s="174" t="e">
        <f>VLOOKUP(127,Order!A$23:T$1111,2,TRUE)</f>
        <v>#N/A</v>
      </c>
      <c r="J131" s="174" t="e">
        <f>VLOOKUP(127,Order!A$23:T$1111,18,TRUE)</f>
        <v>#N/A</v>
      </c>
      <c r="K131" s="174" t="e">
        <f>VLOOKUP(127,Order!A$23:T$1111,20,TRUE)</f>
        <v>#N/A</v>
      </c>
      <c r="L131" s="177"/>
      <c r="M131" s="177"/>
      <c r="N131" s="177"/>
      <c r="O131" s="177"/>
      <c r="P131" s="177"/>
      <c r="Q131" s="177"/>
      <c r="R131" s="177"/>
    </row>
    <row r="132" spans="1:18" x14ac:dyDescent="0.15">
      <c r="A132" s="179" t="e">
        <f t="shared" si="11"/>
        <v>#N/A</v>
      </c>
      <c r="B132" s="183" t="e">
        <f t="shared" si="12"/>
        <v>#N/A</v>
      </c>
      <c r="C132" s="184" t="e">
        <f t="shared" si="13"/>
        <v>#N/A</v>
      </c>
      <c r="D132" s="185" t="e">
        <f t="shared" si="10"/>
        <v>#N/A</v>
      </c>
      <c r="E132" s="177"/>
      <c r="F132" s="177"/>
      <c r="G132" s="177"/>
      <c r="H132" s="174" t="e">
        <f>VLOOKUP(128,Order!A$23:T$1111,4,TRUE)</f>
        <v>#N/A</v>
      </c>
      <c r="I132" s="174" t="e">
        <f>VLOOKUP(128,Order!A$23:T$1111,2,TRUE)</f>
        <v>#N/A</v>
      </c>
      <c r="J132" s="174" t="e">
        <f>VLOOKUP(128,Order!A$23:T$1111,18,TRUE)</f>
        <v>#N/A</v>
      </c>
      <c r="K132" s="174" t="e">
        <f>VLOOKUP(128,Order!A$23:T$1111,20,TRUE)</f>
        <v>#N/A</v>
      </c>
      <c r="L132" s="177"/>
      <c r="M132" s="177"/>
      <c r="N132" s="177"/>
      <c r="O132" s="177"/>
      <c r="P132" s="177"/>
      <c r="Q132" s="177"/>
      <c r="R132" s="177"/>
    </row>
    <row r="133" spans="1:18" x14ac:dyDescent="0.15">
      <c r="A133" s="179" t="e">
        <f t="shared" si="11"/>
        <v>#N/A</v>
      </c>
      <c r="B133" s="183" t="e">
        <f t="shared" si="12"/>
        <v>#N/A</v>
      </c>
      <c r="C133" s="184" t="e">
        <f t="shared" si="13"/>
        <v>#N/A</v>
      </c>
      <c r="D133" s="185" t="e">
        <f t="shared" si="10"/>
        <v>#N/A</v>
      </c>
      <c r="E133" s="177"/>
      <c r="F133" s="177"/>
      <c r="G133" s="177"/>
      <c r="H133" s="174" t="e">
        <f>VLOOKUP(129,Order!A$23:T$1111,4,TRUE)</f>
        <v>#N/A</v>
      </c>
      <c r="I133" s="174" t="e">
        <f>VLOOKUP(129,Order!A$23:T$1111,2,TRUE)</f>
        <v>#N/A</v>
      </c>
      <c r="J133" s="174" t="e">
        <f>VLOOKUP(129,Order!A$23:T$1111,18,TRUE)</f>
        <v>#N/A</v>
      </c>
      <c r="K133" s="174" t="e">
        <f>VLOOKUP(129,Order!A$23:T$1111,20,TRUE)</f>
        <v>#N/A</v>
      </c>
      <c r="L133" s="177"/>
      <c r="M133" s="177"/>
      <c r="N133" s="177"/>
      <c r="O133" s="177"/>
      <c r="P133" s="177"/>
      <c r="Q133" s="177"/>
      <c r="R133" s="177"/>
    </row>
    <row r="134" spans="1:18" x14ac:dyDescent="0.15">
      <c r="A134" s="179" t="e">
        <f t="shared" si="11"/>
        <v>#N/A</v>
      </c>
      <c r="B134" s="183" t="e">
        <f t="shared" si="12"/>
        <v>#N/A</v>
      </c>
      <c r="C134" s="184" t="e">
        <f t="shared" si="13"/>
        <v>#N/A</v>
      </c>
      <c r="D134" s="185" t="e">
        <f t="shared" si="10"/>
        <v>#N/A</v>
      </c>
      <c r="E134" s="177"/>
      <c r="F134" s="177"/>
      <c r="G134" s="177"/>
      <c r="H134" s="174" t="e">
        <f>VLOOKUP(130,Order!A$23:T$1111,4,TRUE)</f>
        <v>#N/A</v>
      </c>
      <c r="I134" s="174" t="e">
        <f>VLOOKUP(130,Order!A$23:T$1111,2,TRUE)</f>
        <v>#N/A</v>
      </c>
      <c r="J134" s="174" t="e">
        <f>VLOOKUP(130,Order!A$23:T$1111,18,TRUE)</f>
        <v>#N/A</v>
      </c>
      <c r="K134" s="174" t="e">
        <f>VLOOKUP(130,Order!A$23:T$1111,20,TRUE)</f>
        <v>#N/A</v>
      </c>
      <c r="L134" s="177"/>
      <c r="M134" s="177"/>
      <c r="N134" s="177"/>
      <c r="O134" s="177"/>
      <c r="P134" s="177"/>
      <c r="Q134" s="177"/>
      <c r="R134" s="177"/>
    </row>
    <row r="135" spans="1:18" x14ac:dyDescent="0.15">
      <c r="A135" s="179" t="e">
        <f t="shared" si="11"/>
        <v>#N/A</v>
      </c>
      <c r="B135" s="183" t="e">
        <f t="shared" si="12"/>
        <v>#N/A</v>
      </c>
      <c r="C135" s="184" t="e">
        <f t="shared" si="13"/>
        <v>#N/A</v>
      </c>
      <c r="D135" s="185" t="e">
        <f t="shared" ref="D135:D154" si="14">IF(H135=H134,"",K135)</f>
        <v>#N/A</v>
      </c>
      <c r="E135" s="177"/>
      <c r="F135" s="177"/>
      <c r="G135" s="177"/>
      <c r="H135" s="174" t="e">
        <f>VLOOKUP(131,Order!A$23:T$1111,4,TRUE)</f>
        <v>#N/A</v>
      </c>
      <c r="I135" s="174" t="e">
        <f>VLOOKUP(131,Order!A$23:T$1111,2,TRUE)</f>
        <v>#N/A</v>
      </c>
      <c r="J135" s="174" t="e">
        <f>VLOOKUP(131,Order!A$23:T$1111,18,TRUE)</f>
        <v>#N/A</v>
      </c>
      <c r="K135" s="174" t="e">
        <f>VLOOKUP(131,Order!A$23:T$1111,20,TRUE)</f>
        <v>#N/A</v>
      </c>
      <c r="L135" s="177"/>
      <c r="M135" s="177"/>
      <c r="N135" s="177"/>
      <c r="O135" s="177"/>
      <c r="P135" s="177"/>
      <c r="Q135" s="177"/>
      <c r="R135" s="177"/>
    </row>
    <row r="136" spans="1:18" x14ac:dyDescent="0.15">
      <c r="A136" s="179" t="e">
        <f t="shared" si="11"/>
        <v>#N/A</v>
      </c>
      <c r="B136" s="183" t="e">
        <f t="shared" si="12"/>
        <v>#N/A</v>
      </c>
      <c r="C136" s="184" t="e">
        <f t="shared" si="13"/>
        <v>#N/A</v>
      </c>
      <c r="D136" s="185" t="e">
        <f t="shared" si="14"/>
        <v>#N/A</v>
      </c>
      <c r="E136" s="177"/>
      <c r="F136" s="177"/>
      <c r="G136" s="177"/>
      <c r="H136" s="174" t="e">
        <f>VLOOKUP(132,Order!A$23:T$1111,4,TRUE)</f>
        <v>#N/A</v>
      </c>
      <c r="I136" s="174" t="e">
        <f>VLOOKUP(132,Order!A$23:T$1111,2,TRUE)</f>
        <v>#N/A</v>
      </c>
      <c r="J136" s="174" t="e">
        <f>VLOOKUP(132,Order!A$23:T$1111,18,TRUE)</f>
        <v>#N/A</v>
      </c>
      <c r="K136" s="174" t="e">
        <f>VLOOKUP(132,Order!A$23:T$1111,20,TRUE)</f>
        <v>#N/A</v>
      </c>
      <c r="L136" s="177"/>
      <c r="M136" s="177"/>
      <c r="N136" s="177"/>
      <c r="O136" s="177"/>
      <c r="P136" s="177"/>
      <c r="Q136" s="177"/>
      <c r="R136" s="177"/>
    </row>
    <row r="137" spans="1:18" x14ac:dyDescent="0.15">
      <c r="A137" s="179" t="e">
        <f t="shared" si="11"/>
        <v>#N/A</v>
      </c>
      <c r="B137" s="183" t="e">
        <f t="shared" si="12"/>
        <v>#N/A</v>
      </c>
      <c r="C137" s="184" t="e">
        <f t="shared" si="13"/>
        <v>#N/A</v>
      </c>
      <c r="D137" s="185" t="e">
        <f t="shared" si="14"/>
        <v>#N/A</v>
      </c>
      <c r="E137" s="177"/>
      <c r="F137" s="177"/>
      <c r="G137" s="177"/>
      <c r="H137" s="174" t="e">
        <f>VLOOKUP(133,Order!A$23:T$1111,4,TRUE)</f>
        <v>#N/A</v>
      </c>
      <c r="I137" s="174" t="e">
        <f>VLOOKUP(133,Order!A$23:T$1111,2,TRUE)</f>
        <v>#N/A</v>
      </c>
      <c r="J137" s="174" t="e">
        <f>VLOOKUP(133,Order!A$23:T$1111,18,TRUE)</f>
        <v>#N/A</v>
      </c>
      <c r="K137" s="174" t="e">
        <f>VLOOKUP(133,Order!A$23:T$1111,20,TRUE)</f>
        <v>#N/A</v>
      </c>
      <c r="L137" s="177"/>
      <c r="M137" s="177"/>
      <c r="N137" s="177"/>
      <c r="O137" s="177"/>
      <c r="P137" s="177"/>
      <c r="Q137" s="177"/>
      <c r="R137" s="177"/>
    </row>
    <row r="138" spans="1:18" x14ac:dyDescent="0.15">
      <c r="A138" s="179" t="e">
        <f t="shared" si="11"/>
        <v>#N/A</v>
      </c>
      <c r="B138" s="183" t="e">
        <f t="shared" si="12"/>
        <v>#N/A</v>
      </c>
      <c r="C138" s="184" t="e">
        <f t="shared" si="13"/>
        <v>#N/A</v>
      </c>
      <c r="D138" s="185" t="e">
        <f t="shared" si="14"/>
        <v>#N/A</v>
      </c>
      <c r="E138" s="177"/>
      <c r="F138" s="177"/>
      <c r="G138" s="177"/>
      <c r="H138" s="174" t="e">
        <f>VLOOKUP(134,Order!A$23:T$1111,4,TRUE)</f>
        <v>#N/A</v>
      </c>
      <c r="I138" s="174" t="e">
        <f>VLOOKUP(134,Order!A$23:T$1111,2,TRUE)</f>
        <v>#N/A</v>
      </c>
      <c r="J138" s="174" t="e">
        <f>VLOOKUP(134,Order!A$23:T$1111,18,TRUE)</f>
        <v>#N/A</v>
      </c>
      <c r="K138" s="174" t="e">
        <f>VLOOKUP(134,Order!A$23:T$1111,20,TRUE)</f>
        <v>#N/A</v>
      </c>
      <c r="L138" s="177"/>
      <c r="M138" s="177"/>
      <c r="N138" s="177"/>
      <c r="O138" s="177"/>
      <c r="P138" s="177"/>
      <c r="Q138" s="177"/>
      <c r="R138" s="177"/>
    </row>
    <row r="139" spans="1:18" x14ac:dyDescent="0.15">
      <c r="A139" s="179" t="e">
        <f t="shared" si="11"/>
        <v>#N/A</v>
      </c>
      <c r="B139" s="183" t="e">
        <f t="shared" si="12"/>
        <v>#N/A</v>
      </c>
      <c r="C139" s="184" t="e">
        <f t="shared" si="13"/>
        <v>#N/A</v>
      </c>
      <c r="D139" s="185" t="e">
        <f t="shared" si="14"/>
        <v>#N/A</v>
      </c>
      <c r="E139" s="177"/>
      <c r="F139" s="177"/>
      <c r="G139" s="177"/>
      <c r="H139" s="174" t="e">
        <f>VLOOKUP(135,Order!A$23:T$1111,4,TRUE)</f>
        <v>#N/A</v>
      </c>
      <c r="I139" s="174" t="e">
        <f>VLOOKUP(135,Order!A$23:T$1111,2,TRUE)</f>
        <v>#N/A</v>
      </c>
      <c r="J139" s="174" t="e">
        <f>VLOOKUP(135,Order!A$23:T$1111,18,TRUE)</f>
        <v>#N/A</v>
      </c>
      <c r="K139" s="174" t="e">
        <f>VLOOKUP(135,Order!A$23:T$1111,20,TRUE)</f>
        <v>#N/A</v>
      </c>
      <c r="L139" s="177"/>
      <c r="M139" s="177"/>
      <c r="N139" s="177"/>
      <c r="O139" s="177"/>
      <c r="P139" s="177"/>
      <c r="Q139" s="177"/>
      <c r="R139" s="177"/>
    </row>
    <row r="140" spans="1:18" x14ac:dyDescent="0.15">
      <c r="A140" s="179" t="e">
        <f t="shared" si="11"/>
        <v>#N/A</v>
      </c>
      <c r="B140" s="183" t="e">
        <f t="shared" si="12"/>
        <v>#N/A</v>
      </c>
      <c r="C140" s="184" t="e">
        <f t="shared" si="13"/>
        <v>#N/A</v>
      </c>
      <c r="D140" s="185" t="e">
        <f t="shared" si="14"/>
        <v>#N/A</v>
      </c>
      <c r="E140" s="177"/>
      <c r="F140" s="177"/>
      <c r="G140" s="177"/>
      <c r="H140" s="174" t="e">
        <f>VLOOKUP(136,Order!A$23:T$1111,4,TRUE)</f>
        <v>#N/A</v>
      </c>
      <c r="I140" s="174" t="e">
        <f>VLOOKUP(136,Order!A$23:T$1111,2,TRUE)</f>
        <v>#N/A</v>
      </c>
      <c r="J140" s="174" t="e">
        <f>VLOOKUP(136,Order!A$23:T$1111,18,TRUE)</f>
        <v>#N/A</v>
      </c>
      <c r="K140" s="174" t="e">
        <f>VLOOKUP(136,Order!A$23:T$1111,20,TRUE)</f>
        <v>#N/A</v>
      </c>
      <c r="L140" s="177"/>
      <c r="M140" s="177"/>
      <c r="N140" s="177"/>
      <c r="O140" s="177"/>
      <c r="P140" s="177"/>
      <c r="Q140" s="177"/>
      <c r="R140" s="177"/>
    </row>
    <row r="141" spans="1:18" x14ac:dyDescent="0.15">
      <c r="A141" s="179" t="e">
        <f t="shared" si="11"/>
        <v>#N/A</v>
      </c>
      <c r="B141" s="183" t="e">
        <f t="shared" si="12"/>
        <v>#N/A</v>
      </c>
      <c r="C141" s="184" t="e">
        <f t="shared" si="13"/>
        <v>#N/A</v>
      </c>
      <c r="D141" s="185" t="e">
        <f t="shared" si="14"/>
        <v>#N/A</v>
      </c>
      <c r="E141" s="177"/>
      <c r="F141" s="177"/>
      <c r="G141" s="177"/>
      <c r="H141" s="174" t="e">
        <f>VLOOKUP(137,Order!A$23:T$1111,4,TRUE)</f>
        <v>#N/A</v>
      </c>
      <c r="I141" s="174" t="e">
        <f>VLOOKUP(137,Order!A$23:T$1111,2,TRUE)</f>
        <v>#N/A</v>
      </c>
      <c r="J141" s="174" t="e">
        <f>VLOOKUP(137,Order!A$23:T$1111,18,TRUE)</f>
        <v>#N/A</v>
      </c>
      <c r="K141" s="174" t="e">
        <f>VLOOKUP(137,Order!A$23:T$1111,20,TRUE)</f>
        <v>#N/A</v>
      </c>
      <c r="L141" s="177"/>
      <c r="M141" s="177"/>
      <c r="N141" s="177"/>
      <c r="O141" s="177"/>
      <c r="P141" s="177"/>
      <c r="Q141" s="177"/>
      <c r="R141" s="177"/>
    </row>
    <row r="142" spans="1:18" x14ac:dyDescent="0.15">
      <c r="A142" s="179" t="e">
        <f t="shared" si="11"/>
        <v>#N/A</v>
      </c>
      <c r="B142" s="183" t="e">
        <f t="shared" si="12"/>
        <v>#N/A</v>
      </c>
      <c r="C142" s="184" t="e">
        <f t="shared" si="13"/>
        <v>#N/A</v>
      </c>
      <c r="D142" s="185" t="e">
        <f t="shared" si="14"/>
        <v>#N/A</v>
      </c>
      <c r="E142" s="177"/>
      <c r="F142" s="177"/>
      <c r="G142" s="177"/>
      <c r="H142" s="174" t="e">
        <f>VLOOKUP(138,Order!A$23:T$1111,4,TRUE)</f>
        <v>#N/A</v>
      </c>
      <c r="I142" s="174" t="e">
        <f>VLOOKUP(138,Order!A$23:T$1111,2,TRUE)</f>
        <v>#N/A</v>
      </c>
      <c r="J142" s="174" t="e">
        <f>VLOOKUP(138,Order!A$23:T$1111,18,TRUE)</f>
        <v>#N/A</v>
      </c>
      <c r="K142" s="174" t="e">
        <f>VLOOKUP(138,Order!A$23:T$1111,20,TRUE)</f>
        <v>#N/A</v>
      </c>
      <c r="L142" s="177"/>
      <c r="M142" s="177"/>
      <c r="N142" s="177"/>
      <c r="O142" s="177"/>
      <c r="P142" s="177"/>
      <c r="Q142" s="177"/>
      <c r="R142" s="177"/>
    </row>
    <row r="143" spans="1:18" x14ac:dyDescent="0.15">
      <c r="A143" s="179" t="e">
        <f t="shared" si="11"/>
        <v>#N/A</v>
      </c>
      <c r="B143" s="183" t="e">
        <f t="shared" si="12"/>
        <v>#N/A</v>
      </c>
      <c r="C143" s="184" t="e">
        <f t="shared" si="13"/>
        <v>#N/A</v>
      </c>
      <c r="D143" s="185" t="e">
        <f t="shared" si="14"/>
        <v>#N/A</v>
      </c>
      <c r="E143" s="177"/>
      <c r="F143" s="177"/>
      <c r="G143" s="177"/>
      <c r="H143" s="174" t="e">
        <f>VLOOKUP(139,Order!A$23:T$1111,4,TRUE)</f>
        <v>#N/A</v>
      </c>
      <c r="I143" s="174" t="e">
        <f>VLOOKUP(139,Order!A$23:T$1111,2,TRUE)</f>
        <v>#N/A</v>
      </c>
      <c r="J143" s="174" t="e">
        <f>VLOOKUP(139,Order!A$23:T$1111,18,TRUE)</f>
        <v>#N/A</v>
      </c>
      <c r="K143" s="174" t="e">
        <f>VLOOKUP(139,Order!A$23:T$1111,20,TRUE)</f>
        <v>#N/A</v>
      </c>
      <c r="L143" s="177"/>
      <c r="M143" s="177"/>
      <c r="N143" s="177"/>
      <c r="O143" s="177"/>
      <c r="P143" s="177"/>
      <c r="Q143" s="177"/>
      <c r="R143" s="177"/>
    </row>
    <row r="144" spans="1:18" x14ac:dyDescent="0.15">
      <c r="A144" s="179" t="e">
        <f t="shared" si="11"/>
        <v>#N/A</v>
      </c>
      <c r="B144" s="183" t="e">
        <f t="shared" si="12"/>
        <v>#N/A</v>
      </c>
      <c r="C144" s="184" t="e">
        <f t="shared" si="13"/>
        <v>#N/A</v>
      </c>
      <c r="D144" s="185" t="e">
        <f t="shared" si="14"/>
        <v>#N/A</v>
      </c>
      <c r="E144" s="177"/>
      <c r="F144" s="177"/>
      <c r="G144" s="177"/>
      <c r="H144" s="174" t="e">
        <f>VLOOKUP(140,Order!A$23:T$1111,4,TRUE)</f>
        <v>#N/A</v>
      </c>
      <c r="I144" s="174" t="e">
        <f>VLOOKUP(140,Order!A$23:T$1111,2,TRUE)</f>
        <v>#N/A</v>
      </c>
      <c r="J144" s="174" t="e">
        <f>VLOOKUP(140,Order!A$23:T$1111,18,TRUE)</f>
        <v>#N/A</v>
      </c>
      <c r="K144" s="174" t="e">
        <f>VLOOKUP(140,Order!A$23:T$1111,20,TRUE)</f>
        <v>#N/A</v>
      </c>
      <c r="L144" s="177"/>
      <c r="M144" s="177"/>
      <c r="N144" s="177"/>
      <c r="O144" s="177"/>
      <c r="P144" s="177"/>
      <c r="Q144" s="177"/>
      <c r="R144" s="177"/>
    </row>
    <row r="145" spans="1:18" x14ac:dyDescent="0.15">
      <c r="A145" s="179" t="e">
        <f t="shared" si="11"/>
        <v>#N/A</v>
      </c>
      <c r="B145" s="183" t="e">
        <f t="shared" si="12"/>
        <v>#N/A</v>
      </c>
      <c r="C145" s="184" t="e">
        <f t="shared" si="13"/>
        <v>#N/A</v>
      </c>
      <c r="D145" s="185" t="e">
        <f t="shared" si="14"/>
        <v>#N/A</v>
      </c>
      <c r="E145" s="177"/>
      <c r="F145" s="177"/>
      <c r="G145" s="177"/>
      <c r="H145" s="174" t="e">
        <f>VLOOKUP(141,Order!A$23:T$1111,4,TRUE)</f>
        <v>#N/A</v>
      </c>
      <c r="I145" s="174" t="e">
        <f>VLOOKUP(141,Order!A$23:T$1111,2,TRUE)</f>
        <v>#N/A</v>
      </c>
      <c r="J145" s="174" t="e">
        <f>VLOOKUP(141,Order!A$23:T$1111,18,TRUE)</f>
        <v>#N/A</v>
      </c>
      <c r="K145" s="174" t="e">
        <f>VLOOKUP(141,Order!A$23:T$1111,20,TRUE)</f>
        <v>#N/A</v>
      </c>
      <c r="L145" s="177"/>
      <c r="M145" s="177"/>
      <c r="N145" s="177"/>
      <c r="O145" s="177"/>
      <c r="P145" s="177"/>
      <c r="Q145" s="177"/>
      <c r="R145" s="177"/>
    </row>
    <row r="146" spans="1:18" x14ac:dyDescent="0.15">
      <c r="A146" s="179" t="e">
        <f t="shared" si="11"/>
        <v>#N/A</v>
      </c>
      <c r="B146" s="183" t="e">
        <f t="shared" si="12"/>
        <v>#N/A</v>
      </c>
      <c r="C146" s="184" t="e">
        <f t="shared" si="13"/>
        <v>#N/A</v>
      </c>
      <c r="D146" s="185" t="e">
        <f t="shared" si="14"/>
        <v>#N/A</v>
      </c>
      <c r="E146" s="177"/>
      <c r="F146" s="177"/>
      <c r="G146" s="177"/>
      <c r="H146" s="174" t="e">
        <f>VLOOKUP(142,Order!A$23:T$1111,4,TRUE)</f>
        <v>#N/A</v>
      </c>
      <c r="I146" s="174" t="e">
        <f>VLOOKUP(142,Order!A$23:T$1111,2,TRUE)</f>
        <v>#N/A</v>
      </c>
      <c r="J146" s="174" t="e">
        <f>VLOOKUP(142,Order!A$23:T$1111,18,TRUE)</f>
        <v>#N/A</v>
      </c>
      <c r="K146" s="174" t="e">
        <f>VLOOKUP(142,Order!A$23:T$1111,20,TRUE)</f>
        <v>#N/A</v>
      </c>
      <c r="L146" s="177"/>
      <c r="M146" s="177"/>
      <c r="N146" s="177"/>
      <c r="O146" s="177"/>
      <c r="P146" s="177"/>
      <c r="Q146" s="177"/>
      <c r="R146" s="177"/>
    </row>
    <row r="147" spans="1:18" x14ac:dyDescent="0.15">
      <c r="A147" s="179" t="e">
        <f t="shared" si="11"/>
        <v>#N/A</v>
      </c>
      <c r="B147" s="183" t="e">
        <f t="shared" si="12"/>
        <v>#N/A</v>
      </c>
      <c r="C147" s="184" t="e">
        <f t="shared" si="13"/>
        <v>#N/A</v>
      </c>
      <c r="D147" s="185" t="e">
        <f t="shared" si="14"/>
        <v>#N/A</v>
      </c>
      <c r="E147" s="177"/>
      <c r="F147" s="177"/>
      <c r="G147" s="177"/>
      <c r="H147" s="174" t="e">
        <f>VLOOKUP(143,Order!A$23:T$1111,4,TRUE)</f>
        <v>#N/A</v>
      </c>
      <c r="I147" s="174" t="e">
        <f>VLOOKUP(143,Order!A$23:T$1111,2,TRUE)</f>
        <v>#N/A</v>
      </c>
      <c r="J147" s="174" t="e">
        <f>VLOOKUP(143,Order!A$23:T$1111,18,TRUE)</f>
        <v>#N/A</v>
      </c>
      <c r="K147" s="174" t="e">
        <f>VLOOKUP(143,Order!A$23:T$1111,20,TRUE)</f>
        <v>#N/A</v>
      </c>
      <c r="L147" s="177"/>
      <c r="M147" s="177"/>
      <c r="N147" s="177"/>
      <c r="O147" s="177"/>
      <c r="P147" s="177"/>
      <c r="Q147" s="177"/>
      <c r="R147" s="177"/>
    </row>
    <row r="148" spans="1:18" x14ac:dyDescent="0.15">
      <c r="A148" s="179" t="e">
        <f t="shared" si="11"/>
        <v>#N/A</v>
      </c>
      <c r="B148" s="183" t="e">
        <f t="shared" si="12"/>
        <v>#N/A</v>
      </c>
      <c r="C148" s="184" t="e">
        <f t="shared" si="13"/>
        <v>#N/A</v>
      </c>
      <c r="D148" s="185" t="e">
        <f t="shared" si="14"/>
        <v>#N/A</v>
      </c>
      <c r="E148" s="177"/>
      <c r="F148" s="177"/>
      <c r="G148" s="177"/>
      <c r="H148" s="174" t="e">
        <f>VLOOKUP(144,Order!A$23:T$1111,4,TRUE)</f>
        <v>#N/A</v>
      </c>
      <c r="I148" s="174" t="e">
        <f>VLOOKUP(144,Order!A$23:T$1111,2,TRUE)</f>
        <v>#N/A</v>
      </c>
      <c r="J148" s="174" t="e">
        <f>VLOOKUP(144,Order!A$23:T$1111,18,TRUE)</f>
        <v>#N/A</v>
      </c>
      <c r="K148" s="174" t="e">
        <f>VLOOKUP(144,Order!A$23:T$1111,20,TRUE)</f>
        <v>#N/A</v>
      </c>
      <c r="L148" s="177"/>
      <c r="M148" s="177"/>
      <c r="N148" s="177"/>
      <c r="O148" s="177"/>
      <c r="P148" s="177"/>
      <c r="Q148" s="177"/>
      <c r="R148" s="177"/>
    </row>
    <row r="149" spans="1:18" x14ac:dyDescent="0.15">
      <c r="A149" s="179" t="e">
        <f t="shared" si="11"/>
        <v>#N/A</v>
      </c>
      <c r="B149" s="183" t="e">
        <f t="shared" si="12"/>
        <v>#N/A</v>
      </c>
      <c r="C149" s="184" t="e">
        <f t="shared" si="13"/>
        <v>#N/A</v>
      </c>
      <c r="D149" s="185" t="e">
        <f t="shared" si="14"/>
        <v>#N/A</v>
      </c>
      <c r="E149" s="177"/>
      <c r="F149" s="177"/>
      <c r="G149" s="177"/>
      <c r="H149" s="174" t="e">
        <f>VLOOKUP(145,Order!A$23:T$1111,4,TRUE)</f>
        <v>#N/A</v>
      </c>
      <c r="I149" s="174" t="e">
        <f>VLOOKUP(145,Order!A$23:T$1111,2,TRUE)</f>
        <v>#N/A</v>
      </c>
      <c r="J149" s="174" t="e">
        <f>VLOOKUP(145,Order!A$23:T$1111,18,TRUE)</f>
        <v>#N/A</v>
      </c>
      <c r="K149" s="174" t="e">
        <f>VLOOKUP(145,Order!A$23:T$1111,20,TRUE)</f>
        <v>#N/A</v>
      </c>
      <c r="L149" s="177"/>
      <c r="M149" s="177"/>
      <c r="N149" s="177"/>
      <c r="O149" s="177"/>
      <c r="P149" s="177"/>
      <c r="Q149" s="177"/>
      <c r="R149" s="177"/>
    </row>
    <row r="150" spans="1:18" x14ac:dyDescent="0.15">
      <c r="A150" s="179" t="e">
        <f t="shared" si="11"/>
        <v>#N/A</v>
      </c>
      <c r="B150" s="183" t="e">
        <f t="shared" si="12"/>
        <v>#N/A</v>
      </c>
      <c r="C150" s="184" t="e">
        <f t="shared" si="13"/>
        <v>#N/A</v>
      </c>
      <c r="D150" s="185" t="e">
        <f t="shared" si="14"/>
        <v>#N/A</v>
      </c>
      <c r="E150" s="177"/>
      <c r="F150" s="177"/>
      <c r="G150" s="177"/>
      <c r="H150" s="174" t="e">
        <f>VLOOKUP(146,Order!A$23:T$1111,4,TRUE)</f>
        <v>#N/A</v>
      </c>
      <c r="I150" s="174" t="e">
        <f>VLOOKUP(146,Order!A$23:T$1111,2,TRUE)</f>
        <v>#N/A</v>
      </c>
      <c r="J150" s="174" t="e">
        <f>VLOOKUP(146,Order!A$23:T$1111,18,TRUE)</f>
        <v>#N/A</v>
      </c>
      <c r="K150" s="174" t="e">
        <f>VLOOKUP(146,Order!A$23:T$1111,20,TRUE)</f>
        <v>#N/A</v>
      </c>
      <c r="L150" s="177"/>
      <c r="M150" s="177"/>
      <c r="N150" s="177"/>
      <c r="O150" s="177"/>
      <c r="P150" s="177"/>
      <c r="Q150" s="177"/>
      <c r="R150" s="177"/>
    </row>
    <row r="151" spans="1:18" x14ac:dyDescent="0.15">
      <c r="A151" s="179" t="e">
        <f t="shared" si="11"/>
        <v>#N/A</v>
      </c>
      <c r="B151" s="183" t="e">
        <f t="shared" si="12"/>
        <v>#N/A</v>
      </c>
      <c r="C151" s="184" t="e">
        <f t="shared" si="13"/>
        <v>#N/A</v>
      </c>
      <c r="D151" s="185" t="e">
        <f t="shared" si="14"/>
        <v>#N/A</v>
      </c>
      <c r="E151" s="177"/>
      <c r="F151" s="177"/>
      <c r="G151" s="177"/>
      <c r="H151" s="174" t="e">
        <f>VLOOKUP(147,Order!A$23:T$1111,4,TRUE)</f>
        <v>#N/A</v>
      </c>
      <c r="I151" s="174" t="e">
        <f>VLOOKUP(147,Order!A$23:T$1111,2,TRUE)</f>
        <v>#N/A</v>
      </c>
      <c r="J151" s="174" t="e">
        <f>VLOOKUP(147,Order!A$23:T$1111,18,TRUE)</f>
        <v>#N/A</v>
      </c>
      <c r="K151" s="174" t="e">
        <f>VLOOKUP(147,Order!A$23:T$1111,20,TRUE)</f>
        <v>#N/A</v>
      </c>
      <c r="L151" s="177"/>
      <c r="M151" s="177"/>
      <c r="N151" s="177"/>
      <c r="O151" s="177"/>
      <c r="P151" s="177"/>
      <c r="Q151" s="177"/>
      <c r="R151" s="177"/>
    </row>
    <row r="152" spans="1:18" x14ac:dyDescent="0.15">
      <c r="A152" s="179" t="e">
        <f t="shared" si="11"/>
        <v>#N/A</v>
      </c>
      <c r="B152" s="183" t="e">
        <f t="shared" si="12"/>
        <v>#N/A</v>
      </c>
      <c r="C152" s="184" t="e">
        <f t="shared" si="13"/>
        <v>#N/A</v>
      </c>
      <c r="D152" s="185" t="e">
        <f t="shared" si="14"/>
        <v>#N/A</v>
      </c>
      <c r="E152" s="177"/>
      <c r="F152" s="177"/>
      <c r="G152" s="177"/>
      <c r="H152" s="174" t="e">
        <f>VLOOKUP(148,Order!A$23:T$1111,4,TRUE)</f>
        <v>#N/A</v>
      </c>
      <c r="I152" s="174" t="e">
        <f>VLOOKUP(148,Order!A$23:T$1111,2,TRUE)</f>
        <v>#N/A</v>
      </c>
      <c r="J152" s="174" t="e">
        <f>VLOOKUP(148,Order!A$23:T$1111,18,TRUE)</f>
        <v>#N/A</v>
      </c>
      <c r="K152" s="174" t="e">
        <f>VLOOKUP(148,Order!A$23:T$1111,20,TRUE)</f>
        <v>#N/A</v>
      </c>
      <c r="L152" s="177"/>
      <c r="M152" s="177"/>
      <c r="N152" s="177"/>
      <c r="O152" s="177"/>
      <c r="P152" s="177"/>
      <c r="Q152" s="177"/>
      <c r="R152" s="177"/>
    </row>
    <row r="153" spans="1:18" x14ac:dyDescent="0.15">
      <c r="A153" s="179" t="e">
        <f t="shared" si="11"/>
        <v>#N/A</v>
      </c>
      <c r="B153" s="183" t="e">
        <f t="shared" si="12"/>
        <v>#N/A</v>
      </c>
      <c r="C153" s="184" t="e">
        <f t="shared" si="13"/>
        <v>#N/A</v>
      </c>
      <c r="D153" s="185" t="e">
        <f t="shared" si="14"/>
        <v>#N/A</v>
      </c>
      <c r="E153" s="177"/>
      <c r="F153" s="177"/>
      <c r="G153" s="177"/>
      <c r="H153" s="174" t="e">
        <f>VLOOKUP(149,Order!A$23:T$1111,4,TRUE)</f>
        <v>#N/A</v>
      </c>
      <c r="I153" s="174" t="e">
        <f>VLOOKUP(149,Order!A$23:T$1111,2,TRUE)</f>
        <v>#N/A</v>
      </c>
      <c r="J153" s="174" t="e">
        <f>VLOOKUP(149,Order!A$23:T$1111,18,TRUE)</f>
        <v>#N/A</v>
      </c>
      <c r="K153" s="174" t="e">
        <f>VLOOKUP(149,Order!A$23:T$1111,20,TRUE)</f>
        <v>#N/A</v>
      </c>
      <c r="L153" s="177"/>
      <c r="M153" s="177"/>
      <c r="N153" s="177"/>
      <c r="O153" s="177"/>
      <c r="P153" s="177"/>
      <c r="Q153" s="177"/>
      <c r="R153" s="177"/>
    </row>
    <row r="154" spans="1:18" x14ac:dyDescent="0.15">
      <c r="A154" s="179" t="e">
        <f t="shared" si="11"/>
        <v>#N/A</v>
      </c>
      <c r="B154" s="183" t="e">
        <f t="shared" si="12"/>
        <v>#N/A</v>
      </c>
      <c r="C154" s="184" t="e">
        <f t="shared" si="13"/>
        <v>#N/A</v>
      </c>
      <c r="D154" s="186" t="e">
        <f t="shared" si="14"/>
        <v>#N/A</v>
      </c>
      <c r="E154" s="177"/>
      <c r="F154" s="177"/>
      <c r="G154" s="177"/>
      <c r="H154" s="174" t="e">
        <f>VLOOKUP(150,Order!A$23:T$1111,4,TRUE)</f>
        <v>#N/A</v>
      </c>
      <c r="I154" s="174" t="e">
        <f>VLOOKUP(150,Order!A$23:T$1111,2,TRUE)</f>
        <v>#N/A</v>
      </c>
      <c r="J154" s="174" t="e">
        <f>VLOOKUP(150,Order!A$23:T$1111,18,TRUE)</f>
        <v>#N/A</v>
      </c>
      <c r="K154" s="174" t="e">
        <f>VLOOKUP(150,Order!A$23:T$1111,20,TRUE)</f>
        <v>#N/A</v>
      </c>
      <c r="L154" s="177"/>
      <c r="M154" s="177"/>
      <c r="N154" s="177"/>
      <c r="O154" s="177"/>
      <c r="P154" s="177"/>
      <c r="Q154" s="177"/>
      <c r="R154" s="177"/>
    </row>
    <row r="155" spans="1:18" x14ac:dyDescent="0.15">
      <c r="A155" s="179" t="e">
        <f t="shared" ref="A155:A164" si="15">IF(J155=0,"",IF(J155=J154,"",J155))</f>
        <v>#N/A</v>
      </c>
      <c r="B155" s="183" t="e">
        <f t="shared" ref="B155:B164" si="16">IF(H155=H154,"",H155)</f>
        <v>#N/A</v>
      </c>
      <c r="C155" s="184" t="e">
        <f t="shared" ref="C155:C164" si="17">IF(H155=H154,"",I155)</f>
        <v>#N/A</v>
      </c>
      <c r="D155" s="186" t="e">
        <f t="shared" ref="D155:D164" si="18">IF(H155=H154,"",K155)</f>
        <v>#N/A</v>
      </c>
      <c r="E155" s="177"/>
      <c r="F155" s="177"/>
      <c r="G155" s="177"/>
      <c r="H155" s="174" t="e">
        <f>VLOOKUP(151,Order!A$23:T$1111,4,TRUE)</f>
        <v>#N/A</v>
      </c>
      <c r="I155" s="174" t="e">
        <f>VLOOKUP(151,Order!A$23:T$1111,2,TRUE)</f>
        <v>#N/A</v>
      </c>
      <c r="J155" s="174" t="e">
        <f>VLOOKUP(151,Order!A$23:T$1111,18,TRUE)</f>
        <v>#N/A</v>
      </c>
      <c r="K155" s="174" t="e">
        <f>VLOOKUP(151,Order!A$23:T$1111,20,TRUE)</f>
        <v>#N/A</v>
      </c>
      <c r="L155" s="177"/>
      <c r="M155" s="177"/>
      <c r="N155" s="177"/>
      <c r="O155" s="177"/>
      <c r="P155" s="177"/>
      <c r="Q155" s="177"/>
      <c r="R155" s="177"/>
    </row>
    <row r="156" spans="1:18" x14ac:dyDescent="0.15">
      <c r="A156" s="179" t="e">
        <f t="shared" si="15"/>
        <v>#N/A</v>
      </c>
      <c r="B156" s="183" t="e">
        <f t="shared" si="16"/>
        <v>#N/A</v>
      </c>
      <c r="C156" s="184" t="e">
        <f t="shared" si="17"/>
        <v>#N/A</v>
      </c>
      <c r="D156" s="186" t="e">
        <f t="shared" si="18"/>
        <v>#N/A</v>
      </c>
      <c r="E156" s="177"/>
      <c r="F156" s="177"/>
      <c r="G156" s="177"/>
      <c r="H156" s="174" t="e">
        <f>VLOOKUP(152,Order!A$23:T$1111,4,TRUE)</f>
        <v>#N/A</v>
      </c>
      <c r="I156" s="174" t="e">
        <f>VLOOKUP(152,Order!A$23:T$1111,2,TRUE)</f>
        <v>#N/A</v>
      </c>
      <c r="J156" s="174" t="e">
        <f>VLOOKUP(152,Order!A$23:T$1111,18,TRUE)</f>
        <v>#N/A</v>
      </c>
      <c r="K156" s="174" t="e">
        <f>VLOOKUP(152,Order!A$23:T$1111,20,TRUE)</f>
        <v>#N/A</v>
      </c>
      <c r="L156" s="177"/>
      <c r="M156" s="177"/>
      <c r="N156" s="177"/>
      <c r="O156" s="177"/>
      <c r="P156" s="177"/>
      <c r="Q156" s="177"/>
      <c r="R156" s="177"/>
    </row>
    <row r="157" spans="1:18" x14ac:dyDescent="0.15">
      <c r="A157" s="179" t="e">
        <f t="shared" si="15"/>
        <v>#N/A</v>
      </c>
      <c r="B157" s="183" t="e">
        <f t="shared" si="16"/>
        <v>#N/A</v>
      </c>
      <c r="C157" s="184" t="e">
        <f t="shared" si="17"/>
        <v>#N/A</v>
      </c>
      <c r="D157" s="186" t="e">
        <f t="shared" si="18"/>
        <v>#N/A</v>
      </c>
      <c r="E157" s="177"/>
      <c r="F157" s="177"/>
      <c r="G157" s="177"/>
      <c r="H157" s="174" t="e">
        <f>VLOOKUP(153,Order!A$23:T$1111,4,TRUE)</f>
        <v>#N/A</v>
      </c>
      <c r="I157" s="174" t="e">
        <f>VLOOKUP(153,Order!A$23:T$1111,2,TRUE)</f>
        <v>#N/A</v>
      </c>
      <c r="J157" s="174" t="e">
        <f>VLOOKUP(153,Order!A$23:T$1111,18,TRUE)</f>
        <v>#N/A</v>
      </c>
      <c r="K157" s="174" t="e">
        <f>VLOOKUP(153,Order!A$23:T$1111,20,TRUE)</f>
        <v>#N/A</v>
      </c>
      <c r="L157" s="177"/>
      <c r="M157" s="177"/>
      <c r="N157" s="177"/>
      <c r="O157" s="177"/>
      <c r="P157" s="177"/>
      <c r="Q157" s="177"/>
      <c r="R157" s="177"/>
    </row>
    <row r="158" spans="1:18" x14ac:dyDescent="0.15">
      <c r="A158" s="179" t="e">
        <f t="shared" si="15"/>
        <v>#N/A</v>
      </c>
      <c r="B158" s="183" t="e">
        <f t="shared" si="16"/>
        <v>#N/A</v>
      </c>
      <c r="C158" s="184" t="e">
        <f t="shared" si="17"/>
        <v>#N/A</v>
      </c>
      <c r="D158" s="186" t="e">
        <f t="shared" si="18"/>
        <v>#N/A</v>
      </c>
      <c r="E158" s="177"/>
      <c r="F158" s="177"/>
      <c r="G158" s="177"/>
      <c r="H158" s="174" t="e">
        <f>VLOOKUP(154,Order!A$23:T$1111,4,TRUE)</f>
        <v>#N/A</v>
      </c>
      <c r="I158" s="174" t="e">
        <f>VLOOKUP(154,Order!A$23:T$1111,2,TRUE)</f>
        <v>#N/A</v>
      </c>
      <c r="J158" s="174" t="e">
        <f>VLOOKUP(154,Order!A$23:T$1111,18,TRUE)</f>
        <v>#N/A</v>
      </c>
      <c r="K158" s="174" t="e">
        <f>VLOOKUP(154,Order!A$23:T$1111,20,TRUE)</f>
        <v>#N/A</v>
      </c>
      <c r="L158" s="177"/>
      <c r="M158" s="177"/>
      <c r="N158" s="177"/>
      <c r="O158" s="177"/>
      <c r="P158" s="177"/>
      <c r="Q158" s="177"/>
      <c r="R158" s="177"/>
    </row>
    <row r="159" spans="1:18" x14ac:dyDescent="0.15">
      <c r="A159" s="179" t="e">
        <f t="shared" si="15"/>
        <v>#N/A</v>
      </c>
      <c r="B159" s="183" t="e">
        <f t="shared" si="16"/>
        <v>#N/A</v>
      </c>
      <c r="C159" s="184" t="e">
        <f t="shared" si="17"/>
        <v>#N/A</v>
      </c>
      <c r="D159" s="186" t="e">
        <f t="shared" si="18"/>
        <v>#N/A</v>
      </c>
      <c r="E159" s="177"/>
      <c r="F159" s="177"/>
      <c r="G159" s="177"/>
      <c r="H159" s="174" t="e">
        <f>VLOOKUP(155,Order!A$23:T$1111,4,TRUE)</f>
        <v>#N/A</v>
      </c>
      <c r="I159" s="174" t="e">
        <f>VLOOKUP(155,Order!A$23:T$1111,2,TRUE)</f>
        <v>#N/A</v>
      </c>
      <c r="J159" s="174" t="e">
        <f>VLOOKUP(155,Order!A$23:T$1111,18,TRUE)</f>
        <v>#N/A</v>
      </c>
      <c r="K159" s="174" t="e">
        <f>VLOOKUP(155,Order!A$23:T$1111,20,TRUE)</f>
        <v>#N/A</v>
      </c>
      <c r="L159" s="177"/>
      <c r="M159" s="177"/>
      <c r="N159" s="177"/>
      <c r="O159" s="177"/>
      <c r="P159" s="177"/>
      <c r="Q159" s="177"/>
      <c r="R159" s="177"/>
    </row>
    <row r="160" spans="1:18" x14ac:dyDescent="0.15">
      <c r="A160" s="179" t="e">
        <f t="shared" si="15"/>
        <v>#N/A</v>
      </c>
      <c r="B160" s="183" t="e">
        <f t="shared" si="16"/>
        <v>#N/A</v>
      </c>
      <c r="C160" s="184" t="e">
        <f t="shared" si="17"/>
        <v>#N/A</v>
      </c>
      <c r="D160" s="186" t="e">
        <f t="shared" si="18"/>
        <v>#N/A</v>
      </c>
      <c r="E160" s="177"/>
      <c r="F160" s="177"/>
      <c r="G160" s="177"/>
      <c r="H160" s="174" t="e">
        <f>VLOOKUP(156,Order!A$23:T$1111,4,TRUE)</f>
        <v>#N/A</v>
      </c>
      <c r="I160" s="174" t="e">
        <f>VLOOKUP(156,Order!A$23:T$1111,2,TRUE)</f>
        <v>#N/A</v>
      </c>
      <c r="J160" s="174" t="e">
        <f>VLOOKUP(156,Order!A$23:T$1111,18,TRUE)</f>
        <v>#N/A</v>
      </c>
      <c r="K160" s="174" t="e">
        <f>VLOOKUP(156,Order!A$23:T$1111,20,TRUE)</f>
        <v>#N/A</v>
      </c>
      <c r="L160" s="177"/>
      <c r="M160" s="177"/>
      <c r="N160" s="177"/>
      <c r="O160" s="177"/>
      <c r="P160" s="177"/>
      <c r="Q160" s="177"/>
      <c r="R160" s="177"/>
    </row>
    <row r="161" spans="1:18" x14ac:dyDescent="0.15">
      <c r="A161" s="179" t="e">
        <f t="shared" si="15"/>
        <v>#N/A</v>
      </c>
      <c r="B161" s="183" t="e">
        <f t="shared" si="16"/>
        <v>#N/A</v>
      </c>
      <c r="C161" s="184" t="e">
        <f t="shared" si="17"/>
        <v>#N/A</v>
      </c>
      <c r="D161" s="186" t="e">
        <f t="shared" si="18"/>
        <v>#N/A</v>
      </c>
      <c r="E161" s="177"/>
      <c r="F161" s="177"/>
      <c r="G161" s="177"/>
      <c r="H161" s="174" t="e">
        <f>VLOOKUP(157,Order!A$23:T$1111,4,TRUE)</f>
        <v>#N/A</v>
      </c>
      <c r="I161" s="174" t="e">
        <f>VLOOKUP(157,Order!A$23:T$1111,2,TRUE)</f>
        <v>#N/A</v>
      </c>
      <c r="J161" s="174" t="e">
        <f>VLOOKUP(157,Order!A$23:T$1111,18,TRUE)</f>
        <v>#N/A</v>
      </c>
      <c r="K161" s="174" t="e">
        <f>VLOOKUP(157,Order!A$23:T$1111,20,TRUE)</f>
        <v>#N/A</v>
      </c>
      <c r="L161" s="177"/>
      <c r="M161" s="177"/>
      <c r="N161" s="177"/>
      <c r="O161" s="177"/>
      <c r="P161" s="177"/>
      <c r="Q161" s="177"/>
      <c r="R161" s="177"/>
    </row>
    <row r="162" spans="1:18" x14ac:dyDescent="0.15">
      <c r="A162" s="179" t="e">
        <f t="shared" si="15"/>
        <v>#N/A</v>
      </c>
      <c r="B162" s="183" t="e">
        <f t="shared" si="16"/>
        <v>#N/A</v>
      </c>
      <c r="C162" s="184" t="e">
        <f t="shared" si="17"/>
        <v>#N/A</v>
      </c>
      <c r="D162" s="186" t="e">
        <f t="shared" si="18"/>
        <v>#N/A</v>
      </c>
      <c r="E162" s="177"/>
      <c r="F162" s="177"/>
      <c r="G162" s="177"/>
      <c r="H162" s="174" t="e">
        <f>VLOOKUP(158,Order!A$23:T$1111,4,TRUE)</f>
        <v>#N/A</v>
      </c>
      <c r="I162" s="174" t="e">
        <f>VLOOKUP(158,Order!A$23:T$1111,2,TRUE)</f>
        <v>#N/A</v>
      </c>
      <c r="J162" s="174" t="e">
        <f>VLOOKUP(158,Order!A$23:T$1111,18,TRUE)</f>
        <v>#N/A</v>
      </c>
      <c r="K162" s="174" t="e">
        <f>VLOOKUP(158,Order!A$23:T$1111,20,TRUE)</f>
        <v>#N/A</v>
      </c>
      <c r="L162" s="177"/>
      <c r="M162" s="177"/>
      <c r="N162" s="177"/>
      <c r="O162" s="177"/>
      <c r="P162" s="177"/>
      <c r="Q162" s="177"/>
      <c r="R162" s="177"/>
    </row>
    <row r="163" spans="1:18" x14ac:dyDescent="0.15">
      <c r="A163" s="179" t="e">
        <f t="shared" si="15"/>
        <v>#N/A</v>
      </c>
      <c r="B163" s="183" t="e">
        <f t="shared" si="16"/>
        <v>#N/A</v>
      </c>
      <c r="C163" s="184" t="e">
        <f t="shared" si="17"/>
        <v>#N/A</v>
      </c>
      <c r="D163" s="186" t="e">
        <f t="shared" si="18"/>
        <v>#N/A</v>
      </c>
      <c r="E163" s="177"/>
      <c r="F163" s="177"/>
      <c r="G163" s="177"/>
      <c r="H163" s="174" t="e">
        <f>VLOOKUP(159,Order!A$23:T$1111,4,TRUE)</f>
        <v>#N/A</v>
      </c>
      <c r="I163" s="174" t="e">
        <f>VLOOKUP(159,Order!A$23:T$1111,2,TRUE)</f>
        <v>#N/A</v>
      </c>
      <c r="J163" s="174" t="e">
        <f>VLOOKUP(159,Order!A$23:T$1111,18,TRUE)</f>
        <v>#N/A</v>
      </c>
      <c r="K163" s="174" t="e">
        <f>VLOOKUP(159,Order!A$23:T$1111,20,TRUE)</f>
        <v>#N/A</v>
      </c>
      <c r="L163" s="177"/>
      <c r="M163" s="177"/>
      <c r="N163" s="177"/>
      <c r="O163" s="177"/>
      <c r="P163" s="177"/>
      <c r="Q163" s="177"/>
      <c r="R163" s="177"/>
    </row>
    <row r="164" spans="1:18" x14ac:dyDescent="0.15">
      <c r="A164" s="179" t="e">
        <f t="shared" si="15"/>
        <v>#N/A</v>
      </c>
      <c r="B164" s="183" t="e">
        <f t="shared" si="16"/>
        <v>#N/A</v>
      </c>
      <c r="C164" s="184" t="e">
        <f t="shared" si="17"/>
        <v>#N/A</v>
      </c>
      <c r="D164" s="186" t="e">
        <f t="shared" si="18"/>
        <v>#N/A</v>
      </c>
      <c r="E164" s="177"/>
      <c r="F164" s="177"/>
      <c r="G164" s="177"/>
      <c r="H164" s="174" t="e">
        <f>VLOOKUP(160,Order!A$23:T$1111,4,TRUE)</f>
        <v>#N/A</v>
      </c>
      <c r="I164" s="174" t="e">
        <f>VLOOKUP(160,Order!A$23:T$1111,2,TRUE)</f>
        <v>#N/A</v>
      </c>
      <c r="J164" s="174" t="e">
        <f>VLOOKUP(160,Order!A$23:T$1111,18,TRUE)</f>
        <v>#N/A</v>
      </c>
      <c r="K164" s="174" t="e">
        <f>VLOOKUP(160,Order!A$23:T$1111,20,TRUE)</f>
        <v>#N/A</v>
      </c>
      <c r="L164" s="177"/>
      <c r="M164" s="177"/>
      <c r="N164" s="177"/>
      <c r="O164" s="177"/>
      <c r="P164" s="177"/>
      <c r="Q164" s="177"/>
      <c r="R164" s="177"/>
    </row>
    <row r="165" spans="1:18" x14ac:dyDescent="0.15">
      <c r="A165" s="179"/>
      <c r="B165" s="183"/>
      <c r="C165" s="184"/>
      <c r="D165" s="186"/>
      <c r="E165" s="177"/>
      <c r="F165" s="177"/>
      <c r="G165" s="177"/>
      <c r="H165" s="174"/>
      <c r="I165" s="174"/>
      <c r="J165" s="174"/>
      <c r="K165" s="174"/>
      <c r="L165" s="177"/>
      <c r="M165" s="177"/>
      <c r="N165" s="177"/>
      <c r="O165" s="177"/>
      <c r="P165" s="177"/>
      <c r="Q165" s="177"/>
      <c r="R165" s="177"/>
    </row>
    <row r="166" spans="1:18" x14ac:dyDescent="0.15">
      <c r="F166" s="177"/>
      <c r="G166" s="177"/>
      <c r="H166" s="174"/>
      <c r="I166" s="174"/>
      <c r="J166" s="174"/>
      <c r="K166" s="174"/>
      <c r="L166" s="177"/>
      <c r="M166" s="177"/>
      <c r="N166" s="177"/>
      <c r="O166" s="177"/>
      <c r="P166" s="177"/>
      <c r="Q166" s="177"/>
      <c r="R166" s="177"/>
    </row>
    <row r="167" spans="1:18" x14ac:dyDescent="0.15">
      <c r="F167" s="177"/>
      <c r="G167" s="177"/>
      <c r="H167" s="174"/>
      <c r="I167" s="174"/>
      <c r="J167" s="174"/>
      <c r="K167" s="174"/>
      <c r="L167" s="177"/>
      <c r="M167" s="177"/>
      <c r="N167" s="177"/>
      <c r="O167" s="177"/>
      <c r="P167" s="177"/>
      <c r="Q167" s="177"/>
      <c r="R167" s="177"/>
    </row>
    <row r="168" spans="1:18" x14ac:dyDescent="0.15">
      <c r="F168" s="177"/>
      <c r="G168" s="177"/>
      <c r="H168" s="174"/>
      <c r="I168" s="174"/>
      <c r="J168" s="174"/>
      <c r="K168" s="174"/>
      <c r="L168" s="177"/>
      <c r="M168" s="177"/>
      <c r="N168" s="177"/>
      <c r="O168" s="177"/>
      <c r="P168" s="177"/>
      <c r="Q168" s="177"/>
      <c r="R168" s="177"/>
    </row>
    <row r="169" spans="1:18" x14ac:dyDescent="0.15">
      <c r="F169" s="177"/>
      <c r="G169" s="177"/>
      <c r="H169" s="174"/>
      <c r="I169" s="174"/>
      <c r="J169" s="174"/>
      <c r="K169" s="174"/>
      <c r="L169" s="177"/>
      <c r="M169" s="177"/>
      <c r="N169" s="177"/>
      <c r="O169" s="177"/>
      <c r="P169" s="177"/>
      <c r="Q169" s="177"/>
      <c r="R169" s="177"/>
    </row>
    <row r="170" spans="1:18" x14ac:dyDescent="0.15">
      <c r="F170" s="177"/>
      <c r="G170" s="177"/>
      <c r="H170" s="174"/>
      <c r="I170" s="174"/>
      <c r="J170" s="174"/>
      <c r="K170" s="174"/>
      <c r="L170" s="177"/>
      <c r="M170" s="177"/>
      <c r="N170" s="177"/>
      <c r="O170" s="177"/>
      <c r="P170" s="177"/>
      <c r="Q170" s="177"/>
      <c r="R170" s="177"/>
    </row>
    <row r="171" spans="1:18" x14ac:dyDescent="0.15">
      <c r="F171" s="177"/>
      <c r="G171" s="177"/>
      <c r="H171" s="174"/>
      <c r="I171" s="174"/>
      <c r="J171" s="174"/>
      <c r="K171" s="174"/>
      <c r="L171" s="177"/>
      <c r="M171" s="177"/>
      <c r="N171" s="177"/>
      <c r="O171" s="177"/>
      <c r="P171" s="177"/>
      <c r="Q171" s="177"/>
      <c r="R171" s="177"/>
    </row>
    <row r="172" spans="1:18" x14ac:dyDescent="0.15">
      <c r="F172" s="177"/>
      <c r="G172" s="177"/>
      <c r="H172" s="174"/>
      <c r="I172" s="174"/>
      <c r="J172" s="174"/>
      <c r="K172" s="174"/>
      <c r="L172" s="177"/>
      <c r="M172" s="177"/>
      <c r="N172" s="177"/>
      <c r="O172" s="177"/>
      <c r="P172" s="177"/>
      <c r="Q172" s="177"/>
      <c r="R172" s="177"/>
    </row>
    <row r="173" spans="1:18" x14ac:dyDescent="0.15">
      <c r="F173" s="177"/>
      <c r="G173" s="177"/>
      <c r="H173" s="174"/>
      <c r="I173" s="174"/>
      <c r="J173" s="174"/>
      <c r="K173" s="174"/>
      <c r="L173" s="177"/>
      <c r="M173" s="177"/>
      <c r="N173" s="177"/>
      <c r="O173" s="177"/>
      <c r="P173" s="177"/>
      <c r="Q173" s="177"/>
      <c r="R173" s="177"/>
    </row>
    <row r="174" spans="1:18" x14ac:dyDescent="0.15">
      <c r="F174" s="177"/>
      <c r="G174" s="177"/>
      <c r="H174" s="174"/>
      <c r="I174" s="174"/>
      <c r="J174" s="174"/>
      <c r="K174" s="174"/>
      <c r="L174" s="177"/>
      <c r="M174" s="177"/>
      <c r="N174" s="177"/>
      <c r="O174" s="177"/>
      <c r="P174" s="177"/>
      <c r="Q174" s="177"/>
      <c r="R174" s="177"/>
    </row>
    <row r="175" spans="1:18" x14ac:dyDescent="0.15">
      <c r="F175" s="177"/>
      <c r="G175" s="177"/>
      <c r="H175" s="174"/>
      <c r="I175" s="174"/>
      <c r="J175" s="174"/>
      <c r="K175" s="174"/>
      <c r="L175" s="177"/>
      <c r="M175" s="177"/>
      <c r="N175" s="177"/>
      <c r="O175" s="177"/>
      <c r="P175" s="177"/>
      <c r="Q175" s="177"/>
      <c r="R175" s="177"/>
    </row>
    <row r="176" spans="1:18" x14ac:dyDescent="0.15">
      <c r="F176" s="177"/>
      <c r="G176" s="177"/>
      <c r="H176" s="174"/>
      <c r="I176" s="174"/>
      <c r="J176" s="174"/>
      <c r="K176" s="174"/>
      <c r="L176" s="177"/>
      <c r="M176" s="177"/>
      <c r="N176" s="177"/>
      <c r="O176" s="177"/>
      <c r="P176" s="177"/>
      <c r="Q176" s="177"/>
      <c r="R176" s="177"/>
    </row>
    <row r="177" spans="6:18" x14ac:dyDescent="0.15">
      <c r="F177" s="177"/>
      <c r="G177" s="177"/>
      <c r="H177" s="174"/>
      <c r="I177" s="174"/>
      <c r="J177" s="174"/>
      <c r="K177" s="174"/>
      <c r="L177" s="177"/>
      <c r="M177" s="177"/>
      <c r="N177" s="177"/>
      <c r="O177" s="177"/>
      <c r="P177" s="177"/>
      <c r="Q177" s="177"/>
      <c r="R177" s="177"/>
    </row>
    <row r="178" spans="6:18" x14ac:dyDescent="0.15">
      <c r="F178" s="177"/>
      <c r="G178" s="177"/>
      <c r="H178" s="174"/>
      <c r="I178" s="174"/>
      <c r="J178" s="174"/>
      <c r="K178" s="174"/>
      <c r="L178" s="177"/>
      <c r="M178" s="177"/>
      <c r="N178" s="177"/>
      <c r="O178" s="177"/>
      <c r="P178" s="177"/>
      <c r="Q178" s="177"/>
      <c r="R178" s="177"/>
    </row>
    <row r="179" spans="6:18" x14ac:dyDescent="0.15">
      <c r="F179" s="177"/>
      <c r="G179" s="177"/>
      <c r="H179" s="174"/>
      <c r="I179" s="174"/>
      <c r="J179" s="174"/>
      <c r="K179" s="174"/>
      <c r="L179" s="177"/>
      <c r="M179" s="177"/>
      <c r="N179" s="177"/>
      <c r="O179" s="177"/>
      <c r="P179" s="177"/>
      <c r="Q179" s="177"/>
      <c r="R179" s="177"/>
    </row>
    <row r="180" spans="6:18" x14ac:dyDescent="0.15">
      <c r="F180" s="177"/>
      <c r="G180" s="177"/>
      <c r="H180" s="174"/>
      <c r="I180" s="174"/>
      <c r="J180" s="174"/>
      <c r="K180" s="174"/>
      <c r="L180" s="177"/>
      <c r="M180" s="177"/>
      <c r="N180" s="177"/>
      <c r="O180" s="177"/>
      <c r="P180" s="177"/>
      <c r="Q180" s="177"/>
      <c r="R180" s="177"/>
    </row>
    <row r="181" spans="6:18" x14ac:dyDescent="0.15">
      <c r="F181" s="177"/>
      <c r="G181" s="177"/>
      <c r="H181" s="174"/>
      <c r="I181" s="174"/>
      <c r="J181" s="174"/>
      <c r="K181" s="174"/>
      <c r="L181" s="177"/>
      <c r="M181" s="177"/>
      <c r="N181" s="177"/>
      <c r="O181" s="177"/>
      <c r="P181" s="177"/>
      <c r="Q181" s="177"/>
      <c r="R181" s="177"/>
    </row>
    <row r="182" spans="6:18" x14ac:dyDescent="0.15">
      <c r="F182" s="177"/>
      <c r="G182" s="177"/>
      <c r="H182" s="174"/>
      <c r="I182" s="174"/>
      <c r="J182" s="174"/>
      <c r="K182" s="174"/>
      <c r="L182" s="177"/>
      <c r="M182" s="177"/>
      <c r="N182" s="177"/>
      <c r="O182" s="177"/>
      <c r="P182" s="177"/>
      <c r="Q182" s="177"/>
      <c r="R182" s="177"/>
    </row>
    <row r="183" spans="6:18" x14ac:dyDescent="0.15">
      <c r="F183" s="177"/>
      <c r="G183" s="177"/>
      <c r="H183" s="174"/>
      <c r="I183" s="174"/>
      <c r="J183" s="174"/>
      <c r="K183" s="174"/>
      <c r="L183" s="177"/>
      <c r="M183" s="177"/>
      <c r="N183" s="177"/>
      <c r="O183" s="177"/>
      <c r="P183" s="177"/>
      <c r="Q183" s="177"/>
      <c r="R183" s="177"/>
    </row>
    <row r="184" spans="6:18" x14ac:dyDescent="0.15">
      <c r="F184" s="177"/>
      <c r="G184" s="177"/>
      <c r="H184" s="174"/>
      <c r="I184" s="174"/>
      <c r="J184" s="174"/>
      <c r="K184" s="174"/>
      <c r="L184" s="177"/>
      <c r="M184" s="177"/>
      <c r="N184" s="177"/>
      <c r="O184" s="177"/>
      <c r="P184" s="177"/>
      <c r="Q184" s="177"/>
      <c r="R184" s="177"/>
    </row>
    <row r="185" spans="6:18" x14ac:dyDescent="0.15">
      <c r="F185" s="177"/>
      <c r="G185" s="177"/>
      <c r="H185" s="174"/>
      <c r="I185" s="174"/>
      <c r="J185" s="174"/>
      <c r="K185" s="174"/>
      <c r="L185" s="177"/>
      <c r="M185" s="177"/>
      <c r="N185" s="177"/>
      <c r="O185" s="177"/>
      <c r="P185" s="177"/>
      <c r="Q185" s="177"/>
      <c r="R185" s="177"/>
    </row>
    <row r="186" spans="6:18" x14ac:dyDescent="0.15">
      <c r="F186" s="177"/>
      <c r="G186" s="177"/>
      <c r="H186" s="174"/>
      <c r="I186" s="174"/>
      <c r="J186" s="174"/>
      <c r="K186" s="174"/>
      <c r="L186" s="177"/>
      <c r="M186" s="177"/>
      <c r="N186" s="177"/>
      <c r="O186" s="177"/>
      <c r="P186" s="177"/>
      <c r="Q186" s="177"/>
      <c r="R186" s="177"/>
    </row>
    <row r="187" spans="6:18" x14ac:dyDescent="0.15"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</row>
    <row r="188" spans="6:18" x14ac:dyDescent="0.15"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</row>
    <row r="189" spans="6:18" x14ac:dyDescent="0.15"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</row>
    <row r="190" spans="6:18" x14ac:dyDescent="0.15"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</row>
  </sheetData>
  <mergeCells count="1">
    <mergeCell ref="C4:D4"/>
  </mergeCells>
  <conditionalFormatting sqref="B4:C4 B5:D165">
    <cfRule type="containsBlanks" dxfId="5" priority="9">
      <formula>LEN(TRIM(B4))=0</formula>
    </cfRule>
  </conditionalFormatting>
  <conditionalFormatting sqref="A5:A165">
    <cfRule type="notContainsBlanks" dxfId="4" priority="7">
      <formula>LEN(TRIM(A5))&gt;0</formula>
    </cfRule>
  </conditionalFormatting>
  <conditionalFormatting sqref="B5:D165">
    <cfRule type="beginsWith" dxfId="3" priority="6" operator="beginsWith" text="Total">
      <formula>LEFT(B5,LEN("Total"))="Total"</formula>
    </cfRule>
  </conditionalFormatting>
  <conditionalFormatting sqref="B5:B164">
    <cfRule type="containsText" dxfId="2" priority="5" operator="containsText" text="Total">
      <formula>NOT(ISERROR(SEARCH("Total",B5)))</formula>
    </cfRule>
  </conditionalFormatting>
  <conditionalFormatting sqref="A5:XFD164">
    <cfRule type="expression" dxfId="1" priority="4">
      <formula>$B6=Total</formula>
    </cfRule>
  </conditionalFormatting>
  <conditionalFormatting sqref="A4:XFD164">
    <cfRule type="expression" dxfId="0" priority="3">
      <formula>$B$6=Total</formula>
    </cfRule>
  </conditionalFormatting>
  <pageMargins left="0.70866141732283472" right="0.70866141732283472" top="0.55118110236220474" bottom="0.74803149606299213" header="0.31496062992125984" footer="0.31496062992125984"/>
  <pageSetup paperSize="9" orientation="portrait" r:id="rId1"/>
  <headerFooter>
    <oddHeader>&amp;CPage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666D-D30D-4FD8-A217-2B5D29D46C06}">
  <sheetPr codeName="Sheet4"/>
  <dimension ref="A1:T901"/>
  <sheetViews>
    <sheetView zoomScale="104" zoomScaleNormal="104" workbookViewId="0">
      <pane ySplit="1" topLeftCell="A452" activePane="bottomLeft" state="frozen"/>
      <selection activeCell="B1" sqref="B1"/>
      <selection pane="bottomLeft" activeCell="F476" sqref="F476"/>
    </sheetView>
  </sheetViews>
  <sheetFormatPr defaultColWidth="9.140625" defaultRowHeight="15" x14ac:dyDescent="0.25"/>
  <cols>
    <col min="1" max="1" width="4" style="766" bestFit="1" customWidth="1"/>
    <col min="2" max="2" width="16.7109375" style="765" bestFit="1" customWidth="1"/>
    <col min="3" max="3" width="26.7109375" style="53" customWidth="1"/>
    <col min="4" max="4" width="8.140625" style="53" customWidth="1"/>
    <col min="5" max="9" width="4.85546875" customWidth="1"/>
    <col min="10" max="10" width="36.140625" bestFit="1" customWidth="1"/>
    <col min="11" max="11" width="9.140625" bestFit="1" customWidth="1"/>
    <col min="13" max="13" width="6.85546875" customWidth="1"/>
    <col min="14" max="14" width="24.7109375" bestFit="1" customWidth="1"/>
    <col min="15" max="15" width="5.28515625" bestFit="1" customWidth="1"/>
    <col min="16" max="16" width="6.85546875" bestFit="1" customWidth="1"/>
    <col min="17" max="17" width="50.7109375" customWidth="1"/>
  </cols>
  <sheetData>
    <row r="1" spans="1:20" x14ac:dyDescent="0.25">
      <c r="A1" s="764" t="s">
        <v>1422</v>
      </c>
      <c r="B1" s="764" t="s">
        <v>1401</v>
      </c>
      <c r="C1" s="45" t="s">
        <v>0</v>
      </c>
      <c r="D1" s="206" t="s">
        <v>213</v>
      </c>
      <c r="E1" s="42" t="s">
        <v>1</v>
      </c>
      <c r="F1" s="42" t="s">
        <v>1129</v>
      </c>
      <c r="G1" s="42" t="s">
        <v>2</v>
      </c>
      <c r="H1" s="42" t="s">
        <v>3</v>
      </c>
      <c r="I1" s="42" t="s">
        <v>4</v>
      </c>
      <c r="J1" s="43" t="s">
        <v>5</v>
      </c>
      <c r="K1" s="43" t="s">
        <v>1124</v>
      </c>
      <c r="L1" s="43" t="s">
        <v>6</v>
      </c>
      <c r="M1" s="43" t="s">
        <v>7</v>
      </c>
      <c r="N1" s="43" t="s">
        <v>40</v>
      </c>
      <c r="O1" s="42" t="s">
        <v>41</v>
      </c>
      <c r="P1" s="43" t="s">
        <v>42</v>
      </c>
      <c r="Q1" s="43" t="s">
        <v>43</v>
      </c>
      <c r="R1" s="44" t="s">
        <v>723</v>
      </c>
      <c r="S1" s="241" t="s">
        <v>1124</v>
      </c>
      <c r="T1" s="241" t="s">
        <v>1136</v>
      </c>
    </row>
    <row r="2" spans="1:20" x14ac:dyDescent="0.25">
      <c r="A2" s="766">
        <v>41</v>
      </c>
      <c r="B2" s="765" t="s">
        <v>1402</v>
      </c>
      <c r="C2" s="46" t="s">
        <v>8</v>
      </c>
      <c r="D2" s="207"/>
      <c r="E2" s="2" t="s">
        <v>1178</v>
      </c>
      <c r="F2" s="2"/>
      <c r="G2" s="2" t="s">
        <v>1178</v>
      </c>
      <c r="H2" s="2"/>
      <c r="I2" s="2"/>
      <c r="J2" s="3" t="s">
        <v>9</v>
      </c>
      <c r="K2" s="3" t="s">
        <v>1130</v>
      </c>
      <c r="L2" s="3"/>
      <c r="M2" s="3">
        <v>4</v>
      </c>
      <c r="N2" s="3" t="s">
        <v>44</v>
      </c>
      <c r="O2" s="2" t="s">
        <v>45</v>
      </c>
      <c r="P2" s="3"/>
      <c r="Q2" s="3" t="s">
        <v>46</v>
      </c>
      <c r="R2" s="4" t="s">
        <v>215</v>
      </c>
      <c r="S2">
        <f>IF(K2="S",25,IF(K2="M",35,IF(K2="L",55,"")))</f>
        <v>35</v>
      </c>
      <c r="T2">
        <v>0.2</v>
      </c>
    </row>
    <row r="3" spans="1:20" x14ac:dyDescent="0.25">
      <c r="A3" s="766">
        <v>234</v>
      </c>
      <c r="B3" s="765" t="s">
        <v>1402</v>
      </c>
      <c r="C3" s="47" t="s">
        <v>10</v>
      </c>
      <c r="D3" s="208"/>
      <c r="E3" s="5" t="s">
        <v>1178</v>
      </c>
      <c r="F3" s="5"/>
      <c r="G3" s="5" t="s">
        <v>1178</v>
      </c>
      <c r="H3" s="5"/>
      <c r="I3" s="5"/>
      <c r="J3" s="6" t="s">
        <v>9</v>
      </c>
      <c r="K3" s="6" t="s">
        <v>1130</v>
      </c>
      <c r="L3" s="6"/>
      <c r="M3" s="6">
        <v>4</v>
      </c>
      <c r="N3" s="6" t="s">
        <v>44</v>
      </c>
      <c r="O3" s="5">
        <v>1</v>
      </c>
      <c r="P3" s="6"/>
      <c r="Q3" s="6" t="s">
        <v>47</v>
      </c>
      <c r="R3" s="7" t="s">
        <v>215</v>
      </c>
      <c r="S3">
        <f t="shared" ref="S3:S69" si="0">IF(K3="S",25,IF(K3="M",35,IF(K3="L",55,"")))</f>
        <v>35</v>
      </c>
      <c r="T3">
        <v>0.2</v>
      </c>
    </row>
    <row r="4" spans="1:20" x14ac:dyDescent="0.25">
      <c r="A4" s="765">
        <v>32</v>
      </c>
      <c r="B4" s="765" t="s">
        <v>1402</v>
      </c>
      <c r="C4" s="46" t="s">
        <v>11</v>
      </c>
      <c r="D4" s="207">
        <v>100</v>
      </c>
      <c r="E4" s="2" t="s">
        <v>724</v>
      </c>
      <c r="F4" s="2"/>
      <c r="G4" s="2" t="s">
        <v>724</v>
      </c>
      <c r="H4" s="2" t="s">
        <v>724</v>
      </c>
      <c r="I4" s="2"/>
      <c r="J4" s="3" t="s">
        <v>9</v>
      </c>
      <c r="K4" s="3" t="s">
        <v>1132</v>
      </c>
      <c r="L4" s="3"/>
      <c r="M4" s="3">
        <v>2</v>
      </c>
      <c r="N4" s="3" t="s">
        <v>48</v>
      </c>
      <c r="O4" s="2" t="s">
        <v>49</v>
      </c>
      <c r="P4" s="3" t="s">
        <v>50</v>
      </c>
      <c r="Q4" s="3" t="s">
        <v>51</v>
      </c>
      <c r="R4" s="4" t="s">
        <v>215</v>
      </c>
      <c r="S4">
        <f t="shared" si="0"/>
        <v>55</v>
      </c>
      <c r="T4">
        <v>0.2</v>
      </c>
    </row>
    <row r="5" spans="1:20" x14ac:dyDescent="0.25">
      <c r="A5" s="765">
        <v>33</v>
      </c>
      <c r="B5" s="765" t="s">
        <v>1402</v>
      </c>
      <c r="C5" s="47" t="s">
        <v>216</v>
      </c>
      <c r="D5" s="208"/>
      <c r="E5" s="5"/>
      <c r="F5" s="5"/>
      <c r="G5" s="5"/>
      <c r="H5" s="5"/>
      <c r="I5" s="5"/>
      <c r="J5" s="6" t="s">
        <v>9</v>
      </c>
      <c r="K5" s="6"/>
      <c r="L5" s="6"/>
      <c r="M5" s="6">
        <v>2</v>
      </c>
      <c r="N5" s="6" t="s">
        <v>728</v>
      </c>
      <c r="O5" s="5" t="s">
        <v>49</v>
      </c>
      <c r="P5" s="6"/>
      <c r="Q5" s="6" t="s">
        <v>217</v>
      </c>
      <c r="R5" s="7" t="s">
        <v>215</v>
      </c>
      <c r="S5" t="str">
        <f t="shared" si="0"/>
        <v/>
      </c>
      <c r="T5">
        <v>0.2</v>
      </c>
    </row>
    <row r="6" spans="1:20" x14ac:dyDescent="0.25">
      <c r="B6" s="765" t="s">
        <v>1402</v>
      </c>
      <c r="C6" s="46" t="s">
        <v>770</v>
      </c>
      <c r="D6" s="207"/>
      <c r="E6" s="2"/>
      <c r="F6" s="2"/>
      <c r="G6" s="2"/>
      <c r="H6" s="2"/>
      <c r="I6" s="2"/>
      <c r="J6" s="3" t="s">
        <v>9</v>
      </c>
      <c r="K6" s="3"/>
      <c r="L6" s="3"/>
      <c r="M6" s="3">
        <v>1</v>
      </c>
      <c r="N6" s="3" t="s">
        <v>772</v>
      </c>
      <c r="O6" s="2" t="s">
        <v>55</v>
      </c>
      <c r="P6" s="3"/>
      <c r="Q6" s="3" t="s">
        <v>771</v>
      </c>
      <c r="R6" s="4" t="s">
        <v>215</v>
      </c>
      <c r="S6" t="str">
        <f t="shared" si="0"/>
        <v/>
      </c>
      <c r="T6">
        <v>0.2</v>
      </c>
    </row>
    <row r="7" spans="1:20" x14ac:dyDescent="0.25">
      <c r="A7" s="765">
        <v>34</v>
      </c>
      <c r="B7" s="765" t="s">
        <v>1402</v>
      </c>
      <c r="C7" s="46" t="s">
        <v>218</v>
      </c>
      <c r="D7" s="207"/>
      <c r="E7" s="2"/>
      <c r="F7" s="2"/>
      <c r="G7" s="2"/>
      <c r="H7" s="2"/>
      <c r="I7" s="2"/>
      <c r="J7" s="3" t="s">
        <v>9</v>
      </c>
      <c r="K7" s="3" t="s">
        <v>1130</v>
      </c>
      <c r="L7" s="3"/>
      <c r="M7" s="3">
        <v>1</v>
      </c>
      <c r="N7" s="3" t="s">
        <v>147</v>
      </c>
      <c r="O7" s="2" t="s">
        <v>55</v>
      </c>
      <c r="P7" s="3"/>
      <c r="Q7" s="3" t="s">
        <v>148</v>
      </c>
      <c r="R7" s="7" t="s">
        <v>215</v>
      </c>
      <c r="S7">
        <f t="shared" si="0"/>
        <v>35</v>
      </c>
      <c r="T7">
        <v>0.2</v>
      </c>
    </row>
    <row r="8" spans="1:20" x14ac:dyDescent="0.25">
      <c r="A8" s="765">
        <v>35</v>
      </c>
      <c r="B8" s="765" t="s">
        <v>1402</v>
      </c>
      <c r="C8" s="47" t="s">
        <v>149</v>
      </c>
      <c r="D8" s="208">
        <v>300</v>
      </c>
      <c r="E8" s="5" t="s">
        <v>1178</v>
      </c>
      <c r="F8" s="5"/>
      <c r="G8" s="5" t="s">
        <v>724</v>
      </c>
      <c r="H8" s="5" t="s">
        <v>724</v>
      </c>
      <c r="I8" s="5"/>
      <c r="J8" s="6" t="s">
        <v>9</v>
      </c>
      <c r="K8" s="6" t="s">
        <v>1130</v>
      </c>
      <c r="L8" s="6"/>
      <c r="M8" s="6">
        <v>2</v>
      </c>
      <c r="N8" s="6" t="s">
        <v>150</v>
      </c>
      <c r="O8" s="5" t="s">
        <v>55</v>
      </c>
      <c r="P8" s="6"/>
      <c r="Q8" s="6" t="s">
        <v>151</v>
      </c>
      <c r="R8" s="4" t="s">
        <v>215</v>
      </c>
      <c r="S8">
        <f t="shared" si="0"/>
        <v>35</v>
      </c>
      <c r="T8">
        <v>0.2</v>
      </c>
    </row>
    <row r="9" spans="1:20" x14ac:dyDescent="0.25">
      <c r="A9" s="765">
        <v>36</v>
      </c>
      <c r="B9" s="765" t="s">
        <v>1402</v>
      </c>
      <c r="C9" s="46" t="s">
        <v>12</v>
      </c>
      <c r="D9" s="207"/>
      <c r="E9" s="2"/>
      <c r="F9" s="2"/>
      <c r="G9" s="2"/>
      <c r="H9" s="2"/>
      <c r="I9" s="2"/>
      <c r="J9" s="3" t="s">
        <v>9</v>
      </c>
      <c r="K9" s="3"/>
      <c r="L9" s="3"/>
      <c r="M9" s="3">
        <v>2</v>
      </c>
      <c r="N9" s="3" t="s">
        <v>52</v>
      </c>
      <c r="O9" s="2">
        <v>2</v>
      </c>
      <c r="P9" s="3"/>
      <c r="Q9" s="3" t="s">
        <v>53</v>
      </c>
      <c r="R9" s="7" t="s">
        <v>215</v>
      </c>
      <c r="S9" t="str">
        <f t="shared" si="0"/>
        <v/>
      </c>
      <c r="T9">
        <v>0.2</v>
      </c>
    </row>
    <row r="10" spans="1:20" x14ac:dyDescent="0.25">
      <c r="B10" s="765" t="s">
        <v>1402</v>
      </c>
      <c r="C10" s="46" t="s">
        <v>1383</v>
      </c>
      <c r="D10" s="207"/>
      <c r="E10" s="2"/>
      <c r="F10" s="2"/>
      <c r="G10" s="2"/>
      <c r="H10" s="2"/>
      <c r="I10" s="2"/>
      <c r="J10" s="3" t="s">
        <v>9</v>
      </c>
      <c r="K10" s="3" t="s">
        <v>1130</v>
      </c>
      <c r="L10" s="3"/>
      <c r="M10" s="3">
        <v>1</v>
      </c>
      <c r="N10" s="3" t="s">
        <v>1384</v>
      </c>
      <c r="O10" s="2" t="s">
        <v>55</v>
      </c>
      <c r="P10" s="3"/>
      <c r="Q10" s="3" t="s">
        <v>1385</v>
      </c>
      <c r="R10" s="7" t="s">
        <v>215</v>
      </c>
      <c r="S10">
        <v>35</v>
      </c>
      <c r="T10">
        <v>0.2</v>
      </c>
    </row>
    <row r="11" spans="1:20" x14ac:dyDescent="0.25">
      <c r="A11" s="765">
        <v>37</v>
      </c>
      <c r="B11" s="765" t="s">
        <v>1402</v>
      </c>
      <c r="C11" s="47" t="s">
        <v>13</v>
      </c>
      <c r="D11" s="208">
        <v>500</v>
      </c>
      <c r="E11" s="5" t="s">
        <v>1178</v>
      </c>
      <c r="F11" s="5"/>
      <c r="G11" s="5" t="s">
        <v>724</v>
      </c>
      <c r="H11" s="5"/>
      <c r="I11" s="5" t="s">
        <v>724</v>
      </c>
      <c r="J11" s="6" t="s">
        <v>9</v>
      </c>
      <c r="K11" s="6" t="s">
        <v>1132</v>
      </c>
      <c r="L11" s="6"/>
      <c r="M11" s="6">
        <v>1</v>
      </c>
      <c r="N11" s="6" t="s">
        <v>54</v>
      </c>
      <c r="O11" s="5" t="s">
        <v>55</v>
      </c>
      <c r="P11" s="6" t="s">
        <v>50</v>
      </c>
      <c r="Q11" s="6" t="s">
        <v>56</v>
      </c>
      <c r="R11" s="4" t="s">
        <v>215</v>
      </c>
      <c r="S11">
        <f t="shared" si="0"/>
        <v>55</v>
      </c>
      <c r="T11">
        <v>0.2</v>
      </c>
    </row>
    <row r="12" spans="1:20" x14ac:dyDescent="0.25">
      <c r="A12" s="765">
        <v>38</v>
      </c>
      <c r="B12" s="765" t="s">
        <v>1402</v>
      </c>
      <c r="C12" s="46" t="s">
        <v>219</v>
      </c>
      <c r="D12" s="207"/>
      <c r="E12" s="2"/>
      <c r="F12" s="2"/>
      <c r="G12" s="2"/>
      <c r="H12" s="2"/>
      <c r="I12" s="2"/>
      <c r="J12" s="3" t="s">
        <v>9</v>
      </c>
      <c r="K12" s="3"/>
      <c r="L12" s="3"/>
      <c r="M12" s="3">
        <v>2</v>
      </c>
      <c r="N12" s="3" t="s">
        <v>220</v>
      </c>
      <c r="O12" s="2" t="s">
        <v>55</v>
      </c>
      <c r="P12" s="3"/>
      <c r="Q12" s="3" t="s">
        <v>221</v>
      </c>
      <c r="R12" s="7" t="s">
        <v>215</v>
      </c>
      <c r="S12" t="str">
        <f t="shared" si="0"/>
        <v/>
      </c>
      <c r="T12">
        <v>0.2</v>
      </c>
    </row>
    <row r="13" spans="1:20" x14ac:dyDescent="0.25">
      <c r="A13" s="765">
        <v>39</v>
      </c>
      <c r="B13" s="765" t="s">
        <v>1402</v>
      </c>
      <c r="C13" s="47" t="s">
        <v>222</v>
      </c>
      <c r="D13" s="208"/>
      <c r="E13" s="5"/>
      <c r="F13" s="5"/>
      <c r="G13" s="5"/>
      <c r="H13" s="5"/>
      <c r="I13" s="5"/>
      <c r="J13" s="6" t="s">
        <v>9</v>
      </c>
      <c r="K13" s="6"/>
      <c r="L13" s="6"/>
      <c r="M13" s="6">
        <v>3</v>
      </c>
      <c r="N13" s="6" t="s">
        <v>223</v>
      </c>
      <c r="O13" s="5" t="s">
        <v>55</v>
      </c>
      <c r="P13" s="6" t="s">
        <v>50</v>
      </c>
      <c r="Q13" s="6" t="s">
        <v>224</v>
      </c>
      <c r="R13" s="4" t="s">
        <v>215</v>
      </c>
      <c r="S13" t="str">
        <f t="shared" si="0"/>
        <v/>
      </c>
      <c r="T13">
        <v>0.2</v>
      </c>
    </row>
    <row r="14" spans="1:20" x14ac:dyDescent="0.25">
      <c r="A14" s="765">
        <v>40</v>
      </c>
      <c r="B14" s="765" t="s">
        <v>1402</v>
      </c>
      <c r="C14" s="46" t="s">
        <v>225</v>
      </c>
      <c r="D14" s="207"/>
      <c r="E14" s="2"/>
      <c r="F14" s="2"/>
      <c r="G14" s="2"/>
      <c r="H14" s="2"/>
      <c r="I14" s="2"/>
      <c r="J14" s="3" t="s">
        <v>9</v>
      </c>
      <c r="K14" s="3"/>
      <c r="L14" s="3"/>
      <c r="M14" s="3">
        <v>1</v>
      </c>
      <c r="N14" s="3" t="s">
        <v>226</v>
      </c>
      <c r="O14" s="2" t="s">
        <v>45</v>
      </c>
      <c r="P14" s="3"/>
      <c r="Q14" s="3" t="s">
        <v>227</v>
      </c>
      <c r="R14" s="7" t="s">
        <v>215</v>
      </c>
      <c r="S14" t="str">
        <f t="shared" si="0"/>
        <v/>
      </c>
      <c r="T14">
        <v>0.2</v>
      </c>
    </row>
    <row r="15" spans="1:20" x14ac:dyDescent="0.25">
      <c r="A15" s="765">
        <v>233</v>
      </c>
      <c r="B15" s="765" t="s">
        <v>1402</v>
      </c>
      <c r="C15" s="47" t="s">
        <v>228</v>
      </c>
      <c r="D15" s="208"/>
      <c r="E15" s="5"/>
      <c r="F15" s="5"/>
      <c r="G15" s="5"/>
      <c r="H15" s="5"/>
      <c r="I15" s="5"/>
      <c r="J15" s="6" t="s">
        <v>9</v>
      </c>
      <c r="K15" s="6"/>
      <c r="L15" s="6"/>
      <c r="M15" s="6">
        <v>2</v>
      </c>
      <c r="N15" s="6" t="s">
        <v>729</v>
      </c>
      <c r="O15" s="5">
        <v>1</v>
      </c>
      <c r="P15" s="6"/>
      <c r="Q15" s="6" t="s">
        <v>229</v>
      </c>
      <c r="R15" s="4" t="s">
        <v>215</v>
      </c>
      <c r="S15" t="str">
        <f t="shared" si="0"/>
        <v/>
      </c>
      <c r="T15">
        <v>0.2</v>
      </c>
    </row>
    <row r="16" spans="1:20" x14ac:dyDescent="0.25">
      <c r="A16" s="765">
        <v>42</v>
      </c>
      <c r="B16" s="765" t="s">
        <v>1402</v>
      </c>
      <c r="C16" s="46" t="s">
        <v>14</v>
      </c>
      <c r="D16" s="207">
        <v>500</v>
      </c>
      <c r="E16" s="2" t="s">
        <v>724</v>
      </c>
      <c r="F16" s="2"/>
      <c r="G16" s="2" t="s">
        <v>724</v>
      </c>
      <c r="H16" s="2" t="s">
        <v>724</v>
      </c>
      <c r="I16" s="2"/>
      <c r="J16" s="3" t="s">
        <v>9</v>
      </c>
      <c r="K16" s="3" t="s">
        <v>1132</v>
      </c>
      <c r="L16" s="3"/>
      <c r="M16" s="3">
        <v>1</v>
      </c>
      <c r="N16" s="3" t="s">
        <v>57</v>
      </c>
      <c r="O16" s="2" t="s">
        <v>49</v>
      </c>
      <c r="P16" s="3" t="s">
        <v>50</v>
      </c>
      <c r="Q16" s="3" t="s">
        <v>58</v>
      </c>
      <c r="R16" s="7" t="s">
        <v>215</v>
      </c>
      <c r="S16">
        <f t="shared" si="0"/>
        <v>55</v>
      </c>
      <c r="T16">
        <v>0.2</v>
      </c>
    </row>
    <row r="17" spans="1:20" x14ac:dyDescent="0.25">
      <c r="A17" s="765">
        <v>43</v>
      </c>
      <c r="B17" s="765" t="s">
        <v>1402</v>
      </c>
      <c r="C17" s="47" t="s">
        <v>230</v>
      </c>
      <c r="D17" s="208"/>
      <c r="E17" s="5"/>
      <c r="F17" s="5"/>
      <c r="G17" s="5"/>
      <c r="H17" s="5"/>
      <c r="I17" s="5"/>
      <c r="J17" s="6" t="s">
        <v>9</v>
      </c>
      <c r="K17" s="6"/>
      <c r="L17" s="6"/>
      <c r="M17" s="6">
        <v>1</v>
      </c>
      <c r="N17" s="6" t="s">
        <v>231</v>
      </c>
      <c r="O17" s="5" t="s">
        <v>55</v>
      </c>
      <c r="P17" s="6"/>
      <c r="Q17" s="6" t="s">
        <v>232</v>
      </c>
      <c r="R17" s="4" t="s">
        <v>215</v>
      </c>
      <c r="S17" t="str">
        <f t="shared" si="0"/>
        <v/>
      </c>
      <c r="T17">
        <v>0.2</v>
      </c>
    </row>
    <row r="18" spans="1:20" x14ac:dyDescent="0.25">
      <c r="A18" s="765">
        <v>44</v>
      </c>
      <c r="B18" s="765" t="s">
        <v>1402</v>
      </c>
      <c r="C18" s="46" t="s">
        <v>15</v>
      </c>
      <c r="D18" s="207">
        <v>1000</v>
      </c>
      <c r="E18" s="2" t="s">
        <v>1178</v>
      </c>
      <c r="F18" s="2"/>
      <c r="G18" s="2" t="s">
        <v>724</v>
      </c>
      <c r="H18" s="2"/>
      <c r="I18" s="2"/>
      <c r="J18" s="3" t="s">
        <v>9</v>
      </c>
      <c r="K18" s="3" t="s">
        <v>1130</v>
      </c>
      <c r="L18" s="3"/>
      <c r="M18" s="3">
        <v>1</v>
      </c>
      <c r="N18" s="3" t="s">
        <v>59</v>
      </c>
      <c r="O18" s="2" t="s">
        <v>55</v>
      </c>
      <c r="P18" s="3" t="s">
        <v>50</v>
      </c>
      <c r="Q18" s="3" t="s">
        <v>60</v>
      </c>
      <c r="R18" s="7" t="s">
        <v>215</v>
      </c>
      <c r="S18">
        <f t="shared" si="0"/>
        <v>35</v>
      </c>
      <c r="T18">
        <v>0.2</v>
      </c>
    </row>
    <row r="19" spans="1:20" x14ac:dyDescent="0.25">
      <c r="A19" s="765">
        <v>45</v>
      </c>
      <c r="B19" s="765" t="s">
        <v>1402</v>
      </c>
      <c r="C19" s="47" t="s">
        <v>152</v>
      </c>
      <c r="D19" s="208"/>
      <c r="E19" s="5"/>
      <c r="F19" s="5"/>
      <c r="G19" s="5"/>
      <c r="H19" s="5"/>
      <c r="I19" s="5"/>
      <c r="J19" s="6" t="s">
        <v>9</v>
      </c>
      <c r="K19" s="6"/>
      <c r="L19" s="6"/>
      <c r="M19" s="6">
        <v>1</v>
      </c>
      <c r="N19" s="6" t="s">
        <v>153</v>
      </c>
      <c r="O19" s="5" t="s">
        <v>55</v>
      </c>
      <c r="P19" s="6"/>
      <c r="Q19" s="6" t="s">
        <v>154</v>
      </c>
      <c r="R19" s="4" t="s">
        <v>215</v>
      </c>
      <c r="S19" t="str">
        <f t="shared" si="0"/>
        <v/>
      </c>
      <c r="T19">
        <v>0.2</v>
      </c>
    </row>
    <row r="20" spans="1:20" x14ac:dyDescent="0.25">
      <c r="A20" s="765">
        <v>46</v>
      </c>
      <c r="B20" s="765" t="s">
        <v>1402</v>
      </c>
      <c r="C20" s="46" t="s">
        <v>233</v>
      </c>
      <c r="D20" s="207"/>
      <c r="E20" s="2"/>
      <c r="F20" s="2"/>
      <c r="G20" s="2"/>
      <c r="H20" s="2"/>
      <c r="I20" s="2"/>
      <c r="J20" s="3" t="s">
        <v>9</v>
      </c>
      <c r="K20" s="3"/>
      <c r="L20" s="3"/>
      <c r="M20" s="3">
        <v>1</v>
      </c>
      <c r="N20" s="3" t="s">
        <v>234</v>
      </c>
      <c r="O20" s="2" t="s">
        <v>55</v>
      </c>
      <c r="P20" s="3"/>
      <c r="Q20" s="3" t="s">
        <v>235</v>
      </c>
      <c r="R20" s="7" t="s">
        <v>215</v>
      </c>
      <c r="S20" t="str">
        <f t="shared" si="0"/>
        <v/>
      </c>
      <c r="T20">
        <v>0.2</v>
      </c>
    </row>
    <row r="21" spans="1:20" x14ac:dyDescent="0.25">
      <c r="A21" s="765">
        <v>47</v>
      </c>
      <c r="B21" s="765" t="s">
        <v>1402</v>
      </c>
      <c r="C21" s="47" t="s">
        <v>236</v>
      </c>
      <c r="D21" s="208"/>
      <c r="E21" s="5"/>
      <c r="F21" s="5"/>
      <c r="G21" s="5"/>
      <c r="H21" s="5"/>
      <c r="I21" s="5"/>
      <c r="J21" s="6" t="s">
        <v>9</v>
      </c>
      <c r="K21" s="6" t="s">
        <v>1130</v>
      </c>
      <c r="L21" s="6"/>
      <c r="M21" s="6">
        <v>1</v>
      </c>
      <c r="N21" s="6" t="s">
        <v>237</v>
      </c>
      <c r="O21" s="5" t="s">
        <v>55</v>
      </c>
      <c r="P21" s="6"/>
      <c r="Q21" s="6" t="s">
        <v>238</v>
      </c>
      <c r="R21" s="4" t="s">
        <v>215</v>
      </c>
      <c r="S21">
        <f t="shared" si="0"/>
        <v>35</v>
      </c>
      <c r="T21">
        <v>0.2</v>
      </c>
    </row>
    <row r="22" spans="1:20" x14ac:dyDescent="0.25">
      <c r="A22" s="765">
        <v>291</v>
      </c>
      <c r="B22" s="765" t="s">
        <v>1402</v>
      </c>
      <c r="C22" s="47" t="s">
        <v>1371</v>
      </c>
      <c r="D22" s="208"/>
      <c r="E22" s="2"/>
      <c r="F22" s="2"/>
      <c r="G22" s="2"/>
      <c r="H22" s="2"/>
      <c r="I22" s="5"/>
      <c r="J22" s="6" t="s">
        <v>9</v>
      </c>
      <c r="K22" s="3" t="s">
        <v>1130</v>
      </c>
      <c r="L22" s="6"/>
      <c r="M22" s="6">
        <v>1</v>
      </c>
      <c r="N22" s="26" t="s">
        <v>480</v>
      </c>
      <c r="O22" s="27">
        <v>1</v>
      </c>
      <c r="P22" s="6"/>
      <c r="Q22" s="28" t="s">
        <v>1374</v>
      </c>
      <c r="R22" s="4" t="s">
        <v>215</v>
      </c>
      <c r="S22">
        <f t="shared" ref="S22" si="1">IF(K22="S",30,IF(K22="M",50,IF(K22="L",65,"")))</f>
        <v>50</v>
      </c>
      <c r="T22">
        <f t="shared" ref="T22" si="2">1/8</f>
        <v>0.125</v>
      </c>
    </row>
    <row r="23" spans="1:20" x14ac:dyDescent="0.25">
      <c r="A23" s="765">
        <v>292</v>
      </c>
      <c r="B23" s="765" t="s">
        <v>1402</v>
      </c>
      <c r="C23" s="47" t="s">
        <v>1372</v>
      </c>
      <c r="D23" s="208">
        <v>300</v>
      </c>
      <c r="E23" s="2" t="s">
        <v>724</v>
      </c>
      <c r="F23" s="2"/>
      <c r="G23" s="2" t="s">
        <v>724</v>
      </c>
      <c r="H23" s="2"/>
      <c r="I23" s="5"/>
      <c r="J23" s="6" t="s">
        <v>9</v>
      </c>
      <c r="K23" s="3" t="s">
        <v>1130</v>
      </c>
      <c r="L23" s="6"/>
      <c r="M23" s="6">
        <v>1</v>
      </c>
      <c r="N23" s="26" t="s">
        <v>480</v>
      </c>
      <c r="O23" s="27">
        <v>1</v>
      </c>
      <c r="P23" s="6"/>
      <c r="Q23" s="28" t="s">
        <v>1376</v>
      </c>
      <c r="R23" s="4" t="s">
        <v>215</v>
      </c>
      <c r="S23">
        <f t="shared" ref="S23" si="3">IF(K23="S",30,IF(K23="M",50,IF(K23="L",65,"")))</f>
        <v>50</v>
      </c>
      <c r="T23">
        <v>0.2</v>
      </c>
    </row>
    <row r="24" spans="1:20" x14ac:dyDescent="0.25">
      <c r="B24" s="765" t="s">
        <v>1402</v>
      </c>
      <c r="C24" s="46" t="s">
        <v>239</v>
      </c>
      <c r="D24" s="207"/>
      <c r="E24" s="2"/>
      <c r="F24" s="2"/>
      <c r="G24" s="2"/>
      <c r="H24" s="2"/>
      <c r="I24" s="2"/>
      <c r="J24" s="3" t="s">
        <v>9</v>
      </c>
      <c r="K24" s="3" t="s">
        <v>1131</v>
      </c>
      <c r="L24" s="3"/>
      <c r="M24" s="3">
        <v>3</v>
      </c>
      <c r="N24" s="3" t="s">
        <v>240</v>
      </c>
      <c r="O24" s="2">
        <v>1</v>
      </c>
      <c r="P24" s="3"/>
      <c r="Q24" s="3" t="s">
        <v>241</v>
      </c>
      <c r="R24" s="7" t="s">
        <v>215</v>
      </c>
      <c r="S24">
        <f t="shared" si="0"/>
        <v>25</v>
      </c>
      <c r="T24">
        <v>0.2</v>
      </c>
    </row>
    <row r="25" spans="1:20" x14ac:dyDescent="0.25">
      <c r="B25" s="765" t="s">
        <v>1402</v>
      </c>
      <c r="C25" s="47" t="s">
        <v>155</v>
      </c>
      <c r="D25" s="208"/>
      <c r="E25" s="5"/>
      <c r="F25" s="5"/>
      <c r="G25" s="5"/>
      <c r="H25" s="5"/>
      <c r="I25" s="5"/>
      <c r="J25" s="6" t="s">
        <v>9</v>
      </c>
      <c r="K25" s="6"/>
      <c r="L25" s="6"/>
      <c r="M25" s="6">
        <v>2</v>
      </c>
      <c r="N25" s="6" t="s">
        <v>156</v>
      </c>
      <c r="O25" s="5" t="s">
        <v>55</v>
      </c>
      <c r="P25" s="6"/>
      <c r="Q25" s="6" t="s">
        <v>157</v>
      </c>
      <c r="R25" s="4" t="s">
        <v>215</v>
      </c>
      <c r="S25" t="str">
        <f t="shared" si="0"/>
        <v/>
      </c>
      <c r="T25">
        <v>0.2</v>
      </c>
    </row>
    <row r="26" spans="1:20" x14ac:dyDescent="0.25">
      <c r="A26" s="765">
        <v>327</v>
      </c>
      <c r="B26" s="765" t="s">
        <v>1402</v>
      </c>
      <c r="C26" s="46" t="s">
        <v>16</v>
      </c>
      <c r="D26" s="207"/>
      <c r="E26" s="2"/>
      <c r="F26" s="2"/>
      <c r="G26" s="2"/>
      <c r="H26" s="2"/>
      <c r="I26" s="2"/>
      <c r="J26" s="3" t="s">
        <v>9</v>
      </c>
      <c r="K26" s="3"/>
      <c r="L26" s="3"/>
      <c r="M26" s="3">
        <v>2</v>
      </c>
      <c r="N26" s="3" t="s">
        <v>61</v>
      </c>
      <c r="O26" s="2" t="s">
        <v>55</v>
      </c>
      <c r="P26" s="3" t="s">
        <v>50</v>
      </c>
      <c r="Q26" s="3" t="s">
        <v>62</v>
      </c>
      <c r="R26" s="7" t="s">
        <v>215</v>
      </c>
      <c r="S26" t="str">
        <f t="shared" si="0"/>
        <v/>
      </c>
      <c r="T26">
        <v>0.2</v>
      </c>
    </row>
    <row r="27" spans="1:20" x14ac:dyDescent="0.25">
      <c r="A27" s="765">
        <v>51</v>
      </c>
      <c r="B27" s="765" t="s">
        <v>1402</v>
      </c>
      <c r="C27" s="47" t="s">
        <v>242</v>
      </c>
      <c r="D27" s="208"/>
      <c r="E27" s="5"/>
      <c r="F27" s="5"/>
      <c r="G27" s="5"/>
      <c r="H27" s="5"/>
      <c r="I27" s="5"/>
      <c r="J27" s="6" t="s">
        <v>9</v>
      </c>
      <c r="K27" s="6" t="s">
        <v>1309</v>
      </c>
      <c r="L27" s="6"/>
      <c r="M27" s="6">
        <v>3</v>
      </c>
      <c r="N27" s="6" t="s">
        <v>243</v>
      </c>
      <c r="O27" s="5" t="s">
        <v>55</v>
      </c>
      <c r="P27" s="6" t="s">
        <v>50</v>
      </c>
      <c r="Q27" s="6" t="s">
        <v>244</v>
      </c>
      <c r="R27" s="7" t="s">
        <v>215</v>
      </c>
      <c r="S27">
        <f t="shared" si="0"/>
        <v>35</v>
      </c>
      <c r="T27">
        <v>0.2</v>
      </c>
    </row>
    <row r="28" spans="1:20" x14ac:dyDescent="0.25">
      <c r="A28" s="765">
        <v>53</v>
      </c>
      <c r="B28" s="765" t="s">
        <v>1402</v>
      </c>
      <c r="C28" s="47" t="s">
        <v>245</v>
      </c>
      <c r="D28" s="208">
        <v>200</v>
      </c>
      <c r="E28" s="5" t="s">
        <v>724</v>
      </c>
      <c r="F28" s="5"/>
      <c r="G28" s="5" t="s">
        <v>724</v>
      </c>
      <c r="H28" s="5"/>
      <c r="I28" s="5"/>
      <c r="J28" s="6" t="s">
        <v>9</v>
      </c>
      <c r="K28" s="6" t="s">
        <v>1165</v>
      </c>
      <c r="L28" s="6"/>
      <c r="M28" s="6">
        <v>1</v>
      </c>
      <c r="N28" s="6" t="s">
        <v>246</v>
      </c>
      <c r="O28" s="5" t="s">
        <v>55</v>
      </c>
      <c r="P28" s="6"/>
      <c r="Q28" s="6" t="s">
        <v>247</v>
      </c>
      <c r="R28" s="4" t="s">
        <v>215</v>
      </c>
      <c r="S28">
        <f t="shared" si="0"/>
        <v>25</v>
      </c>
      <c r="T28">
        <v>0.2</v>
      </c>
    </row>
    <row r="29" spans="1:20" x14ac:dyDescent="0.25">
      <c r="A29" s="765">
        <v>54</v>
      </c>
      <c r="B29" s="765" t="s">
        <v>1402</v>
      </c>
      <c r="C29" s="46" t="s">
        <v>158</v>
      </c>
      <c r="D29" s="207"/>
      <c r="E29" s="2"/>
      <c r="F29" s="2"/>
      <c r="G29" s="2"/>
      <c r="H29" s="2"/>
      <c r="I29" s="2"/>
      <c r="J29" s="3" t="s">
        <v>9</v>
      </c>
      <c r="K29" s="3" t="s">
        <v>1309</v>
      </c>
      <c r="L29" s="3"/>
      <c r="M29" s="3">
        <v>2</v>
      </c>
      <c r="N29" s="3" t="s">
        <v>159</v>
      </c>
      <c r="O29" s="2" t="s">
        <v>49</v>
      </c>
      <c r="P29" s="3"/>
      <c r="Q29" s="3" t="s">
        <v>160</v>
      </c>
      <c r="R29" s="7" t="s">
        <v>215</v>
      </c>
      <c r="S29">
        <f t="shared" si="0"/>
        <v>35</v>
      </c>
      <c r="T29">
        <v>0.2</v>
      </c>
    </row>
    <row r="30" spans="1:20" x14ac:dyDescent="0.25">
      <c r="A30" s="765">
        <v>55</v>
      </c>
      <c r="B30" s="765" t="s">
        <v>1402</v>
      </c>
      <c r="C30" s="47" t="s">
        <v>248</v>
      </c>
      <c r="D30" s="208"/>
      <c r="E30" s="5"/>
      <c r="F30" s="5"/>
      <c r="G30" s="5"/>
      <c r="H30" s="5"/>
      <c r="I30" s="5"/>
      <c r="J30" s="6" t="s">
        <v>9</v>
      </c>
      <c r="K30" s="6"/>
      <c r="L30" s="6"/>
      <c r="M30" s="6">
        <v>2</v>
      </c>
      <c r="N30" s="6" t="s">
        <v>249</v>
      </c>
      <c r="O30" s="5" t="s">
        <v>49</v>
      </c>
      <c r="P30" s="6"/>
      <c r="Q30" s="6" t="s">
        <v>250</v>
      </c>
      <c r="R30" s="4" t="s">
        <v>215</v>
      </c>
      <c r="S30" t="str">
        <f t="shared" si="0"/>
        <v/>
      </c>
      <c r="T30">
        <v>0.2</v>
      </c>
    </row>
    <row r="31" spans="1:20" x14ac:dyDescent="0.25">
      <c r="A31" s="765">
        <v>56</v>
      </c>
      <c r="B31" s="765" t="s">
        <v>1402</v>
      </c>
      <c r="C31" s="46" t="s">
        <v>251</v>
      </c>
      <c r="D31" s="207"/>
      <c r="E31" s="2" t="s">
        <v>724</v>
      </c>
      <c r="F31" s="2"/>
      <c r="G31" s="2" t="s">
        <v>724</v>
      </c>
      <c r="H31" s="2"/>
      <c r="I31" s="2"/>
      <c r="J31" s="3" t="s">
        <v>9</v>
      </c>
      <c r="K31" s="3" t="s">
        <v>1130</v>
      </c>
      <c r="L31" s="3"/>
      <c r="M31" s="3">
        <v>2</v>
      </c>
      <c r="N31" s="3" t="s">
        <v>730</v>
      </c>
      <c r="O31" s="2" t="s">
        <v>49</v>
      </c>
      <c r="P31" s="6" t="s">
        <v>50</v>
      </c>
      <c r="Q31" s="3" t="s">
        <v>252</v>
      </c>
      <c r="R31" s="7" t="s">
        <v>215</v>
      </c>
      <c r="S31">
        <f t="shared" si="0"/>
        <v>35</v>
      </c>
      <c r="T31">
        <v>0.2</v>
      </c>
    </row>
    <row r="32" spans="1:20" x14ac:dyDescent="0.25">
      <c r="A32" s="765">
        <v>57</v>
      </c>
      <c r="B32" s="765" t="s">
        <v>1402</v>
      </c>
      <c r="C32" s="47" t="s">
        <v>253</v>
      </c>
      <c r="D32" s="208">
        <v>1000</v>
      </c>
      <c r="E32" s="5" t="s">
        <v>724</v>
      </c>
      <c r="F32" s="5"/>
      <c r="G32" s="5" t="s">
        <v>724</v>
      </c>
      <c r="H32" s="5" t="s">
        <v>724</v>
      </c>
      <c r="I32" s="5" t="s">
        <v>724</v>
      </c>
      <c r="J32" s="6" t="s">
        <v>9</v>
      </c>
      <c r="K32" s="6" t="s">
        <v>1132</v>
      </c>
      <c r="L32" s="6"/>
      <c r="M32" s="6">
        <v>1</v>
      </c>
      <c r="N32" s="6" t="s">
        <v>254</v>
      </c>
      <c r="O32" s="5" t="s">
        <v>49</v>
      </c>
      <c r="P32" s="6"/>
      <c r="Q32" s="6" t="s">
        <v>255</v>
      </c>
      <c r="R32" s="4" t="s">
        <v>215</v>
      </c>
      <c r="S32">
        <f t="shared" si="0"/>
        <v>55</v>
      </c>
      <c r="T32">
        <v>0.2</v>
      </c>
    </row>
    <row r="33" spans="1:20" x14ac:dyDescent="0.25">
      <c r="A33" s="765">
        <v>58</v>
      </c>
      <c r="B33" s="765" t="s">
        <v>1402</v>
      </c>
      <c r="C33" s="46" t="s">
        <v>17</v>
      </c>
      <c r="D33" s="207">
        <v>500</v>
      </c>
      <c r="E33" s="2" t="s">
        <v>724</v>
      </c>
      <c r="F33" s="2"/>
      <c r="G33" s="2" t="s">
        <v>724</v>
      </c>
      <c r="H33" s="2"/>
      <c r="I33" s="2"/>
      <c r="J33" s="3" t="s">
        <v>9</v>
      </c>
      <c r="K33" s="3" t="s">
        <v>1132</v>
      </c>
      <c r="L33" s="3"/>
      <c r="M33" s="3">
        <v>1</v>
      </c>
      <c r="N33" s="3" t="s">
        <v>63</v>
      </c>
      <c r="O33" s="2" t="s">
        <v>45</v>
      </c>
      <c r="P33" s="3"/>
      <c r="Q33" s="3" t="s">
        <v>64</v>
      </c>
      <c r="R33" s="7" t="s">
        <v>215</v>
      </c>
      <c r="S33">
        <f t="shared" si="0"/>
        <v>55</v>
      </c>
      <c r="T33">
        <v>0.2</v>
      </c>
    </row>
    <row r="34" spans="1:20" x14ac:dyDescent="0.25">
      <c r="A34" s="765">
        <v>59</v>
      </c>
      <c r="B34" s="765" t="s">
        <v>1402</v>
      </c>
      <c r="C34" s="47" t="s">
        <v>256</v>
      </c>
      <c r="D34" s="208"/>
      <c r="E34" s="5"/>
      <c r="F34" s="5"/>
      <c r="G34" s="5"/>
      <c r="H34" s="5"/>
      <c r="I34" s="5"/>
      <c r="J34" s="6" t="s">
        <v>9</v>
      </c>
      <c r="K34" s="6"/>
      <c r="L34" s="6"/>
      <c r="M34" s="6">
        <v>2</v>
      </c>
      <c r="N34" s="6" t="s">
        <v>257</v>
      </c>
      <c r="O34" s="5" t="s">
        <v>45</v>
      </c>
      <c r="P34" s="6"/>
      <c r="Q34" s="6" t="s">
        <v>258</v>
      </c>
      <c r="R34" s="4" t="s">
        <v>215</v>
      </c>
      <c r="S34" t="str">
        <f t="shared" si="0"/>
        <v/>
      </c>
      <c r="T34">
        <v>0.2</v>
      </c>
    </row>
    <row r="35" spans="1:20" x14ac:dyDescent="0.25">
      <c r="A35" s="765">
        <v>60</v>
      </c>
      <c r="B35" s="765" t="s">
        <v>1402</v>
      </c>
      <c r="C35" s="46" t="s">
        <v>18</v>
      </c>
      <c r="D35" s="207">
        <v>100</v>
      </c>
      <c r="E35" s="2" t="s">
        <v>724</v>
      </c>
      <c r="F35" s="2" t="s">
        <v>724</v>
      </c>
      <c r="G35" s="2" t="s">
        <v>724</v>
      </c>
      <c r="H35" s="2"/>
      <c r="I35" s="2"/>
      <c r="J35" s="3" t="s">
        <v>9</v>
      </c>
      <c r="K35" s="3" t="s">
        <v>1130</v>
      </c>
      <c r="L35" s="3"/>
      <c r="M35" s="3">
        <v>2</v>
      </c>
      <c r="N35" s="3" t="s">
        <v>65</v>
      </c>
      <c r="O35" s="2" t="s">
        <v>55</v>
      </c>
      <c r="P35" s="3"/>
      <c r="Q35" s="3" t="s">
        <v>66</v>
      </c>
      <c r="R35" s="7" t="s">
        <v>215</v>
      </c>
      <c r="S35">
        <v>55</v>
      </c>
      <c r="T35">
        <v>0.2</v>
      </c>
    </row>
    <row r="36" spans="1:20" x14ac:dyDescent="0.25">
      <c r="A36" s="765">
        <v>61</v>
      </c>
      <c r="B36" s="765" t="s">
        <v>1402</v>
      </c>
      <c r="C36" s="47" t="s">
        <v>259</v>
      </c>
      <c r="D36" s="208"/>
      <c r="E36" s="5"/>
      <c r="F36" s="5"/>
      <c r="G36" s="5"/>
      <c r="H36" s="5"/>
      <c r="I36" s="5"/>
      <c r="J36" s="6" t="s">
        <v>9</v>
      </c>
      <c r="K36" s="6"/>
      <c r="L36" s="6"/>
      <c r="M36" s="6">
        <v>3</v>
      </c>
      <c r="N36" s="6" t="s">
        <v>411</v>
      </c>
      <c r="O36" s="5" t="s">
        <v>55</v>
      </c>
      <c r="P36" s="6"/>
      <c r="Q36" s="6" t="s">
        <v>260</v>
      </c>
      <c r="R36" s="4" t="s">
        <v>215</v>
      </c>
      <c r="S36" t="str">
        <f t="shared" si="0"/>
        <v/>
      </c>
      <c r="T36">
        <v>0.2</v>
      </c>
    </row>
    <row r="37" spans="1:20" x14ac:dyDescent="0.25">
      <c r="A37" s="765">
        <v>307</v>
      </c>
      <c r="B37" s="765" t="s">
        <v>1402</v>
      </c>
      <c r="C37" s="47" t="s">
        <v>1117</v>
      </c>
      <c r="D37" s="208"/>
      <c r="E37" s="5"/>
      <c r="F37" s="5"/>
      <c r="G37" s="5"/>
      <c r="H37" s="5"/>
      <c r="I37" s="5"/>
      <c r="J37" s="6" t="s">
        <v>9</v>
      </c>
      <c r="K37" s="6"/>
      <c r="L37" s="6"/>
      <c r="M37" s="6">
        <v>2</v>
      </c>
      <c r="N37" s="6" t="s">
        <v>1110</v>
      </c>
      <c r="O37" s="5">
        <v>1</v>
      </c>
      <c r="P37" s="6"/>
      <c r="Q37" s="6" t="s">
        <v>1111</v>
      </c>
      <c r="R37" s="4" t="s">
        <v>215</v>
      </c>
      <c r="S37" t="str">
        <f t="shared" si="0"/>
        <v/>
      </c>
      <c r="T37">
        <v>0.2</v>
      </c>
    </row>
    <row r="38" spans="1:20" x14ac:dyDescent="0.25">
      <c r="B38" s="765" t="s">
        <v>1402</v>
      </c>
      <c r="C38" s="46" t="s">
        <v>261</v>
      </c>
      <c r="D38" s="207"/>
      <c r="E38" s="2"/>
      <c r="F38" s="2"/>
      <c r="G38" s="2"/>
      <c r="H38" s="2"/>
      <c r="I38" s="2"/>
      <c r="J38" s="3" t="s">
        <v>9</v>
      </c>
      <c r="K38" s="3"/>
      <c r="L38" s="3"/>
      <c r="M38" s="3">
        <v>3</v>
      </c>
      <c r="N38" s="3" t="s">
        <v>262</v>
      </c>
      <c r="O38" s="2">
        <v>1</v>
      </c>
      <c r="P38" s="3"/>
      <c r="Q38" s="3" t="s">
        <v>263</v>
      </c>
      <c r="R38" s="7" t="s">
        <v>215</v>
      </c>
      <c r="S38" t="str">
        <f t="shared" si="0"/>
        <v/>
      </c>
      <c r="T38">
        <v>0.2</v>
      </c>
    </row>
    <row r="39" spans="1:20" x14ac:dyDescent="0.25">
      <c r="B39" s="765" t="s">
        <v>1402</v>
      </c>
      <c r="C39" s="47" t="s">
        <v>264</v>
      </c>
      <c r="D39" s="208"/>
      <c r="E39" s="5"/>
      <c r="F39" s="5"/>
      <c r="G39" s="5"/>
      <c r="H39" s="5"/>
      <c r="I39" s="5"/>
      <c r="J39" s="6" t="s">
        <v>9</v>
      </c>
      <c r="K39" s="6"/>
      <c r="L39" s="6"/>
      <c r="M39" s="6">
        <v>1</v>
      </c>
      <c r="N39" s="6" t="s">
        <v>731</v>
      </c>
      <c r="O39" s="5">
        <v>1</v>
      </c>
      <c r="P39" s="6" t="s">
        <v>50</v>
      </c>
      <c r="Q39" s="6" t="s">
        <v>265</v>
      </c>
      <c r="R39" s="4" t="s">
        <v>215</v>
      </c>
      <c r="S39" t="str">
        <f t="shared" si="0"/>
        <v/>
      </c>
      <c r="T39">
        <v>0.2</v>
      </c>
    </row>
    <row r="40" spans="1:20" x14ac:dyDescent="0.25">
      <c r="B40" s="765" t="s">
        <v>1402</v>
      </c>
      <c r="C40" s="46" t="s">
        <v>266</v>
      </c>
      <c r="D40" s="207">
        <v>400</v>
      </c>
      <c r="E40" s="2" t="s">
        <v>724</v>
      </c>
      <c r="F40" s="2"/>
      <c r="G40" s="2" t="s">
        <v>724</v>
      </c>
      <c r="H40" s="2"/>
      <c r="I40" s="2"/>
      <c r="J40" s="3" t="s">
        <v>9</v>
      </c>
      <c r="K40" s="3" t="s">
        <v>1309</v>
      </c>
      <c r="L40" s="3"/>
      <c r="M40" s="3">
        <v>2</v>
      </c>
      <c r="N40" s="3" t="s">
        <v>267</v>
      </c>
      <c r="O40" s="2">
        <v>1</v>
      </c>
      <c r="P40" s="3"/>
      <c r="Q40" s="3" t="s">
        <v>268</v>
      </c>
      <c r="R40" s="7" t="s">
        <v>215</v>
      </c>
      <c r="S40">
        <f t="shared" si="0"/>
        <v>35</v>
      </c>
      <c r="T40">
        <v>0.2</v>
      </c>
    </row>
    <row r="41" spans="1:20" x14ac:dyDescent="0.25">
      <c r="B41" s="765" t="s">
        <v>1402</v>
      </c>
      <c r="C41" s="47" t="s">
        <v>775</v>
      </c>
      <c r="D41" s="208">
        <v>500</v>
      </c>
      <c r="E41" s="5" t="s">
        <v>724</v>
      </c>
      <c r="F41" s="5"/>
      <c r="G41" s="5" t="s">
        <v>724</v>
      </c>
      <c r="H41" s="5" t="s">
        <v>724</v>
      </c>
      <c r="I41" s="5"/>
      <c r="J41" s="6" t="s">
        <v>9</v>
      </c>
      <c r="K41" s="6" t="s">
        <v>1130</v>
      </c>
      <c r="L41" s="6"/>
      <c r="M41" s="6">
        <v>3</v>
      </c>
      <c r="N41" s="6" t="s">
        <v>798</v>
      </c>
      <c r="O41" s="5">
        <v>2</v>
      </c>
      <c r="P41" s="6"/>
      <c r="Q41" s="6" t="s">
        <v>949</v>
      </c>
      <c r="R41" s="4" t="s">
        <v>215</v>
      </c>
      <c r="S41">
        <f t="shared" si="0"/>
        <v>35</v>
      </c>
      <c r="T41">
        <v>0.2</v>
      </c>
    </row>
    <row r="42" spans="1:20" x14ac:dyDescent="0.25">
      <c r="A42" s="765">
        <v>62</v>
      </c>
      <c r="B42" s="765" t="s">
        <v>1402</v>
      </c>
      <c r="C42" s="47" t="s">
        <v>19</v>
      </c>
      <c r="D42" s="208">
        <v>500</v>
      </c>
      <c r="E42" s="5" t="s">
        <v>1178</v>
      </c>
      <c r="F42" s="5"/>
      <c r="G42" s="5" t="s">
        <v>724</v>
      </c>
      <c r="H42" s="5" t="s">
        <v>724</v>
      </c>
      <c r="I42" s="5"/>
      <c r="J42" s="6" t="s">
        <v>9</v>
      </c>
      <c r="K42" s="6" t="s">
        <v>1130</v>
      </c>
      <c r="L42" s="6"/>
      <c r="M42" s="6">
        <v>2</v>
      </c>
      <c r="N42" s="6" t="s">
        <v>67</v>
      </c>
      <c r="O42" s="5">
        <v>2</v>
      </c>
      <c r="P42" s="6"/>
      <c r="Q42" s="6" t="s">
        <v>68</v>
      </c>
      <c r="R42" s="4" t="s">
        <v>215</v>
      </c>
      <c r="S42">
        <f t="shared" si="0"/>
        <v>35</v>
      </c>
      <c r="T42">
        <v>0.2</v>
      </c>
    </row>
    <row r="43" spans="1:20" x14ac:dyDescent="0.25">
      <c r="A43" s="765">
        <v>63</v>
      </c>
      <c r="B43" s="765" t="s">
        <v>1402</v>
      </c>
      <c r="C43" s="46" t="s">
        <v>269</v>
      </c>
      <c r="D43" s="207"/>
      <c r="E43" s="2"/>
      <c r="F43" s="2"/>
      <c r="G43" s="2"/>
      <c r="H43" s="2"/>
      <c r="I43" s="2"/>
      <c r="J43" s="3" t="s">
        <v>9</v>
      </c>
      <c r="K43" s="3" t="s">
        <v>1130</v>
      </c>
      <c r="L43" s="3"/>
      <c r="M43" s="3">
        <v>2</v>
      </c>
      <c r="N43" s="3" t="s">
        <v>270</v>
      </c>
      <c r="O43" s="2" t="s">
        <v>55</v>
      </c>
      <c r="P43" s="3"/>
      <c r="Q43" s="3" t="s">
        <v>271</v>
      </c>
      <c r="R43" s="7" t="s">
        <v>215</v>
      </c>
      <c r="S43">
        <f t="shared" si="0"/>
        <v>35</v>
      </c>
      <c r="T43">
        <v>0.2</v>
      </c>
    </row>
    <row r="44" spans="1:20" x14ac:dyDescent="0.25">
      <c r="A44" s="765">
        <v>130</v>
      </c>
      <c r="B44" s="765" t="s">
        <v>1402</v>
      </c>
      <c r="C44" s="47" t="s">
        <v>161</v>
      </c>
      <c r="D44" s="208"/>
      <c r="E44" s="5"/>
      <c r="F44" s="5"/>
      <c r="G44" s="5"/>
      <c r="H44" s="5"/>
      <c r="I44" s="5"/>
      <c r="J44" s="6" t="s">
        <v>9</v>
      </c>
      <c r="K44" s="6"/>
      <c r="L44" s="6"/>
      <c r="M44" s="6">
        <v>1</v>
      </c>
      <c r="N44" s="6" t="s">
        <v>162</v>
      </c>
      <c r="O44" s="5">
        <v>1</v>
      </c>
      <c r="P44" s="6"/>
      <c r="Q44" s="6" t="s">
        <v>163</v>
      </c>
      <c r="R44" s="4" t="s">
        <v>215</v>
      </c>
      <c r="S44" t="str">
        <f t="shared" si="0"/>
        <v/>
      </c>
      <c r="T44">
        <v>0.2</v>
      </c>
    </row>
    <row r="45" spans="1:20" x14ac:dyDescent="0.25">
      <c r="A45" s="765">
        <v>413</v>
      </c>
      <c r="B45" s="765" t="s">
        <v>1402</v>
      </c>
      <c r="C45" s="47" t="s">
        <v>777</v>
      </c>
      <c r="D45" s="208"/>
      <c r="E45" s="5" t="s">
        <v>1178</v>
      </c>
      <c r="F45" s="5"/>
      <c r="G45" s="5" t="s">
        <v>724</v>
      </c>
      <c r="H45" s="5" t="s">
        <v>724</v>
      </c>
      <c r="I45" s="5"/>
      <c r="J45" s="6" t="s">
        <v>9</v>
      </c>
      <c r="K45" s="6" t="s">
        <v>1130</v>
      </c>
      <c r="L45" s="6"/>
      <c r="M45" s="6">
        <v>1</v>
      </c>
      <c r="N45" s="6" t="s">
        <v>497</v>
      </c>
      <c r="O45" s="5">
        <v>1</v>
      </c>
      <c r="P45" s="6"/>
      <c r="Q45" s="6" t="s">
        <v>859</v>
      </c>
      <c r="R45" s="4" t="s">
        <v>215</v>
      </c>
      <c r="S45">
        <f t="shared" si="0"/>
        <v>35</v>
      </c>
      <c r="T45">
        <v>0.2</v>
      </c>
    </row>
    <row r="46" spans="1:20" x14ac:dyDescent="0.25">
      <c r="A46" s="765">
        <v>64</v>
      </c>
      <c r="B46" s="765" t="s">
        <v>1402</v>
      </c>
      <c r="C46" s="46" t="s">
        <v>272</v>
      </c>
      <c r="D46" s="207"/>
      <c r="E46" s="2"/>
      <c r="F46" s="2"/>
      <c r="G46" s="2"/>
      <c r="H46" s="2"/>
      <c r="I46" s="2"/>
      <c r="J46" s="3" t="s">
        <v>9</v>
      </c>
      <c r="K46" s="3" t="s">
        <v>1131</v>
      </c>
      <c r="L46" s="3"/>
      <c r="M46" s="3">
        <v>1</v>
      </c>
      <c r="N46" s="3" t="s">
        <v>165</v>
      </c>
      <c r="O46" s="2" t="s">
        <v>55</v>
      </c>
      <c r="P46" s="3"/>
      <c r="Q46" s="3" t="s">
        <v>273</v>
      </c>
      <c r="R46" s="7" t="s">
        <v>215</v>
      </c>
      <c r="S46">
        <f t="shared" si="0"/>
        <v>25</v>
      </c>
      <c r="T46">
        <v>0.2</v>
      </c>
    </row>
    <row r="47" spans="1:20" x14ac:dyDescent="0.25">
      <c r="A47" s="765">
        <v>65</v>
      </c>
      <c r="B47" s="765" t="s">
        <v>1402</v>
      </c>
      <c r="C47" s="47" t="s">
        <v>274</v>
      </c>
      <c r="D47" s="208"/>
      <c r="E47" s="5"/>
      <c r="F47" s="5"/>
      <c r="G47" s="5"/>
      <c r="H47" s="5"/>
      <c r="I47" s="5"/>
      <c r="J47" s="6" t="s">
        <v>9</v>
      </c>
      <c r="K47" s="6"/>
      <c r="L47" s="6"/>
      <c r="M47" s="6">
        <v>1</v>
      </c>
      <c r="N47" s="6" t="s">
        <v>165</v>
      </c>
      <c r="O47" s="5" t="s">
        <v>55</v>
      </c>
      <c r="P47" s="6"/>
      <c r="Q47" s="6" t="s">
        <v>275</v>
      </c>
      <c r="R47" s="4" t="s">
        <v>215</v>
      </c>
      <c r="S47" t="str">
        <f t="shared" si="0"/>
        <v/>
      </c>
      <c r="T47">
        <v>0.2</v>
      </c>
    </row>
    <row r="48" spans="1:20" x14ac:dyDescent="0.25">
      <c r="A48" s="765">
        <v>66</v>
      </c>
      <c r="B48" s="765" t="s">
        <v>1402</v>
      </c>
      <c r="C48" s="46" t="s">
        <v>164</v>
      </c>
      <c r="D48" s="207"/>
      <c r="E48" s="2"/>
      <c r="F48" s="2"/>
      <c r="G48" s="2"/>
      <c r="H48" s="2"/>
      <c r="I48" s="2"/>
      <c r="J48" s="3" t="s">
        <v>9</v>
      </c>
      <c r="K48" s="3" t="s">
        <v>1131</v>
      </c>
      <c r="L48" s="3"/>
      <c r="M48" s="3">
        <v>1</v>
      </c>
      <c r="N48" s="3" t="s">
        <v>165</v>
      </c>
      <c r="O48" s="2" t="s">
        <v>55</v>
      </c>
      <c r="P48" s="3"/>
      <c r="Q48" s="3" t="s">
        <v>166</v>
      </c>
      <c r="R48" s="7" t="s">
        <v>215</v>
      </c>
      <c r="S48">
        <f t="shared" si="0"/>
        <v>25</v>
      </c>
      <c r="T48">
        <v>0.2</v>
      </c>
    </row>
    <row r="49" spans="1:20" x14ac:dyDescent="0.25">
      <c r="A49" s="765">
        <v>67</v>
      </c>
      <c r="B49" s="765" t="s">
        <v>1402</v>
      </c>
      <c r="C49" s="47" t="s">
        <v>167</v>
      </c>
      <c r="D49" s="208"/>
      <c r="E49" s="5" t="s">
        <v>1178</v>
      </c>
      <c r="F49" s="5"/>
      <c r="G49" s="5" t="s">
        <v>1178</v>
      </c>
      <c r="H49" s="5"/>
      <c r="I49" s="5"/>
      <c r="J49" s="6" t="s">
        <v>9</v>
      </c>
      <c r="K49" s="6" t="s">
        <v>1131</v>
      </c>
      <c r="L49" s="6"/>
      <c r="M49" s="6">
        <v>1</v>
      </c>
      <c r="N49" s="6" t="s">
        <v>165</v>
      </c>
      <c r="O49" s="5" t="s">
        <v>55</v>
      </c>
      <c r="P49" s="6"/>
      <c r="Q49" s="6" t="s">
        <v>168</v>
      </c>
      <c r="R49" s="4" t="s">
        <v>215</v>
      </c>
      <c r="S49">
        <f t="shared" si="0"/>
        <v>25</v>
      </c>
      <c r="T49">
        <v>0.2</v>
      </c>
    </row>
    <row r="50" spans="1:20" x14ac:dyDescent="0.25">
      <c r="A50" s="765">
        <v>68</v>
      </c>
      <c r="B50" s="765" t="s">
        <v>1402</v>
      </c>
      <c r="C50" s="46" t="s">
        <v>276</v>
      </c>
      <c r="D50" s="207"/>
      <c r="E50" s="2"/>
      <c r="F50" s="2"/>
      <c r="G50" s="2"/>
      <c r="H50" s="2"/>
      <c r="I50" s="2"/>
      <c r="J50" s="3" t="s">
        <v>9</v>
      </c>
      <c r="K50" s="3" t="s">
        <v>1131</v>
      </c>
      <c r="L50" s="3"/>
      <c r="M50" s="3">
        <v>2</v>
      </c>
      <c r="N50" s="3" t="s">
        <v>732</v>
      </c>
      <c r="O50" s="2" t="s">
        <v>55</v>
      </c>
      <c r="P50" s="3" t="s">
        <v>50</v>
      </c>
      <c r="Q50" s="3" t="s">
        <v>277</v>
      </c>
      <c r="R50" s="7" t="s">
        <v>215</v>
      </c>
      <c r="S50">
        <f t="shared" si="0"/>
        <v>25</v>
      </c>
      <c r="T50">
        <v>0.2</v>
      </c>
    </row>
    <row r="51" spans="1:20" x14ac:dyDescent="0.25">
      <c r="A51" s="765">
        <v>69</v>
      </c>
      <c r="B51" s="765" t="s">
        <v>1402</v>
      </c>
      <c r="C51" s="47" t="s">
        <v>20</v>
      </c>
      <c r="D51" s="208"/>
      <c r="E51" s="5"/>
      <c r="F51" s="5"/>
      <c r="G51" s="5"/>
      <c r="H51" s="5"/>
      <c r="I51" s="5"/>
      <c r="J51" s="6" t="s">
        <v>9</v>
      </c>
      <c r="K51" s="6"/>
      <c r="L51" s="6"/>
      <c r="M51" s="6">
        <v>1</v>
      </c>
      <c r="N51" s="6" t="s">
        <v>69</v>
      </c>
      <c r="O51" s="5" t="s">
        <v>55</v>
      </c>
      <c r="P51" s="6"/>
      <c r="Q51" s="6" t="s">
        <v>70</v>
      </c>
      <c r="R51" s="4" t="s">
        <v>215</v>
      </c>
      <c r="S51" t="str">
        <f t="shared" si="0"/>
        <v/>
      </c>
      <c r="T51">
        <v>0.2</v>
      </c>
    </row>
    <row r="52" spans="1:20" x14ac:dyDescent="0.25">
      <c r="B52" s="765" t="s">
        <v>1402</v>
      </c>
      <c r="C52" s="46" t="s">
        <v>21</v>
      </c>
      <c r="D52" s="207">
        <v>500</v>
      </c>
      <c r="E52" s="2" t="s">
        <v>724</v>
      </c>
      <c r="F52" s="2"/>
      <c r="G52" s="2" t="s">
        <v>724</v>
      </c>
      <c r="H52" s="2"/>
      <c r="I52" s="2"/>
      <c r="J52" s="3" t="s">
        <v>9</v>
      </c>
      <c r="K52" s="3" t="s">
        <v>1132</v>
      </c>
      <c r="L52" s="3"/>
      <c r="M52" s="3">
        <v>1</v>
      </c>
      <c r="N52" s="3" t="s">
        <v>73</v>
      </c>
      <c r="O52" s="2" t="s">
        <v>55</v>
      </c>
      <c r="P52" s="3"/>
      <c r="Q52" s="3" t="s">
        <v>72</v>
      </c>
      <c r="R52" s="7" t="s">
        <v>215</v>
      </c>
      <c r="S52">
        <f t="shared" si="0"/>
        <v>55</v>
      </c>
      <c r="T52">
        <v>0.2</v>
      </c>
    </row>
    <row r="53" spans="1:20" x14ac:dyDescent="0.25">
      <c r="B53" s="765" t="s">
        <v>1402</v>
      </c>
      <c r="C53" s="46" t="s">
        <v>1307</v>
      </c>
      <c r="D53" s="207"/>
      <c r="E53" s="2"/>
      <c r="F53" s="2"/>
      <c r="G53" s="2"/>
      <c r="H53" s="2"/>
      <c r="I53" s="2"/>
      <c r="J53" s="3" t="s">
        <v>9</v>
      </c>
      <c r="K53" s="3" t="s">
        <v>1132</v>
      </c>
      <c r="L53" s="3"/>
      <c r="M53" s="3">
        <v>1</v>
      </c>
      <c r="N53" s="6" t="s">
        <v>73</v>
      </c>
      <c r="O53" s="2" t="s">
        <v>55</v>
      </c>
      <c r="P53" s="3"/>
      <c r="Q53" s="6" t="s">
        <v>1308</v>
      </c>
      <c r="R53" s="7" t="s">
        <v>215</v>
      </c>
      <c r="S53">
        <f t="shared" si="0"/>
        <v>55</v>
      </c>
      <c r="T53">
        <v>0.2</v>
      </c>
    </row>
    <row r="54" spans="1:20" x14ac:dyDescent="0.25">
      <c r="A54" s="765">
        <v>71</v>
      </c>
      <c r="B54" s="765" t="s">
        <v>1402</v>
      </c>
      <c r="C54" s="47" t="s">
        <v>22</v>
      </c>
      <c r="D54" s="208"/>
      <c r="E54" s="5"/>
      <c r="F54" s="5"/>
      <c r="G54" s="5"/>
      <c r="H54" s="5"/>
      <c r="I54" s="5"/>
      <c r="J54" s="6" t="s">
        <v>9</v>
      </c>
      <c r="K54" s="6"/>
      <c r="L54" s="6"/>
      <c r="M54" s="6">
        <v>1</v>
      </c>
      <c r="N54" s="6" t="s">
        <v>73</v>
      </c>
      <c r="O54" s="5" t="s">
        <v>55</v>
      </c>
      <c r="P54" s="6"/>
      <c r="Q54" s="6" t="s">
        <v>74</v>
      </c>
      <c r="R54" s="4" t="s">
        <v>215</v>
      </c>
      <c r="S54" t="str">
        <f t="shared" si="0"/>
        <v/>
      </c>
      <c r="T54">
        <v>0.2</v>
      </c>
    </row>
    <row r="55" spans="1:20" x14ac:dyDescent="0.25">
      <c r="A55" s="765">
        <v>213</v>
      </c>
      <c r="B55" s="765" t="s">
        <v>1402</v>
      </c>
      <c r="C55" s="46" t="s">
        <v>169</v>
      </c>
      <c r="D55" s="207"/>
      <c r="E55" s="2"/>
      <c r="F55" s="2"/>
      <c r="G55" s="2"/>
      <c r="H55" s="2"/>
      <c r="I55" s="2"/>
      <c r="J55" s="3" t="s">
        <v>9</v>
      </c>
      <c r="K55" s="3" t="s">
        <v>1132</v>
      </c>
      <c r="L55" s="3"/>
      <c r="M55" s="3">
        <v>1</v>
      </c>
      <c r="N55" s="3" t="s">
        <v>170</v>
      </c>
      <c r="O55" s="2" t="s">
        <v>55</v>
      </c>
      <c r="P55" s="3"/>
      <c r="Q55" s="3" t="s">
        <v>171</v>
      </c>
      <c r="R55" s="7" t="s">
        <v>215</v>
      </c>
      <c r="S55">
        <f t="shared" si="0"/>
        <v>55</v>
      </c>
      <c r="T55">
        <v>0.2</v>
      </c>
    </row>
    <row r="56" spans="1:20" x14ac:dyDescent="0.25">
      <c r="B56" s="765" t="s">
        <v>1402</v>
      </c>
      <c r="C56" s="46" t="s">
        <v>983</v>
      </c>
      <c r="D56" s="207"/>
      <c r="E56" s="2"/>
      <c r="F56" s="2"/>
      <c r="G56" s="2"/>
      <c r="H56" s="2"/>
      <c r="I56" s="2"/>
      <c r="J56" s="3" t="s">
        <v>9</v>
      </c>
      <c r="K56" s="3" t="s">
        <v>1132</v>
      </c>
      <c r="L56" s="3"/>
      <c r="M56" s="3">
        <v>1</v>
      </c>
      <c r="N56" s="3" t="s">
        <v>73</v>
      </c>
      <c r="O56" s="2" t="s">
        <v>55</v>
      </c>
      <c r="P56" s="3"/>
      <c r="Q56" s="3" t="s">
        <v>984</v>
      </c>
      <c r="R56" s="7" t="s">
        <v>215</v>
      </c>
      <c r="S56">
        <f t="shared" si="0"/>
        <v>55</v>
      </c>
      <c r="T56">
        <v>0.2</v>
      </c>
    </row>
    <row r="57" spans="1:20" x14ac:dyDescent="0.25">
      <c r="A57" s="765">
        <v>72</v>
      </c>
      <c r="B57" s="765" t="s">
        <v>1402</v>
      </c>
      <c r="C57" s="47" t="s">
        <v>23</v>
      </c>
      <c r="D57" s="208">
        <v>500</v>
      </c>
      <c r="E57" s="5" t="s">
        <v>1178</v>
      </c>
      <c r="F57" s="5"/>
      <c r="G57" s="5" t="s">
        <v>1178</v>
      </c>
      <c r="H57" s="5" t="s">
        <v>1178</v>
      </c>
      <c r="I57" s="5"/>
      <c r="J57" s="6" t="s">
        <v>9</v>
      </c>
      <c r="K57" s="6" t="s">
        <v>1132</v>
      </c>
      <c r="L57" s="6"/>
      <c r="M57" s="6">
        <v>1</v>
      </c>
      <c r="N57" s="6" t="s">
        <v>75</v>
      </c>
      <c r="O57" s="5" t="s">
        <v>49</v>
      </c>
      <c r="P57" s="6" t="s">
        <v>50</v>
      </c>
      <c r="Q57" s="6" t="s">
        <v>76</v>
      </c>
      <c r="R57" s="4" t="s">
        <v>215</v>
      </c>
      <c r="S57">
        <f t="shared" si="0"/>
        <v>55</v>
      </c>
      <c r="T57">
        <v>0.2</v>
      </c>
    </row>
    <row r="58" spans="1:20" x14ac:dyDescent="0.25">
      <c r="A58" s="765">
        <v>221</v>
      </c>
      <c r="B58" s="765" t="s">
        <v>1402</v>
      </c>
      <c r="C58" s="46" t="s">
        <v>172</v>
      </c>
      <c r="D58" s="207"/>
      <c r="E58" s="2"/>
      <c r="F58" s="2"/>
      <c r="G58" s="2"/>
      <c r="H58" s="2"/>
      <c r="I58" s="2"/>
      <c r="J58" s="3" t="s">
        <v>9</v>
      </c>
      <c r="K58" s="3" t="s">
        <v>1132</v>
      </c>
      <c r="L58" s="3"/>
      <c r="M58" s="3">
        <v>1</v>
      </c>
      <c r="N58" s="3" t="s">
        <v>173</v>
      </c>
      <c r="O58" s="2" t="s">
        <v>49</v>
      </c>
      <c r="P58" s="3"/>
      <c r="Q58" s="3" t="s">
        <v>174</v>
      </c>
      <c r="R58" s="7" t="s">
        <v>215</v>
      </c>
      <c r="S58">
        <f t="shared" si="0"/>
        <v>55</v>
      </c>
      <c r="T58">
        <v>0.2</v>
      </c>
    </row>
    <row r="59" spans="1:20" x14ac:dyDescent="0.25">
      <c r="B59" s="765" t="s">
        <v>1402</v>
      </c>
      <c r="C59" s="47" t="s">
        <v>278</v>
      </c>
      <c r="D59" s="208"/>
      <c r="E59" s="5"/>
      <c r="F59" s="5"/>
      <c r="G59" s="5"/>
      <c r="H59" s="5"/>
      <c r="I59" s="5"/>
      <c r="J59" s="6" t="s">
        <v>9</v>
      </c>
      <c r="K59" s="6"/>
      <c r="L59" s="6"/>
      <c r="M59" s="6">
        <v>2</v>
      </c>
      <c r="N59" s="6" t="s">
        <v>733</v>
      </c>
      <c r="O59" s="5">
        <v>1</v>
      </c>
      <c r="P59" s="6"/>
      <c r="Q59" s="6" t="s">
        <v>279</v>
      </c>
      <c r="R59" s="4" t="s">
        <v>215</v>
      </c>
      <c r="S59" t="str">
        <f t="shared" si="0"/>
        <v/>
      </c>
      <c r="T59">
        <v>0.2</v>
      </c>
    </row>
    <row r="60" spans="1:20" x14ac:dyDescent="0.25">
      <c r="B60" s="765" t="s">
        <v>1402</v>
      </c>
      <c r="C60" s="46" t="s">
        <v>280</v>
      </c>
      <c r="D60" s="207"/>
      <c r="E60" s="2"/>
      <c r="F60" s="2"/>
      <c r="G60" s="2"/>
      <c r="H60" s="2"/>
      <c r="I60" s="2"/>
      <c r="J60" s="3" t="s">
        <v>9</v>
      </c>
      <c r="K60" s="3" t="s">
        <v>1130</v>
      </c>
      <c r="L60" s="3"/>
      <c r="M60" s="3">
        <v>2</v>
      </c>
      <c r="N60" s="3" t="s">
        <v>176</v>
      </c>
      <c r="O60" s="2">
        <v>1</v>
      </c>
      <c r="P60" s="3"/>
      <c r="Q60" s="3" t="s">
        <v>281</v>
      </c>
      <c r="R60" s="7" t="s">
        <v>215</v>
      </c>
      <c r="S60">
        <f t="shared" si="0"/>
        <v>35</v>
      </c>
      <c r="T60">
        <v>0.2</v>
      </c>
    </row>
    <row r="61" spans="1:20" x14ac:dyDescent="0.25">
      <c r="A61" s="765">
        <v>471</v>
      </c>
      <c r="B61" s="765" t="s">
        <v>1402</v>
      </c>
      <c r="C61" s="47" t="s">
        <v>282</v>
      </c>
      <c r="D61" s="208"/>
      <c r="E61" s="5"/>
      <c r="F61" s="5"/>
      <c r="G61" s="5"/>
      <c r="H61" s="5"/>
      <c r="I61" s="5"/>
      <c r="J61" s="6" t="s">
        <v>9</v>
      </c>
      <c r="K61" s="6"/>
      <c r="L61" s="6"/>
      <c r="M61" s="6">
        <v>2</v>
      </c>
      <c r="N61" s="6" t="s">
        <v>176</v>
      </c>
      <c r="O61" s="5">
        <v>1</v>
      </c>
      <c r="P61" s="6"/>
      <c r="Q61" s="6" t="s">
        <v>283</v>
      </c>
      <c r="R61" s="4" t="s">
        <v>215</v>
      </c>
      <c r="S61" t="str">
        <f t="shared" si="0"/>
        <v/>
      </c>
      <c r="T61">
        <v>0.2</v>
      </c>
    </row>
    <row r="62" spans="1:20" x14ac:dyDescent="0.25">
      <c r="A62" s="765">
        <v>472</v>
      </c>
      <c r="B62" s="765" t="s">
        <v>1402</v>
      </c>
      <c r="C62" s="46" t="s">
        <v>284</v>
      </c>
      <c r="D62" s="207"/>
      <c r="E62" s="2"/>
      <c r="F62" s="2"/>
      <c r="G62" s="2"/>
      <c r="H62" s="2"/>
      <c r="I62" s="2"/>
      <c r="J62" s="3" t="s">
        <v>9</v>
      </c>
      <c r="K62" s="3" t="s">
        <v>1130</v>
      </c>
      <c r="L62" s="3"/>
      <c r="M62" s="3">
        <v>2</v>
      </c>
      <c r="N62" s="3" t="s">
        <v>176</v>
      </c>
      <c r="O62" s="2">
        <v>1</v>
      </c>
      <c r="P62" s="3"/>
      <c r="Q62" s="3" t="s">
        <v>285</v>
      </c>
      <c r="R62" s="7" t="s">
        <v>215</v>
      </c>
      <c r="S62">
        <f t="shared" si="0"/>
        <v>35</v>
      </c>
      <c r="T62">
        <v>0.2</v>
      </c>
    </row>
    <row r="63" spans="1:20" x14ac:dyDescent="0.25">
      <c r="A63" s="765">
        <v>475</v>
      </c>
      <c r="B63" s="765" t="s">
        <v>1402</v>
      </c>
      <c r="C63" s="46" t="s">
        <v>523</v>
      </c>
      <c r="D63" s="207"/>
      <c r="E63" s="2"/>
      <c r="F63" s="2"/>
      <c r="G63" s="2"/>
      <c r="H63" s="2"/>
      <c r="I63" s="2"/>
      <c r="J63" s="3" t="s">
        <v>9</v>
      </c>
      <c r="K63" s="3" t="s">
        <v>1130</v>
      </c>
      <c r="L63" s="3"/>
      <c r="M63" s="3">
        <v>2</v>
      </c>
      <c r="N63" s="3" t="s">
        <v>176</v>
      </c>
      <c r="O63" s="2">
        <v>1</v>
      </c>
      <c r="P63" s="3"/>
      <c r="Q63" s="3" t="s">
        <v>524</v>
      </c>
      <c r="R63" s="7" t="s">
        <v>215</v>
      </c>
      <c r="S63">
        <f t="shared" si="0"/>
        <v>35</v>
      </c>
      <c r="T63">
        <v>0.2</v>
      </c>
    </row>
    <row r="64" spans="1:20" x14ac:dyDescent="0.25">
      <c r="A64" s="765">
        <v>473</v>
      </c>
      <c r="B64" s="765" t="s">
        <v>1402</v>
      </c>
      <c r="C64" s="46" t="s">
        <v>521</v>
      </c>
      <c r="D64" s="207"/>
      <c r="E64" s="2"/>
      <c r="F64" s="2"/>
      <c r="G64" s="2"/>
      <c r="H64" s="2"/>
      <c r="I64" s="2"/>
      <c r="J64" s="3" t="s">
        <v>9</v>
      </c>
      <c r="K64" s="3" t="s">
        <v>1309</v>
      </c>
      <c r="L64" s="3"/>
      <c r="M64" s="3">
        <v>2</v>
      </c>
      <c r="N64" s="3" t="s">
        <v>176</v>
      </c>
      <c r="O64" s="2">
        <v>1</v>
      </c>
      <c r="P64" s="3"/>
      <c r="Q64" s="3" t="s">
        <v>522</v>
      </c>
      <c r="R64" s="7" t="s">
        <v>215</v>
      </c>
      <c r="S64">
        <f t="shared" si="0"/>
        <v>35</v>
      </c>
      <c r="T64">
        <v>0.2</v>
      </c>
    </row>
    <row r="65" spans="1:20" x14ac:dyDescent="0.25">
      <c r="A65" s="765">
        <v>477</v>
      </c>
      <c r="B65" s="765" t="s">
        <v>1402</v>
      </c>
      <c r="C65" s="47" t="s">
        <v>175</v>
      </c>
      <c r="D65" s="208"/>
      <c r="E65" s="5"/>
      <c r="F65" s="5"/>
      <c r="G65" s="5"/>
      <c r="H65" s="5"/>
      <c r="I65" s="5"/>
      <c r="J65" s="6" t="s">
        <v>9</v>
      </c>
      <c r="K65" s="6"/>
      <c r="L65" s="6"/>
      <c r="M65" s="6">
        <v>2</v>
      </c>
      <c r="N65" s="6" t="s">
        <v>176</v>
      </c>
      <c r="O65" s="5">
        <v>1</v>
      </c>
      <c r="P65" s="6"/>
      <c r="Q65" s="6" t="s">
        <v>177</v>
      </c>
      <c r="R65" s="4" t="s">
        <v>215</v>
      </c>
      <c r="S65" t="str">
        <f t="shared" si="0"/>
        <v/>
      </c>
      <c r="T65">
        <v>0.2</v>
      </c>
    </row>
    <row r="66" spans="1:20" x14ac:dyDescent="0.25">
      <c r="A66" s="765">
        <v>132</v>
      </c>
      <c r="B66" s="765" t="s">
        <v>1402</v>
      </c>
      <c r="C66" s="46" t="s">
        <v>525</v>
      </c>
      <c r="D66" s="207"/>
      <c r="E66" s="2"/>
      <c r="F66" s="2"/>
      <c r="G66" s="2"/>
      <c r="H66" s="2"/>
      <c r="I66" s="2"/>
      <c r="J66" s="3" t="s">
        <v>9</v>
      </c>
      <c r="K66" s="3"/>
      <c r="L66" s="3"/>
      <c r="M66" s="3">
        <v>2</v>
      </c>
      <c r="N66" s="3" t="s">
        <v>176</v>
      </c>
      <c r="O66" s="2">
        <v>1</v>
      </c>
      <c r="P66" s="3"/>
      <c r="Q66" s="3" t="s">
        <v>287</v>
      </c>
      <c r="R66" s="7" t="s">
        <v>215</v>
      </c>
      <c r="S66" t="str">
        <f t="shared" si="0"/>
        <v/>
      </c>
      <c r="T66">
        <v>0.2</v>
      </c>
    </row>
    <row r="67" spans="1:20" x14ac:dyDescent="0.25">
      <c r="B67" s="765" t="s">
        <v>1402</v>
      </c>
      <c r="C67" s="46" t="s">
        <v>1333</v>
      </c>
      <c r="D67" s="207"/>
      <c r="E67" s="2"/>
      <c r="F67" s="2"/>
      <c r="G67" s="2"/>
      <c r="H67" s="2"/>
      <c r="I67" s="2"/>
      <c r="J67" s="3" t="s">
        <v>9</v>
      </c>
      <c r="K67" s="3" t="s">
        <v>1130</v>
      </c>
      <c r="L67" s="3"/>
      <c r="M67" s="3">
        <v>2</v>
      </c>
      <c r="N67" s="3" t="s">
        <v>176</v>
      </c>
      <c r="O67" s="2">
        <v>1</v>
      </c>
      <c r="P67" s="3"/>
      <c r="Q67" s="3" t="s">
        <v>287</v>
      </c>
      <c r="R67" s="7" t="s">
        <v>215</v>
      </c>
      <c r="S67">
        <f t="shared" si="0"/>
        <v>35</v>
      </c>
      <c r="T67">
        <v>0.2</v>
      </c>
    </row>
    <row r="68" spans="1:20" x14ac:dyDescent="0.25">
      <c r="B68" s="765" t="s">
        <v>1402</v>
      </c>
      <c r="C68" s="47" t="s">
        <v>178</v>
      </c>
      <c r="D68" s="208"/>
      <c r="E68" s="5"/>
      <c r="F68" s="5"/>
      <c r="G68" s="5"/>
      <c r="H68" s="5"/>
      <c r="I68" s="5"/>
      <c r="J68" s="6" t="s">
        <v>9</v>
      </c>
      <c r="K68" s="6"/>
      <c r="L68" s="6"/>
      <c r="M68" s="6">
        <v>1</v>
      </c>
      <c r="N68" s="6" t="s">
        <v>71</v>
      </c>
      <c r="O68" s="5">
        <v>2</v>
      </c>
      <c r="P68" s="6"/>
      <c r="Q68" s="6" t="s">
        <v>179</v>
      </c>
      <c r="R68" s="4" t="s">
        <v>215</v>
      </c>
      <c r="S68" t="str">
        <f t="shared" si="0"/>
        <v/>
      </c>
      <c r="T68">
        <v>0.2</v>
      </c>
    </row>
    <row r="69" spans="1:20" x14ac:dyDescent="0.25">
      <c r="A69" s="765">
        <v>74</v>
      </c>
      <c r="B69" s="765" t="s">
        <v>1402</v>
      </c>
      <c r="C69" s="46" t="s">
        <v>24</v>
      </c>
      <c r="D69" s="207"/>
      <c r="E69" s="2"/>
      <c r="F69" s="2"/>
      <c r="G69" s="2"/>
      <c r="H69" s="2"/>
      <c r="I69" s="2"/>
      <c r="J69" s="3" t="s">
        <v>9</v>
      </c>
      <c r="K69" s="3" t="s">
        <v>1132</v>
      </c>
      <c r="L69" s="3"/>
      <c r="M69" s="3">
        <v>1</v>
      </c>
      <c r="N69" s="3" t="s">
        <v>71</v>
      </c>
      <c r="O69" s="2">
        <v>2</v>
      </c>
      <c r="P69" s="3"/>
      <c r="Q69" s="3" t="s">
        <v>77</v>
      </c>
      <c r="R69" s="7" t="s">
        <v>215</v>
      </c>
      <c r="S69">
        <f t="shared" si="0"/>
        <v>55</v>
      </c>
      <c r="T69">
        <v>0.2</v>
      </c>
    </row>
    <row r="70" spans="1:20" x14ac:dyDescent="0.25">
      <c r="A70" s="765">
        <v>75</v>
      </c>
      <c r="B70" s="765" t="s">
        <v>1402</v>
      </c>
      <c r="C70" s="47" t="s">
        <v>288</v>
      </c>
      <c r="D70" s="208"/>
      <c r="E70" s="5"/>
      <c r="F70" s="5"/>
      <c r="G70" s="5"/>
      <c r="H70" s="5"/>
      <c r="I70" s="5"/>
      <c r="J70" s="6" t="s">
        <v>9</v>
      </c>
      <c r="K70" s="6"/>
      <c r="L70" s="6"/>
      <c r="M70" s="6">
        <v>1</v>
      </c>
      <c r="N70" s="6" t="s">
        <v>71</v>
      </c>
      <c r="O70" s="5">
        <v>2</v>
      </c>
      <c r="P70" s="6"/>
      <c r="Q70" s="6" t="s">
        <v>289</v>
      </c>
      <c r="R70" s="4" t="s">
        <v>215</v>
      </c>
      <c r="S70" t="str">
        <f t="shared" ref="S70:S134" si="4">IF(K70="S",25,IF(K70="M",35,IF(K70="L",55,"")))</f>
        <v/>
      </c>
      <c r="T70">
        <v>0.2</v>
      </c>
    </row>
    <row r="71" spans="1:20" x14ac:dyDescent="0.25">
      <c r="A71" s="765">
        <v>223</v>
      </c>
      <c r="B71" s="765" t="s">
        <v>1402</v>
      </c>
      <c r="C71" s="46" t="s">
        <v>180</v>
      </c>
      <c r="D71" s="207"/>
      <c r="E71" s="2"/>
      <c r="F71" s="2"/>
      <c r="G71" s="2"/>
      <c r="H71" s="2"/>
      <c r="I71" s="2"/>
      <c r="J71" s="3" t="s">
        <v>9</v>
      </c>
      <c r="K71" s="3"/>
      <c r="L71" s="3"/>
      <c r="M71" s="3">
        <v>1</v>
      </c>
      <c r="N71" s="3" t="s">
        <v>71</v>
      </c>
      <c r="O71" s="2">
        <v>2</v>
      </c>
      <c r="P71" s="3"/>
      <c r="Q71" s="3" t="s">
        <v>181</v>
      </c>
      <c r="R71" s="7" t="s">
        <v>215</v>
      </c>
      <c r="S71" t="str">
        <f t="shared" si="4"/>
        <v/>
      </c>
      <c r="T71">
        <v>0.2</v>
      </c>
    </row>
    <row r="72" spans="1:20" x14ac:dyDescent="0.25">
      <c r="A72" s="765">
        <v>76</v>
      </c>
      <c r="B72" s="765" t="s">
        <v>1402</v>
      </c>
      <c r="C72" s="47" t="s">
        <v>25</v>
      </c>
      <c r="D72" s="208">
        <v>500</v>
      </c>
      <c r="E72" s="5" t="s">
        <v>1178</v>
      </c>
      <c r="F72" s="5"/>
      <c r="G72" s="5" t="s">
        <v>724</v>
      </c>
      <c r="H72" s="5" t="s">
        <v>724</v>
      </c>
      <c r="I72" s="5"/>
      <c r="J72" s="6" t="s">
        <v>9</v>
      </c>
      <c r="K72" s="6" t="s">
        <v>1132</v>
      </c>
      <c r="L72" s="6"/>
      <c r="M72" s="6">
        <v>3</v>
      </c>
      <c r="N72" s="6" t="s">
        <v>78</v>
      </c>
      <c r="O72" s="5" t="s">
        <v>55</v>
      </c>
      <c r="P72" s="6" t="s">
        <v>50</v>
      </c>
      <c r="Q72" s="6" t="s">
        <v>79</v>
      </c>
      <c r="R72" s="4" t="s">
        <v>215</v>
      </c>
      <c r="S72">
        <f t="shared" si="4"/>
        <v>55</v>
      </c>
      <c r="T72">
        <v>0.2</v>
      </c>
    </row>
    <row r="73" spans="1:20" x14ac:dyDescent="0.25">
      <c r="A73" s="765">
        <v>77</v>
      </c>
      <c r="B73" s="765" t="s">
        <v>1402</v>
      </c>
      <c r="C73" s="46" t="s">
        <v>290</v>
      </c>
      <c r="D73" s="207">
        <v>300</v>
      </c>
      <c r="E73" s="2" t="s">
        <v>724</v>
      </c>
      <c r="F73" s="2"/>
      <c r="G73" s="2" t="s">
        <v>724</v>
      </c>
      <c r="H73" s="2"/>
      <c r="I73" s="2"/>
      <c r="J73" s="3" t="s">
        <v>9</v>
      </c>
      <c r="K73" s="3" t="s">
        <v>1130</v>
      </c>
      <c r="L73" s="3"/>
      <c r="M73" s="3">
        <v>2</v>
      </c>
      <c r="N73" s="3" t="s">
        <v>291</v>
      </c>
      <c r="O73" s="2" t="s">
        <v>55</v>
      </c>
      <c r="P73" s="3"/>
      <c r="Q73" s="3" t="s">
        <v>292</v>
      </c>
      <c r="R73" s="7" t="s">
        <v>215</v>
      </c>
      <c r="S73">
        <f t="shared" si="4"/>
        <v>35</v>
      </c>
      <c r="T73">
        <v>0.2</v>
      </c>
    </row>
    <row r="74" spans="1:20" x14ac:dyDescent="0.25">
      <c r="A74" s="765">
        <v>78</v>
      </c>
      <c r="B74" s="765" t="s">
        <v>1402</v>
      </c>
      <c r="C74" s="47" t="s">
        <v>293</v>
      </c>
      <c r="D74" s="208"/>
      <c r="E74" s="5"/>
      <c r="F74" s="5"/>
      <c r="G74" s="5"/>
      <c r="H74" s="5"/>
      <c r="I74" s="5"/>
      <c r="J74" s="6" t="s">
        <v>9</v>
      </c>
      <c r="K74" s="6" t="s">
        <v>1130</v>
      </c>
      <c r="L74" s="6"/>
      <c r="M74" s="6">
        <v>2</v>
      </c>
      <c r="N74" s="6" t="s">
        <v>294</v>
      </c>
      <c r="O74" s="5" t="s">
        <v>55</v>
      </c>
      <c r="P74" s="6"/>
      <c r="Q74" s="6" t="s">
        <v>295</v>
      </c>
      <c r="R74" s="4" t="s">
        <v>215</v>
      </c>
      <c r="S74">
        <f t="shared" si="4"/>
        <v>35</v>
      </c>
      <c r="T74">
        <v>0.2</v>
      </c>
    </row>
    <row r="75" spans="1:20" x14ac:dyDescent="0.25">
      <c r="A75" s="765">
        <v>224</v>
      </c>
      <c r="B75" s="765" t="s">
        <v>1402</v>
      </c>
      <c r="C75" s="46" t="s">
        <v>26</v>
      </c>
      <c r="D75" s="208">
        <v>500</v>
      </c>
      <c r="E75" s="2" t="s">
        <v>1178</v>
      </c>
      <c r="F75" s="2"/>
      <c r="G75" s="2" t="s">
        <v>724</v>
      </c>
      <c r="H75" s="2" t="s">
        <v>724</v>
      </c>
      <c r="I75" s="2"/>
      <c r="J75" s="3" t="s">
        <v>9</v>
      </c>
      <c r="K75" s="3" t="s">
        <v>1132</v>
      </c>
      <c r="L75" s="3"/>
      <c r="M75" s="3">
        <v>3</v>
      </c>
      <c r="N75" s="3" t="s">
        <v>80</v>
      </c>
      <c r="O75" s="2" t="s">
        <v>55</v>
      </c>
      <c r="P75" s="3" t="s">
        <v>50</v>
      </c>
      <c r="Q75" s="3" t="s">
        <v>81</v>
      </c>
      <c r="R75" s="7" t="s">
        <v>215</v>
      </c>
      <c r="S75">
        <f t="shared" si="4"/>
        <v>55</v>
      </c>
      <c r="T75">
        <v>0.2</v>
      </c>
    </row>
    <row r="76" spans="1:20" x14ac:dyDescent="0.25">
      <c r="A76" s="765">
        <v>491</v>
      </c>
      <c r="B76" s="765" t="s">
        <v>1402</v>
      </c>
      <c r="C76" s="47" t="s">
        <v>296</v>
      </c>
      <c r="D76" s="208"/>
      <c r="E76" s="5"/>
      <c r="F76" s="5"/>
      <c r="G76" s="5"/>
      <c r="H76" s="5"/>
      <c r="I76" s="5"/>
      <c r="J76" s="6" t="s">
        <v>9</v>
      </c>
      <c r="K76" s="6"/>
      <c r="L76" s="6"/>
      <c r="M76" s="6">
        <v>1</v>
      </c>
      <c r="N76" s="6" t="s">
        <v>297</v>
      </c>
      <c r="O76" s="5">
        <v>1</v>
      </c>
      <c r="P76" s="6"/>
      <c r="Q76" s="6" t="s">
        <v>298</v>
      </c>
      <c r="R76" s="4" t="s">
        <v>215</v>
      </c>
      <c r="S76" t="str">
        <f t="shared" si="4"/>
        <v/>
      </c>
      <c r="T76">
        <v>0.2</v>
      </c>
    </row>
    <row r="77" spans="1:20" x14ac:dyDescent="0.25">
      <c r="A77" s="765">
        <v>225</v>
      </c>
      <c r="B77" s="765" t="s">
        <v>1402</v>
      </c>
      <c r="C77" s="47" t="s">
        <v>1014</v>
      </c>
      <c r="D77" s="208"/>
      <c r="E77" s="5"/>
      <c r="F77" s="5"/>
      <c r="G77" s="5"/>
      <c r="H77" s="5"/>
      <c r="I77" s="5"/>
      <c r="J77" s="6" t="s">
        <v>9</v>
      </c>
      <c r="K77" s="6"/>
      <c r="L77" s="6"/>
      <c r="M77" s="6">
        <v>1</v>
      </c>
      <c r="N77" s="6" t="s">
        <v>82</v>
      </c>
      <c r="O77" s="5">
        <v>1</v>
      </c>
      <c r="P77" s="6"/>
      <c r="Q77" s="6" t="s">
        <v>1015</v>
      </c>
      <c r="R77" s="4" t="s">
        <v>215</v>
      </c>
      <c r="S77" t="str">
        <f t="shared" si="4"/>
        <v/>
      </c>
      <c r="T77">
        <v>0.2</v>
      </c>
    </row>
    <row r="78" spans="1:20" x14ac:dyDescent="0.25">
      <c r="B78" s="765" t="s">
        <v>1402</v>
      </c>
      <c r="C78" s="47" t="s">
        <v>1127</v>
      </c>
      <c r="D78" s="208"/>
      <c r="E78" s="5"/>
      <c r="F78" s="5"/>
      <c r="G78" s="5"/>
      <c r="H78" s="5"/>
      <c r="I78" s="5"/>
      <c r="J78" s="6" t="s">
        <v>9</v>
      </c>
      <c r="K78" s="6"/>
      <c r="L78" s="6"/>
      <c r="M78" s="6">
        <v>1</v>
      </c>
      <c r="N78" s="6" t="s">
        <v>297</v>
      </c>
      <c r="O78" s="5">
        <v>1</v>
      </c>
      <c r="P78" s="6"/>
      <c r="Q78" s="6" t="s">
        <v>1016</v>
      </c>
      <c r="R78" s="4" t="s">
        <v>215</v>
      </c>
      <c r="S78" t="str">
        <f t="shared" si="4"/>
        <v/>
      </c>
      <c r="T78">
        <v>0.2</v>
      </c>
    </row>
    <row r="79" spans="1:20" x14ac:dyDescent="0.25">
      <c r="A79" s="765">
        <v>79</v>
      </c>
      <c r="B79" s="765" t="s">
        <v>1402</v>
      </c>
      <c r="C79" s="46" t="s">
        <v>27</v>
      </c>
      <c r="D79" s="207">
        <v>500</v>
      </c>
      <c r="E79" s="2" t="s">
        <v>1178</v>
      </c>
      <c r="F79" s="2"/>
      <c r="G79" s="2" t="s">
        <v>1178</v>
      </c>
      <c r="H79" s="2" t="s">
        <v>1178</v>
      </c>
      <c r="I79" s="2"/>
      <c r="J79" s="3" t="s">
        <v>9</v>
      </c>
      <c r="K79" s="3" t="s">
        <v>1130</v>
      </c>
      <c r="L79" s="3"/>
      <c r="M79" s="3">
        <v>1</v>
      </c>
      <c r="N79" s="3" t="s">
        <v>82</v>
      </c>
      <c r="O79" s="2" t="s">
        <v>55</v>
      </c>
      <c r="P79" s="3"/>
      <c r="Q79" s="3" t="s">
        <v>83</v>
      </c>
      <c r="R79" s="7" t="s">
        <v>215</v>
      </c>
      <c r="S79">
        <f t="shared" si="4"/>
        <v>35</v>
      </c>
      <c r="T79">
        <v>0.2</v>
      </c>
    </row>
    <row r="80" spans="1:20" x14ac:dyDescent="0.25">
      <c r="B80" s="765" t="s">
        <v>1402</v>
      </c>
      <c r="C80" s="47" t="s">
        <v>1320</v>
      </c>
      <c r="D80" s="208"/>
      <c r="E80" s="5"/>
      <c r="F80" s="5"/>
      <c r="G80" s="5"/>
      <c r="H80" s="5"/>
      <c r="I80" s="5"/>
      <c r="J80" s="6" t="s">
        <v>9</v>
      </c>
      <c r="K80" s="6"/>
      <c r="L80" s="6"/>
      <c r="M80" s="6">
        <v>2</v>
      </c>
      <c r="N80" s="6" t="s">
        <v>439</v>
      </c>
      <c r="O80" s="5">
        <v>1</v>
      </c>
      <c r="P80" s="6"/>
      <c r="Q80" s="6" t="s">
        <v>440</v>
      </c>
      <c r="R80" s="4" t="s">
        <v>215</v>
      </c>
      <c r="S80" t="str">
        <f t="shared" si="4"/>
        <v/>
      </c>
      <c r="T80">
        <v>0.2</v>
      </c>
    </row>
    <row r="81" spans="1:20" x14ac:dyDescent="0.25">
      <c r="A81" s="765">
        <v>226</v>
      </c>
      <c r="B81" s="765" t="s">
        <v>1402</v>
      </c>
      <c r="C81" s="47" t="s">
        <v>299</v>
      </c>
      <c r="D81" s="208"/>
      <c r="E81" s="5"/>
      <c r="F81" s="5"/>
      <c r="G81" s="5"/>
      <c r="H81" s="5"/>
      <c r="I81" s="5"/>
      <c r="J81" s="6" t="s">
        <v>9</v>
      </c>
      <c r="K81" s="6" t="s">
        <v>1130</v>
      </c>
      <c r="L81" s="6"/>
      <c r="M81" s="6">
        <v>1</v>
      </c>
      <c r="N81" s="6" t="s">
        <v>300</v>
      </c>
      <c r="O81" s="5">
        <v>1</v>
      </c>
      <c r="P81" s="6"/>
      <c r="Q81" s="6" t="s">
        <v>441</v>
      </c>
      <c r="R81" s="7" t="s">
        <v>215</v>
      </c>
      <c r="S81">
        <f t="shared" si="4"/>
        <v>35</v>
      </c>
      <c r="T81">
        <v>0.2</v>
      </c>
    </row>
    <row r="82" spans="1:20" x14ac:dyDescent="0.25">
      <c r="A82" s="765">
        <v>80</v>
      </c>
      <c r="B82" s="765" t="s">
        <v>1402</v>
      </c>
      <c r="C82" s="46" t="s">
        <v>301</v>
      </c>
      <c r="D82" s="207"/>
      <c r="E82" s="2"/>
      <c r="F82" s="2"/>
      <c r="G82" s="2"/>
      <c r="H82" s="2"/>
      <c r="I82" s="2"/>
      <c r="J82" s="3" t="s">
        <v>9</v>
      </c>
      <c r="K82" s="3"/>
      <c r="L82" s="3"/>
      <c r="M82" s="3">
        <v>1</v>
      </c>
      <c r="N82" s="3" t="s">
        <v>86</v>
      </c>
      <c r="O82" s="2" t="s">
        <v>55</v>
      </c>
      <c r="P82" s="3"/>
      <c r="Q82" s="3" t="s">
        <v>302</v>
      </c>
      <c r="R82" s="4" t="s">
        <v>215</v>
      </c>
      <c r="S82" t="str">
        <f t="shared" si="4"/>
        <v/>
      </c>
      <c r="T82">
        <v>0.2</v>
      </c>
    </row>
    <row r="83" spans="1:20" x14ac:dyDescent="0.25">
      <c r="B83" s="765" t="s">
        <v>1402</v>
      </c>
      <c r="C83" s="47" t="s">
        <v>303</v>
      </c>
      <c r="D83" s="208">
        <v>500</v>
      </c>
      <c r="E83" s="5" t="s">
        <v>724</v>
      </c>
      <c r="F83" s="5"/>
      <c r="G83" s="5" t="s">
        <v>724</v>
      </c>
      <c r="H83" s="5" t="s">
        <v>724</v>
      </c>
      <c r="I83" s="5"/>
      <c r="J83" s="6" t="s">
        <v>9</v>
      </c>
      <c r="K83" s="6" t="s">
        <v>1165</v>
      </c>
      <c r="L83" s="6"/>
      <c r="M83" s="6">
        <v>3</v>
      </c>
      <c r="N83" s="6" t="s">
        <v>84</v>
      </c>
      <c r="O83" s="5">
        <v>1</v>
      </c>
      <c r="P83" s="6"/>
      <c r="Q83" s="6" t="s">
        <v>304</v>
      </c>
      <c r="R83" s="7" t="s">
        <v>215</v>
      </c>
      <c r="S83">
        <f t="shared" si="4"/>
        <v>25</v>
      </c>
      <c r="T83">
        <v>0.2</v>
      </c>
    </row>
    <row r="84" spans="1:20" x14ac:dyDescent="0.25">
      <c r="B84" s="765" t="s">
        <v>1402</v>
      </c>
      <c r="C84" s="46" t="s">
        <v>28</v>
      </c>
      <c r="D84" s="207"/>
      <c r="E84" s="2"/>
      <c r="F84" s="2"/>
      <c r="G84" s="2"/>
      <c r="H84" s="2"/>
      <c r="I84" s="2"/>
      <c r="J84" s="3" t="s">
        <v>9</v>
      </c>
      <c r="K84" s="3"/>
      <c r="L84" s="3"/>
      <c r="M84" s="3">
        <v>3</v>
      </c>
      <c r="N84" s="3" t="s">
        <v>84</v>
      </c>
      <c r="O84" s="2">
        <v>1</v>
      </c>
      <c r="P84" s="3"/>
      <c r="Q84" s="3" t="s">
        <v>85</v>
      </c>
      <c r="R84" s="4" t="s">
        <v>215</v>
      </c>
      <c r="S84" t="str">
        <f t="shared" si="4"/>
        <v/>
      </c>
      <c r="T84">
        <v>0.2</v>
      </c>
    </row>
    <row r="85" spans="1:20" x14ac:dyDescent="0.25">
      <c r="B85" s="765" t="s">
        <v>1402</v>
      </c>
      <c r="C85" s="47" t="s">
        <v>182</v>
      </c>
      <c r="D85" s="208">
        <v>400</v>
      </c>
      <c r="E85" s="5" t="s">
        <v>724</v>
      </c>
      <c r="F85" s="5"/>
      <c r="G85" s="5" t="s">
        <v>724</v>
      </c>
      <c r="H85" s="5"/>
      <c r="I85" s="5"/>
      <c r="J85" s="6" t="s">
        <v>9</v>
      </c>
      <c r="K85" s="6" t="s">
        <v>1309</v>
      </c>
      <c r="L85" s="6"/>
      <c r="M85" s="6">
        <v>3</v>
      </c>
      <c r="N85" s="6" t="s">
        <v>183</v>
      </c>
      <c r="O85" s="5" t="s">
        <v>55</v>
      </c>
      <c r="P85" s="6"/>
      <c r="Q85" s="6" t="s">
        <v>184</v>
      </c>
      <c r="R85" s="7" t="s">
        <v>215</v>
      </c>
      <c r="S85">
        <f t="shared" si="4"/>
        <v>35</v>
      </c>
      <c r="T85">
        <v>0.2</v>
      </c>
    </row>
    <row r="86" spans="1:20" x14ac:dyDescent="0.25">
      <c r="A86" s="765">
        <v>81</v>
      </c>
      <c r="B86" s="765" t="s">
        <v>1402</v>
      </c>
      <c r="C86" s="46" t="s">
        <v>305</v>
      </c>
      <c r="D86" s="207">
        <v>400</v>
      </c>
      <c r="E86" s="2" t="s">
        <v>724</v>
      </c>
      <c r="F86" s="2"/>
      <c r="G86" s="2" t="s">
        <v>724</v>
      </c>
      <c r="H86" s="2" t="s">
        <v>724</v>
      </c>
      <c r="I86" s="2"/>
      <c r="J86" s="3" t="s">
        <v>9</v>
      </c>
      <c r="K86" s="3" t="s">
        <v>1131</v>
      </c>
      <c r="L86" s="3"/>
      <c r="M86" s="3">
        <v>2</v>
      </c>
      <c r="N86" s="3" t="s">
        <v>306</v>
      </c>
      <c r="O86" s="2" t="s">
        <v>55</v>
      </c>
      <c r="P86" s="3" t="s">
        <v>50</v>
      </c>
      <c r="Q86" s="3" t="s">
        <v>307</v>
      </c>
      <c r="R86" s="4" t="s">
        <v>215</v>
      </c>
      <c r="S86">
        <f t="shared" si="4"/>
        <v>25</v>
      </c>
      <c r="T86">
        <v>0.2</v>
      </c>
    </row>
    <row r="87" spans="1:20" x14ac:dyDescent="0.25">
      <c r="A87" s="765">
        <v>228</v>
      </c>
      <c r="B87" s="765" t="s">
        <v>1402</v>
      </c>
      <c r="C87" s="47" t="s">
        <v>308</v>
      </c>
      <c r="D87" s="208">
        <v>200</v>
      </c>
      <c r="E87" s="5" t="s">
        <v>1178</v>
      </c>
      <c r="F87" s="5"/>
      <c r="G87" s="5" t="s">
        <v>1178</v>
      </c>
      <c r="H87" s="5"/>
      <c r="I87" s="5"/>
      <c r="J87" s="6" t="s">
        <v>9</v>
      </c>
      <c r="K87" s="3" t="s">
        <v>1130</v>
      </c>
      <c r="L87" s="6"/>
      <c r="M87" s="6">
        <v>1</v>
      </c>
      <c r="N87" s="6" t="s">
        <v>309</v>
      </c>
      <c r="O87" s="5" t="s">
        <v>55</v>
      </c>
      <c r="P87" s="6"/>
      <c r="Q87" s="6" t="s">
        <v>310</v>
      </c>
      <c r="R87" s="7" t="s">
        <v>215</v>
      </c>
      <c r="S87">
        <f t="shared" si="4"/>
        <v>35</v>
      </c>
      <c r="T87">
        <v>0.2</v>
      </c>
    </row>
    <row r="88" spans="1:20" x14ac:dyDescent="0.25">
      <c r="A88" s="765">
        <v>82</v>
      </c>
      <c r="B88" s="765" t="s">
        <v>1402</v>
      </c>
      <c r="C88" s="46" t="s">
        <v>29</v>
      </c>
      <c r="D88" s="207">
        <v>300</v>
      </c>
      <c r="E88" s="2" t="s">
        <v>724</v>
      </c>
      <c r="F88" s="2"/>
      <c r="G88" s="2" t="s">
        <v>724</v>
      </c>
      <c r="H88" s="2"/>
      <c r="I88" s="2"/>
      <c r="J88" s="3" t="s">
        <v>9</v>
      </c>
      <c r="K88" s="3" t="s">
        <v>1130</v>
      </c>
      <c r="L88" s="3"/>
      <c r="M88" s="3">
        <v>2</v>
      </c>
      <c r="N88" s="3" t="s">
        <v>86</v>
      </c>
      <c r="O88" s="2" t="s">
        <v>55</v>
      </c>
      <c r="P88" s="3" t="s">
        <v>50</v>
      </c>
      <c r="Q88" s="3" t="s">
        <v>87</v>
      </c>
      <c r="R88" s="4" t="s">
        <v>215</v>
      </c>
      <c r="S88">
        <f t="shared" si="4"/>
        <v>35</v>
      </c>
      <c r="T88">
        <v>0.2</v>
      </c>
    </row>
    <row r="89" spans="1:20" x14ac:dyDescent="0.25">
      <c r="B89" s="765" t="s">
        <v>1402</v>
      </c>
      <c r="C89" s="47" t="s">
        <v>311</v>
      </c>
      <c r="D89" s="208">
        <v>200</v>
      </c>
      <c r="E89" s="5" t="s">
        <v>724</v>
      </c>
      <c r="F89" s="5"/>
      <c r="G89" s="5" t="s">
        <v>724</v>
      </c>
      <c r="H89" s="5"/>
      <c r="I89" s="5"/>
      <c r="J89" s="6" t="s">
        <v>9</v>
      </c>
      <c r="K89" s="6" t="s">
        <v>1131</v>
      </c>
      <c r="L89" s="6"/>
      <c r="M89" s="6">
        <v>2</v>
      </c>
      <c r="N89" s="6" t="s">
        <v>312</v>
      </c>
      <c r="O89" s="5">
        <v>1</v>
      </c>
      <c r="P89" s="6"/>
      <c r="Q89" s="6" t="s">
        <v>313</v>
      </c>
      <c r="R89" s="7" t="s">
        <v>215</v>
      </c>
      <c r="S89">
        <f t="shared" si="4"/>
        <v>25</v>
      </c>
      <c r="T89">
        <v>0.2</v>
      </c>
    </row>
    <row r="90" spans="1:20" x14ac:dyDescent="0.25">
      <c r="B90" s="765" t="s">
        <v>1402</v>
      </c>
      <c r="C90" s="46" t="s">
        <v>780</v>
      </c>
      <c r="D90" s="207">
        <v>200</v>
      </c>
      <c r="E90" s="2" t="s">
        <v>724</v>
      </c>
      <c r="F90" s="2"/>
      <c r="G90" s="2" t="s">
        <v>724</v>
      </c>
      <c r="H90" s="2"/>
      <c r="I90" s="2"/>
      <c r="J90" s="3" t="s">
        <v>9</v>
      </c>
      <c r="K90" s="3" t="s">
        <v>1165</v>
      </c>
      <c r="L90" s="3"/>
      <c r="M90" s="3">
        <v>2</v>
      </c>
      <c r="N90" s="3" t="s">
        <v>781</v>
      </c>
      <c r="O90" s="2">
        <v>1</v>
      </c>
      <c r="P90" s="3"/>
      <c r="Q90" s="6" t="s">
        <v>911</v>
      </c>
      <c r="R90" s="4" t="s">
        <v>215</v>
      </c>
      <c r="S90">
        <f t="shared" si="4"/>
        <v>25</v>
      </c>
      <c r="T90">
        <v>0.2</v>
      </c>
    </row>
    <row r="91" spans="1:20" x14ac:dyDescent="0.25">
      <c r="A91" s="765">
        <v>83</v>
      </c>
      <c r="B91" s="765" t="s">
        <v>1402</v>
      </c>
      <c r="C91" s="46" t="s">
        <v>30</v>
      </c>
      <c r="D91" s="207">
        <v>200</v>
      </c>
      <c r="E91" s="2" t="s">
        <v>724</v>
      </c>
      <c r="F91" s="2"/>
      <c r="G91" s="2" t="s">
        <v>724</v>
      </c>
      <c r="H91" s="2"/>
      <c r="I91" s="2"/>
      <c r="J91" s="3" t="s">
        <v>9</v>
      </c>
      <c r="K91" s="3" t="s">
        <v>1130</v>
      </c>
      <c r="L91" s="3"/>
      <c r="M91" s="3">
        <v>1</v>
      </c>
      <c r="N91" s="3" t="s">
        <v>88</v>
      </c>
      <c r="O91" s="2" t="s">
        <v>55</v>
      </c>
      <c r="P91" s="3" t="s">
        <v>50</v>
      </c>
      <c r="Q91" s="3" t="s">
        <v>89</v>
      </c>
      <c r="R91" s="7" t="s">
        <v>215</v>
      </c>
      <c r="S91">
        <f t="shared" si="4"/>
        <v>35</v>
      </c>
      <c r="T91">
        <v>0.2</v>
      </c>
    </row>
    <row r="92" spans="1:20" x14ac:dyDescent="0.25">
      <c r="A92" s="765">
        <v>84</v>
      </c>
      <c r="B92" s="765" t="s">
        <v>1402</v>
      </c>
      <c r="C92" s="47" t="s">
        <v>31</v>
      </c>
      <c r="D92" s="208">
        <v>200</v>
      </c>
      <c r="E92" s="5" t="s">
        <v>724</v>
      </c>
      <c r="F92" s="5"/>
      <c r="G92" s="5" t="s">
        <v>724</v>
      </c>
      <c r="H92" s="5" t="s">
        <v>724</v>
      </c>
      <c r="I92" s="5"/>
      <c r="J92" s="6" t="s">
        <v>9</v>
      </c>
      <c r="K92" s="6" t="s">
        <v>1165</v>
      </c>
      <c r="L92" s="6"/>
      <c r="M92" s="6">
        <v>1</v>
      </c>
      <c r="N92" s="6" t="s">
        <v>90</v>
      </c>
      <c r="O92" s="5" t="s">
        <v>55</v>
      </c>
      <c r="P92" s="6" t="s">
        <v>50</v>
      </c>
      <c r="Q92" s="6" t="s">
        <v>91</v>
      </c>
      <c r="R92" s="4" t="s">
        <v>215</v>
      </c>
      <c r="S92">
        <f t="shared" si="4"/>
        <v>25</v>
      </c>
      <c r="T92">
        <v>0.2</v>
      </c>
    </row>
    <row r="93" spans="1:20" x14ac:dyDescent="0.25">
      <c r="A93" s="765">
        <v>85</v>
      </c>
      <c r="B93" s="765" t="s">
        <v>1402</v>
      </c>
      <c r="C93" s="46" t="s">
        <v>32</v>
      </c>
      <c r="D93" s="207"/>
      <c r="E93" s="2"/>
      <c r="F93" s="2"/>
      <c r="G93" s="2"/>
      <c r="H93" s="2"/>
      <c r="I93" s="2"/>
      <c r="J93" s="3" t="s">
        <v>9</v>
      </c>
      <c r="K93" s="3"/>
      <c r="L93" s="3"/>
      <c r="M93" s="3">
        <v>2</v>
      </c>
      <c r="N93" s="3" t="s">
        <v>92</v>
      </c>
      <c r="O93" s="2" t="s">
        <v>49</v>
      </c>
      <c r="P93" s="3" t="s">
        <v>50</v>
      </c>
      <c r="Q93" s="3" t="s">
        <v>93</v>
      </c>
      <c r="R93" s="7" t="s">
        <v>215</v>
      </c>
      <c r="S93" t="str">
        <f t="shared" si="4"/>
        <v/>
      </c>
      <c r="T93">
        <v>0.2</v>
      </c>
    </row>
    <row r="94" spans="1:20" x14ac:dyDescent="0.25">
      <c r="A94" s="765">
        <v>86</v>
      </c>
      <c r="B94" s="765" t="s">
        <v>1402</v>
      </c>
      <c r="C94" s="47" t="s">
        <v>1423</v>
      </c>
      <c r="D94" s="208"/>
      <c r="E94" s="5"/>
      <c r="F94" s="5"/>
      <c r="G94" s="5"/>
      <c r="H94" s="5"/>
      <c r="I94" s="5"/>
      <c r="J94" s="6" t="s">
        <v>9</v>
      </c>
      <c r="K94" s="6"/>
      <c r="L94" s="6"/>
      <c r="M94" s="6">
        <v>1</v>
      </c>
      <c r="N94" s="6" t="s">
        <v>320</v>
      </c>
      <c r="O94" s="5" t="s">
        <v>55</v>
      </c>
      <c r="P94" s="6"/>
      <c r="Q94" s="6" t="s">
        <v>424</v>
      </c>
      <c r="R94" s="4" t="s">
        <v>215</v>
      </c>
      <c r="S94" t="str">
        <f t="shared" si="4"/>
        <v/>
      </c>
      <c r="T94">
        <v>0.2</v>
      </c>
    </row>
    <row r="95" spans="1:20" x14ac:dyDescent="0.25">
      <c r="A95" s="765">
        <v>87</v>
      </c>
      <c r="B95" s="765" t="s">
        <v>1402</v>
      </c>
      <c r="C95" s="46" t="s">
        <v>314</v>
      </c>
      <c r="D95" s="207"/>
      <c r="E95" s="2"/>
      <c r="F95" s="2"/>
      <c r="G95" s="2"/>
      <c r="H95" s="2"/>
      <c r="I95" s="2"/>
      <c r="J95" s="3" t="s">
        <v>9</v>
      </c>
      <c r="K95" s="3" t="s">
        <v>1131</v>
      </c>
      <c r="L95" s="3"/>
      <c r="M95" s="3">
        <v>1</v>
      </c>
      <c r="N95" s="3" t="s">
        <v>315</v>
      </c>
      <c r="O95" s="2" t="s">
        <v>55</v>
      </c>
      <c r="P95" s="3" t="s">
        <v>50</v>
      </c>
      <c r="Q95" s="3" t="s">
        <v>316</v>
      </c>
      <c r="R95" s="7" t="s">
        <v>215</v>
      </c>
      <c r="S95">
        <f t="shared" si="4"/>
        <v>25</v>
      </c>
      <c r="T95">
        <v>0.2</v>
      </c>
    </row>
    <row r="96" spans="1:20" x14ac:dyDescent="0.25">
      <c r="A96" s="765">
        <v>88</v>
      </c>
      <c r="B96" s="765" t="s">
        <v>1402</v>
      </c>
      <c r="C96" s="47" t="s">
        <v>317</v>
      </c>
      <c r="D96" s="208"/>
      <c r="E96" s="5"/>
      <c r="F96" s="5"/>
      <c r="G96" s="5"/>
      <c r="H96" s="5"/>
      <c r="I96" s="5"/>
      <c r="J96" s="6" t="s">
        <v>9</v>
      </c>
      <c r="K96" s="6"/>
      <c r="L96" s="6"/>
      <c r="M96" s="6">
        <v>1</v>
      </c>
      <c r="N96" s="6" t="s">
        <v>734</v>
      </c>
      <c r="O96" s="5" t="s">
        <v>55</v>
      </c>
      <c r="P96" s="6"/>
      <c r="Q96" s="6" t="s">
        <v>318</v>
      </c>
      <c r="R96" s="4" t="s">
        <v>215</v>
      </c>
      <c r="S96" t="str">
        <f t="shared" si="4"/>
        <v/>
      </c>
      <c r="T96">
        <v>0.2</v>
      </c>
    </row>
    <row r="97" spans="1:20" x14ac:dyDescent="0.25">
      <c r="A97" s="765">
        <v>89</v>
      </c>
      <c r="B97" s="765" t="s">
        <v>1402</v>
      </c>
      <c r="C97" s="46" t="s">
        <v>319</v>
      </c>
      <c r="D97" s="207"/>
      <c r="E97" s="2"/>
      <c r="F97" s="2"/>
      <c r="G97" s="2"/>
      <c r="H97" s="2"/>
      <c r="I97" s="2"/>
      <c r="J97" s="3" t="s">
        <v>9</v>
      </c>
      <c r="K97" s="3" t="s">
        <v>1132</v>
      </c>
      <c r="L97" s="3"/>
      <c r="M97" s="3">
        <v>1</v>
      </c>
      <c r="N97" s="3" t="s">
        <v>735</v>
      </c>
      <c r="O97" s="2" t="s">
        <v>55</v>
      </c>
      <c r="P97" s="3"/>
      <c r="Q97" s="3" t="s">
        <v>321</v>
      </c>
      <c r="R97" s="7" t="s">
        <v>215</v>
      </c>
      <c r="S97">
        <f t="shared" si="4"/>
        <v>55</v>
      </c>
      <c r="T97">
        <v>0.2</v>
      </c>
    </row>
    <row r="98" spans="1:20" x14ac:dyDescent="0.25">
      <c r="A98" s="765">
        <v>90</v>
      </c>
      <c r="B98" s="765" t="s">
        <v>1402</v>
      </c>
      <c r="C98" s="47" t="s">
        <v>322</v>
      </c>
      <c r="D98" s="208"/>
      <c r="E98" s="5"/>
      <c r="F98" s="5"/>
      <c r="G98" s="5"/>
      <c r="H98" s="5"/>
      <c r="I98" s="5"/>
      <c r="J98" s="6" t="s">
        <v>9</v>
      </c>
      <c r="K98" s="6" t="s">
        <v>1131</v>
      </c>
      <c r="L98" s="6"/>
      <c r="M98" s="6">
        <v>1</v>
      </c>
      <c r="N98" s="6" t="s">
        <v>323</v>
      </c>
      <c r="O98" s="5">
        <v>2</v>
      </c>
      <c r="P98" s="6" t="s">
        <v>50</v>
      </c>
      <c r="Q98" s="6" t="s">
        <v>324</v>
      </c>
      <c r="R98" s="4" t="s">
        <v>215</v>
      </c>
      <c r="S98">
        <f t="shared" si="4"/>
        <v>25</v>
      </c>
      <c r="T98">
        <v>0.2</v>
      </c>
    </row>
    <row r="99" spans="1:20" x14ac:dyDescent="0.25">
      <c r="A99" s="765">
        <v>91</v>
      </c>
      <c r="B99" s="765" t="s">
        <v>1402</v>
      </c>
      <c r="C99" s="46" t="s">
        <v>325</v>
      </c>
      <c r="D99" s="207"/>
      <c r="E99" s="2"/>
      <c r="F99" s="2"/>
      <c r="G99" s="2"/>
      <c r="H99" s="2"/>
      <c r="I99" s="2"/>
      <c r="J99" s="3" t="s">
        <v>9</v>
      </c>
      <c r="K99" s="3"/>
      <c r="L99" s="3"/>
      <c r="M99" s="3">
        <v>1</v>
      </c>
      <c r="N99" s="3" t="s">
        <v>326</v>
      </c>
      <c r="O99" s="2" t="s">
        <v>55</v>
      </c>
      <c r="P99" s="3"/>
      <c r="Q99" s="3" t="s">
        <v>327</v>
      </c>
      <c r="R99" s="7" t="s">
        <v>215</v>
      </c>
      <c r="S99" t="str">
        <f t="shared" si="4"/>
        <v/>
      </c>
      <c r="T99">
        <v>0.2</v>
      </c>
    </row>
    <row r="100" spans="1:20" x14ac:dyDescent="0.25">
      <c r="A100" s="765">
        <v>229</v>
      </c>
      <c r="B100" s="765" t="s">
        <v>1402</v>
      </c>
      <c r="C100" s="47" t="s">
        <v>328</v>
      </c>
      <c r="D100" s="208"/>
      <c r="E100" s="5"/>
      <c r="F100" s="5"/>
      <c r="G100" s="5"/>
      <c r="H100" s="5"/>
      <c r="I100" s="5"/>
      <c r="J100" s="6" t="s">
        <v>9</v>
      </c>
      <c r="K100" s="6"/>
      <c r="L100" s="6"/>
      <c r="M100" s="6">
        <v>1</v>
      </c>
      <c r="N100" s="6" t="s">
        <v>329</v>
      </c>
      <c r="O100" s="5" t="s">
        <v>55</v>
      </c>
      <c r="P100" s="6"/>
      <c r="Q100" s="3" t="s">
        <v>939</v>
      </c>
      <c r="R100" s="4" t="s">
        <v>215</v>
      </c>
      <c r="S100" t="str">
        <f t="shared" si="4"/>
        <v/>
      </c>
      <c r="T100">
        <v>0.2</v>
      </c>
    </row>
    <row r="101" spans="1:20" x14ac:dyDescent="0.25">
      <c r="A101" s="765">
        <v>92</v>
      </c>
      <c r="B101" s="765" t="s">
        <v>1402</v>
      </c>
      <c r="C101" s="46" t="s">
        <v>330</v>
      </c>
      <c r="D101" s="208"/>
      <c r="E101" s="5"/>
      <c r="F101" s="2"/>
      <c r="G101" s="2"/>
      <c r="H101" s="2"/>
      <c r="I101" s="2"/>
      <c r="J101" s="3" t="s">
        <v>9</v>
      </c>
      <c r="K101" s="3" t="s">
        <v>1165</v>
      </c>
      <c r="L101" s="3"/>
      <c r="M101" s="3">
        <v>1</v>
      </c>
      <c r="N101" s="3" t="s">
        <v>331</v>
      </c>
      <c r="O101" s="2">
        <v>2</v>
      </c>
      <c r="P101" s="3" t="s">
        <v>50</v>
      </c>
      <c r="Q101" s="3" t="s">
        <v>332</v>
      </c>
      <c r="R101" s="7" t="s">
        <v>215</v>
      </c>
      <c r="S101">
        <f t="shared" si="4"/>
        <v>25</v>
      </c>
      <c r="T101">
        <v>0.2</v>
      </c>
    </row>
    <row r="102" spans="1:20" x14ac:dyDescent="0.25">
      <c r="A102" s="765">
        <v>230</v>
      </c>
      <c r="B102" s="765" t="s">
        <v>1402</v>
      </c>
      <c r="C102" s="47" t="s">
        <v>1424</v>
      </c>
      <c r="D102" s="208"/>
      <c r="E102" s="5"/>
      <c r="F102" s="5"/>
      <c r="G102" s="5"/>
      <c r="H102" s="5"/>
      <c r="I102" s="5"/>
      <c r="J102" s="6" t="s">
        <v>9</v>
      </c>
      <c r="K102" s="6"/>
      <c r="L102" s="6"/>
      <c r="M102" s="6">
        <v>3</v>
      </c>
      <c r="N102" s="6" t="s">
        <v>736</v>
      </c>
      <c r="O102" s="5" t="s">
        <v>55</v>
      </c>
      <c r="P102" s="6"/>
      <c r="Q102" s="6" t="s">
        <v>333</v>
      </c>
      <c r="R102" s="4" t="s">
        <v>215</v>
      </c>
      <c r="S102" t="str">
        <f t="shared" si="4"/>
        <v/>
      </c>
      <c r="T102">
        <v>0.2</v>
      </c>
    </row>
    <row r="103" spans="1:20" x14ac:dyDescent="0.25">
      <c r="A103" s="765">
        <v>93</v>
      </c>
      <c r="B103" s="765" t="s">
        <v>1402</v>
      </c>
      <c r="C103" s="46" t="s">
        <v>334</v>
      </c>
      <c r="D103" s="207">
        <v>300</v>
      </c>
      <c r="E103" s="2" t="s">
        <v>724</v>
      </c>
      <c r="F103" s="2" t="s">
        <v>724</v>
      </c>
      <c r="G103" s="2" t="s">
        <v>724</v>
      </c>
      <c r="H103" s="2"/>
      <c r="I103" s="2"/>
      <c r="J103" s="3" t="s">
        <v>9</v>
      </c>
      <c r="K103" s="3" t="s">
        <v>1130</v>
      </c>
      <c r="L103" s="3"/>
      <c r="M103" s="3">
        <v>1</v>
      </c>
      <c r="N103" s="3" t="s">
        <v>335</v>
      </c>
      <c r="O103" s="2" t="s">
        <v>55</v>
      </c>
      <c r="P103" s="3"/>
      <c r="Q103" s="3" t="s">
        <v>336</v>
      </c>
      <c r="R103" s="7" t="s">
        <v>215</v>
      </c>
      <c r="S103">
        <f t="shared" si="4"/>
        <v>35</v>
      </c>
      <c r="T103">
        <v>0.2</v>
      </c>
    </row>
    <row r="104" spans="1:20" x14ac:dyDescent="0.25">
      <c r="A104" s="765">
        <v>94</v>
      </c>
      <c r="B104" s="765" t="s">
        <v>1402</v>
      </c>
      <c r="C104" s="47" t="s">
        <v>33</v>
      </c>
      <c r="D104" s="208"/>
      <c r="E104" s="5"/>
      <c r="F104" s="5"/>
      <c r="G104" s="5"/>
      <c r="H104" s="5"/>
      <c r="I104" s="5"/>
      <c r="J104" s="6" t="s">
        <v>9</v>
      </c>
      <c r="K104" s="6" t="s">
        <v>1132</v>
      </c>
      <c r="L104" s="6"/>
      <c r="M104" s="6">
        <v>2</v>
      </c>
      <c r="N104" s="6" t="s">
        <v>94</v>
      </c>
      <c r="O104" s="5" t="s">
        <v>55</v>
      </c>
      <c r="P104" s="6"/>
      <c r="Q104" s="6" t="s">
        <v>95</v>
      </c>
      <c r="R104" s="4" t="s">
        <v>215</v>
      </c>
      <c r="S104">
        <f t="shared" si="4"/>
        <v>55</v>
      </c>
      <c r="T104">
        <v>0.2</v>
      </c>
    </row>
    <row r="105" spans="1:20" x14ac:dyDescent="0.25">
      <c r="B105" s="765" t="s">
        <v>1402</v>
      </c>
      <c r="C105" s="47" t="s">
        <v>1255</v>
      </c>
      <c r="D105" s="208"/>
      <c r="E105" s="5"/>
      <c r="F105" s="5"/>
      <c r="G105" s="5"/>
      <c r="H105" s="5"/>
      <c r="I105" s="5"/>
      <c r="J105" s="6" t="s">
        <v>9</v>
      </c>
      <c r="K105" s="6" t="s">
        <v>1130</v>
      </c>
      <c r="L105" s="6"/>
      <c r="M105" s="6">
        <v>2</v>
      </c>
      <c r="N105" s="6" t="s">
        <v>1256</v>
      </c>
      <c r="O105" s="5" t="s">
        <v>55</v>
      </c>
      <c r="P105" s="6"/>
      <c r="Q105" s="6" t="s">
        <v>1257</v>
      </c>
      <c r="R105" s="4" t="s">
        <v>215</v>
      </c>
      <c r="S105">
        <f t="shared" si="4"/>
        <v>35</v>
      </c>
      <c r="T105">
        <v>0.2</v>
      </c>
    </row>
    <row r="106" spans="1:20" x14ac:dyDescent="0.25">
      <c r="A106" s="765">
        <v>96</v>
      </c>
      <c r="B106" s="765" t="s">
        <v>1402</v>
      </c>
      <c r="C106" s="46" t="s">
        <v>34</v>
      </c>
      <c r="D106" s="207"/>
      <c r="E106" s="2"/>
      <c r="F106" s="2"/>
      <c r="G106" s="2"/>
      <c r="H106" s="2"/>
      <c r="I106" s="2"/>
      <c r="J106" s="3" t="s">
        <v>9</v>
      </c>
      <c r="K106" s="3" t="s">
        <v>1130</v>
      </c>
      <c r="L106" s="3"/>
      <c r="M106" s="3">
        <v>1</v>
      </c>
      <c r="N106" s="3" t="s">
        <v>96</v>
      </c>
      <c r="O106" s="2" t="s">
        <v>49</v>
      </c>
      <c r="P106" s="3"/>
      <c r="Q106" s="3" t="s">
        <v>97</v>
      </c>
      <c r="R106" s="7" t="s">
        <v>215</v>
      </c>
      <c r="S106">
        <f t="shared" si="4"/>
        <v>35</v>
      </c>
      <c r="T106">
        <v>0.2</v>
      </c>
    </row>
    <row r="107" spans="1:20" x14ac:dyDescent="0.25">
      <c r="A107" s="765">
        <v>97</v>
      </c>
      <c r="B107" s="765" t="s">
        <v>1402</v>
      </c>
      <c r="C107" s="47" t="s">
        <v>185</v>
      </c>
      <c r="D107" s="208"/>
      <c r="E107" s="5"/>
      <c r="F107" s="5"/>
      <c r="G107" s="5"/>
      <c r="H107" s="5"/>
      <c r="I107" s="5"/>
      <c r="J107" s="6" t="s">
        <v>9</v>
      </c>
      <c r="K107" s="6"/>
      <c r="L107" s="6"/>
      <c r="M107" s="6">
        <v>1</v>
      </c>
      <c r="N107" s="6" t="s">
        <v>96</v>
      </c>
      <c r="O107" s="5" t="s">
        <v>49</v>
      </c>
      <c r="P107" s="6"/>
      <c r="Q107" s="6" t="s">
        <v>186</v>
      </c>
      <c r="R107" s="4" t="s">
        <v>215</v>
      </c>
      <c r="S107" t="str">
        <f t="shared" si="4"/>
        <v/>
      </c>
      <c r="T107">
        <v>0.2</v>
      </c>
    </row>
    <row r="108" spans="1:20" x14ac:dyDescent="0.25">
      <c r="A108" s="765">
        <v>98</v>
      </c>
      <c r="B108" s="765" t="s">
        <v>1402</v>
      </c>
      <c r="C108" s="47" t="s">
        <v>1021</v>
      </c>
      <c r="D108" s="208"/>
      <c r="E108" s="5"/>
      <c r="F108" s="5"/>
      <c r="G108" s="5"/>
      <c r="H108" s="5"/>
      <c r="I108" s="5"/>
      <c r="J108" s="6" t="s">
        <v>9</v>
      </c>
      <c r="K108" s="6"/>
      <c r="L108" s="6"/>
      <c r="M108" s="3">
        <v>1</v>
      </c>
      <c r="N108" s="3" t="s">
        <v>96</v>
      </c>
      <c r="O108" s="2" t="s">
        <v>49</v>
      </c>
      <c r="P108" s="3"/>
      <c r="Q108" s="3" t="s">
        <v>450</v>
      </c>
      <c r="R108" s="4" t="s">
        <v>215</v>
      </c>
      <c r="S108" t="str">
        <f t="shared" si="4"/>
        <v/>
      </c>
      <c r="T108">
        <v>0.2</v>
      </c>
    </row>
    <row r="109" spans="1:20" x14ac:dyDescent="0.25">
      <c r="A109" s="765">
        <v>99</v>
      </c>
      <c r="B109" s="765" t="s">
        <v>1402</v>
      </c>
      <c r="C109" s="46" t="s">
        <v>337</v>
      </c>
      <c r="D109" s="207">
        <v>200</v>
      </c>
      <c r="E109" s="2" t="s">
        <v>1178</v>
      </c>
      <c r="F109" s="2"/>
      <c r="G109" s="2" t="s">
        <v>1178</v>
      </c>
      <c r="H109" s="2"/>
      <c r="I109" s="2"/>
      <c r="J109" s="3" t="s">
        <v>9</v>
      </c>
      <c r="K109" s="3" t="s">
        <v>1309</v>
      </c>
      <c r="L109" s="3"/>
      <c r="M109" s="3">
        <v>2</v>
      </c>
      <c r="N109" s="3" t="s">
        <v>338</v>
      </c>
      <c r="O109" s="2">
        <v>2</v>
      </c>
      <c r="P109" s="3"/>
      <c r="Q109" s="3" t="s">
        <v>339</v>
      </c>
      <c r="R109" s="7" t="s">
        <v>215</v>
      </c>
      <c r="S109">
        <f t="shared" si="4"/>
        <v>35</v>
      </c>
      <c r="T109">
        <v>0.2</v>
      </c>
    </row>
    <row r="110" spans="1:20" x14ac:dyDescent="0.25">
      <c r="A110" s="765">
        <v>100</v>
      </c>
      <c r="B110" s="765" t="s">
        <v>1402</v>
      </c>
      <c r="C110" s="47" t="s">
        <v>340</v>
      </c>
      <c r="D110" s="208">
        <v>200</v>
      </c>
      <c r="E110" s="5" t="s">
        <v>1178</v>
      </c>
      <c r="F110" s="5"/>
      <c r="G110" s="5" t="s">
        <v>1178</v>
      </c>
      <c r="H110" s="5"/>
      <c r="I110" s="5"/>
      <c r="J110" s="6" t="s">
        <v>9</v>
      </c>
      <c r="K110" s="6" t="s">
        <v>1131</v>
      </c>
      <c r="L110" s="6"/>
      <c r="M110" s="6">
        <v>2</v>
      </c>
      <c r="N110" s="6" t="s">
        <v>338</v>
      </c>
      <c r="O110" s="5">
        <v>2</v>
      </c>
      <c r="P110" s="6"/>
      <c r="Q110" s="6" t="s">
        <v>339</v>
      </c>
      <c r="R110" s="4" t="s">
        <v>215</v>
      </c>
      <c r="S110">
        <f t="shared" si="4"/>
        <v>25</v>
      </c>
      <c r="T110">
        <v>0.2</v>
      </c>
    </row>
    <row r="111" spans="1:20" x14ac:dyDescent="0.25">
      <c r="A111" s="765">
        <v>481</v>
      </c>
      <c r="B111" s="765" t="s">
        <v>1402</v>
      </c>
      <c r="C111" s="46" t="s">
        <v>341</v>
      </c>
      <c r="D111" s="207"/>
      <c r="E111" s="2"/>
      <c r="F111" s="2"/>
      <c r="G111" s="2"/>
      <c r="H111" s="2"/>
      <c r="I111" s="2"/>
      <c r="J111" s="3" t="s">
        <v>9</v>
      </c>
      <c r="K111" s="3"/>
      <c r="L111" s="3"/>
      <c r="M111" s="3">
        <v>2</v>
      </c>
      <c r="N111" s="3" t="s">
        <v>342</v>
      </c>
      <c r="O111" s="2">
        <v>1</v>
      </c>
      <c r="P111" s="3"/>
      <c r="Q111" s="3" t="s">
        <v>343</v>
      </c>
      <c r="R111" s="7" t="s">
        <v>215</v>
      </c>
      <c r="S111" t="str">
        <f t="shared" si="4"/>
        <v/>
      </c>
      <c r="T111">
        <v>0.2</v>
      </c>
    </row>
    <row r="112" spans="1:20" x14ac:dyDescent="0.25">
      <c r="B112" s="765" t="s">
        <v>1402</v>
      </c>
      <c r="C112" s="47" t="s">
        <v>344</v>
      </c>
      <c r="D112" s="208"/>
      <c r="E112" s="5"/>
      <c r="F112" s="5"/>
      <c r="G112" s="5"/>
      <c r="H112" s="5"/>
      <c r="I112" s="5"/>
      <c r="J112" s="6" t="s">
        <v>9</v>
      </c>
      <c r="K112" s="6"/>
      <c r="L112" s="6"/>
      <c r="M112" s="6">
        <v>2</v>
      </c>
      <c r="N112" s="6" t="s">
        <v>345</v>
      </c>
      <c r="O112" s="5">
        <v>1</v>
      </c>
      <c r="P112" s="6"/>
      <c r="Q112" s="6" t="s">
        <v>346</v>
      </c>
      <c r="R112" s="4" t="s">
        <v>215</v>
      </c>
      <c r="S112" t="str">
        <f t="shared" si="4"/>
        <v/>
      </c>
      <c r="T112">
        <v>0.2</v>
      </c>
    </row>
    <row r="113" spans="1:20" x14ac:dyDescent="0.25">
      <c r="A113" s="765">
        <v>482</v>
      </c>
      <c r="B113" s="765" t="s">
        <v>1402</v>
      </c>
      <c r="C113" s="46" t="s">
        <v>347</v>
      </c>
      <c r="D113" s="207"/>
      <c r="E113" s="2"/>
      <c r="F113" s="2"/>
      <c r="G113" s="2"/>
      <c r="H113" s="2"/>
      <c r="I113" s="2"/>
      <c r="J113" s="3" t="s">
        <v>9</v>
      </c>
      <c r="K113" s="3"/>
      <c r="L113" s="3"/>
      <c r="M113" s="3">
        <v>2</v>
      </c>
      <c r="N113" s="3" t="s">
        <v>348</v>
      </c>
      <c r="O113" s="2">
        <v>1</v>
      </c>
      <c r="P113" s="3"/>
      <c r="Q113" s="3" t="s">
        <v>349</v>
      </c>
      <c r="R113" s="7" t="s">
        <v>215</v>
      </c>
      <c r="S113" t="str">
        <f t="shared" si="4"/>
        <v/>
      </c>
      <c r="T113">
        <v>0.2</v>
      </c>
    </row>
    <row r="114" spans="1:20" x14ac:dyDescent="0.25">
      <c r="A114" s="765">
        <v>483</v>
      </c>
      <c r="B114" s="765" t="s">
        <v>1402</v>
      </c>
      <c r="C114" s="47" t="s">
        <v>350</v>
      </c>
      <c r="D114" s="208"/>
      <c r="E114" s="5"/>
      <c r="F114" s="5"/>
      <c r="G114" s="5"/>
      <c r="H114" s="5"/>
      <c r="I114" s="5"/>
      <c r="J114" s="6" t="s">
        <v>9</v>
      </c>
      <c r="K114" s="6"/>
      <c r="L114" s="6"/>
      <c r="M114" s="6">
        <v>2</v>
      </c>
      <c r="N114" s="6" t="s">
        <v>737</v>
      </c>
      <c r="O114" s="5">
        <v>1</v>
      </c>
      <c r="P114" s="6"/>
      <c r="Q114" s="6" t="s">
        <v>351</v>
      </c>
      <c r="R114" s="4" t="s">
        <v>215</v>
      </c>
      <c r="S114" t="str">
        <f t="shared" si="4"/>
        <v/>
      </c>
      <c r="T114">
        <v>0.2</v>
      </c>
    </row>
    <row r="115" spans="1:20" x14ac:dyDescent="0.25">
      <c r="B115" s="765" t="s">
        <v>1402</v>
      </c>
      <c r="C115" s="47" t="s">
        <v>1113</v>
      </c>
      <c r="D115" s="208"/>
      <c r="E115" s="5"/>
      <c r="F115" s="5"/>
      <c r="G115" s="5"/>
      <c r="H115" s="5"/>
      <c r="I115" s="5"/>
      <c r="J115" s="6" t="s">
        <v>9</v>
      </c>
      <c r="K115" s="6"/>
      <c r="L115" s="6"/>
      <c r="M115" s="6">
        <v>2</v>
      </c>
      <c r="N115" s="3" t="s">
        <v>358</v>
      </c>
      <c r="O115" s="5">
        <v>1</v>
      </c>
      <c r="P115" s="6"/>
      <c r="Q115" s="6" t="s">
        <v>1115</v>
      </c>
      <c r="R115" s="4" t="s">
        <v>215</v>
      </c>
      <c r="S115" t="str">
        <f t="shared" si="4"/>
        <v/>
      </c>
      <c r="T115">
        <v>0.2</v>
      </c>
    </row>
    <row r="116" spans="1:20" x14ac:dyDescent="0.25">
      <c r="B116" s="765" t="s">
        <v>1402</v>
      </c>
      <c r="C116" s="47" t="s">
        <v>1114</v>
      </c>
      <c r="D116" s="208"/>
      <c r="E116" s="5"/>
      <c r="F116" s="5"/>
      <c r="G116" s="5"/>
      <c r="H116" s="5"/>
      <c r="I116" s="5"/>
      <c r="J116" s="6" t="s">
        <v>9</v>
      </c>
      <c r="K116" s="6"/>
      <c r="L116" s="6"/>
      <c r="M116" s="6">
        <v>2</v>
      </c>
      <c r="N116" s="3" t="s">
        <v>358</v>
      </c>
      <c r="O116" s="5">
        <v>1</v>
      </c>
      <c r="P116" s="6"/>
      <c r="Q116" s="6" t="s">
        <v>1116</v>
      </c>
      <c r="R116" s="4" t="s">
        <v>215</v>
      </c>
      <c r="S116" t="str">
        <f t="shared" si="4"/>
        <v/>
      </c>
      <c r="T116">
        <v>0.2</v>
      </c>
    </row>
    <row r="117" spans="1:20" x14ac:dyDescent="0.25">
      <c r="A117" s="765">
        <v>484</v>
      </c>
      <c r="B117" s="765" t="s">
        <v>1402</v>
      </c>
      <c r="C117" s="46" t="s">
        <v>352</v>
      </c>
      <c r="D117" s="207"/>
      <c r="E117" s="2"/>
      <c r="F117" s="2"/>
      <c r="G117" s="2"/>
      <c r="H117" s="2"/>
      <c r="I117" s="2"/>
      <c r="J117" s="3" t="s">
        <v>9</v>
      </c>
      <c r="K117" s="3"/>
      <c r="L117" s="3"/>
      <c r="M117" s="3">
        <v>2</v>
      </c>
      <c r="N117" s="6" t="s">
        <v>737</v>
      </c>
      <c r="O117" s="2">
        <v>1</v>
      </c>
      <c r="P117" s="3"/>
      <c r="Q117" s="3" t="s">
        <v>353</v>
      </c>
      <c r="R117" s="7" t="s">
        <v>215</v>
      </c>
      <c r="S117" t="str">
        <f t="shared" si="4"/>
        <v/>
      </c>
      <c r="T117">
        <v>0.2</v>
      </c>
    </row>
    <row r="118" spans="1:20" x14ac:dyDescent="0.25">
      <c r="B118" s="765" t="s">
        <v>1402</v>
      </c>
      <c r="C118" s="47" t="s">
        <v>354</v>
      </c>
      <c r="D118" s="208"/>
      <c r="E118" s="5"/>
      <c r="F118" s="5"/>
      <c r="G118" s="5"/>
      <c r="H118" s="5"/>
      <c r="I118" s="5"/>
      <c r="J118" s="6" t="s">
        <v>9</v>
      </c>
      <c r="K118" s="6"/>
      <c r="L118" s="6"/>
      <c r="M118" s="6">
        <v>2</v>
      </c>
      <c r="N118" s="6" t="s">
        <v>355</v>
      </c>
      <c r="O118" s="5">
        <v>1</v>
      </c>
      <c r="P118" s="6"/>
      <c r="Q118" s="6" t="s">
        <v>356</v>
      </c>
      <c r="R118" s="4" t="s">
        <v>215</v>
      </c>
      <c r="S118" t="str">
        <f t="shared" si="4"/>
        <v/>
      </c>
      <c r="T118">
        <v>0.2</v>
      </c>
    </row>
    <row r="119" spans="1:20" x14ac:dyDescent="0.25">
      <c r="B119" s="765" t="s">
        <v>1402</v>
      </c>
      <c r="C119" s="47" t="s">
        <v>943</v>
      </c>
      <c r="D119" s="208"/>
      <c r="E119" s="5"/>
      <c r="F119" s="5"/>
      <c r="G119" s="5"/>
      <c r="H119" s="5"/>
      <c r="I119" s="5"/>
      <c r="J119" s="6" t="s">
        <v>9</v>
      </c>
      <c r="K119" s="6"/>
      <c r="L119" s="6"/>
      <c r="M119" s="6">
        <v>1</v>
      </c>
      <c r="N119" s="6" t="s">
        <v>947</v>
      </c>
      <c r="O119" s="5">
        <v>1</v>
      </c>
      <c r="P119" s="6"/>
      <c r="Q119" s="6" t="s">
        <v>948</v>
      </c>
      <c r="R119" s="4" t="s">
        <v>215</v>
      </c>
      <c r="S119" t="str">
        <f t="shared" si="4"/>
        <v/>
      </c>
      <c r="T119">
        <v>0.2</v>
      </c>
    </row>
    <row r="120" spans="1:20" x14ac:dyDescent="0.25">
      <c r="A120" s="765">
        <v>485</v>
      </c>
      <c r="B120" s="765" t="s">
        <v>1402</v>
      </c>
      <c r="C120" s="46" t="s">
        <v>357</v>
      </c>
      <c r="D120" s="207"/>
      <c r="E120" s="2"/>
      <c r="F120" s="2"/>
      <c r="G120" s="2"/>
      <c r="H120" s="2"/>
      <c r="I120" s="2"/>
      <c r="J120" s="3" t="s">
        <v>9</v>
      </c>
      <c r="K120" s="3"/>
      <c r="L120" s="3"/>
      <c r="M120" s="3">
        <v>2</v>
      </c>
      <c r="N120" s="3" t="s">
        <v>358</v>
      </c>
      <c r="O120" s="2">
        <v>1</v>
      </c>
      <c r="P120" s="3"/>
      <c r="Q120" s="3" t="s">
        <v>359</v>
      </c>
      <c r="R120" s="7" t="s">
        <v>215</v>
      </c>
      <c r="S120" t="str">
        <f t="shared" si="4"/>
        <v/>
      </c>
      <c r="T120">
        <v>0.2</v>
      </c>
    </row>
    <row r="121" spans="1:20" x14ac:dyDescent="0.25">
      <c r="B121" s="765" t="s">
        <v>1402</v>
      </c>
      <c r="C121" s="46" t="s">
        <v>1339</v>
      </c>
      <c r="D121" s="208"/>
      <c r="E121" s="5"/>
      <c r="F121" s="5"/>
      <c r="G121" s="5"/>
      <c r="H121" s="5"/>
      <c r="I121" s="5"/>
      <c r="J121" s="6" t="s">
        <v>9</v>
      </c>
      <c r="K121" s="6" t="s">
        <v>1130</v>
      </c>
      <c r="L121" s="6"/>
      <c r="M121" s="6">
        <v>2</v>
      </c>
      <c r="N121" s="3" t="s">
        <v>358</v>
      </c>
      <c r="O121" s="5">
        <v>1</v>
      </c>
      <c r="P121" s="6"/>
      <c r="Q121" s="6" t="s">
        <v>1340</v>
      </c>
      <c r="R121" s="4" t="s">
        <v>215</v>
      </c>
      <c r="S121">
        <f t="shared" si="4"/>
        <v>35</v>
      </c>
      <c r="T121">
        <v>0.2</v>
      </c>
    </row>
    <row r="122" spans="1:20" x14ac:dyDescent="0.25">
      <c r="A122" s="765">
        <v>486</v>
      </c>
      <c r="B122" s="765" t="s">
        <v>1402</v>
      </c>
      <c r="C122" s="47" t="s">
        <v>360</v>
      </c>
      <c r="D122" s="208"/>
      <c r="E122" s="5"/>
      <c r="F122" s="5"/>
      <c r="G122" s="5"/>
      <c r="H122" s="5"/>
      <c r="I122" s="5"/>
      <c r="J122" s="6" t="s">
        <v>9</v>
      </c>
      <c r="K122" s="6"/>
      <c r="L122" s="6"/>
      <c r="M122" s="6">
        <v>2</v>
      </c>
      <c r="N122" s="6" t="s">
        <v>361</v>
      </c>
      <c r="O122" s="5">
        <v>1</v>
      </c>
      <c r="P122" s="6"/>
      <c r="Q122" s="6" t="s">
        <v>362</v>
      </c>
      <c r="R122" s="4" t="s">
        <v>215</v>
      </c>
      <c r="S122" t="str">
        <f t="shared" si="4"/>
        <v/>
      </c>
      <c r="T122">
        <v>0.2</v>
      </c>
    </row>
    <row r="123" spans="1:20" x14ac:dyDescent="0.25">
      <c r="A123" s="765">
        <v>487</v>
      </c>
      <c r="B123" s="765" t="s">
        <v>1402</v>
      </c>
      <c r="C123" s="46" t="s">
        <v>363</v>
      </c>
      <c r="D123" s="207"/>
      <c r="E123" s="2"/>
      <c r="F123" s="2"/>
      <c r="G123" s="2"/>
      <c r="H123" s="2"/>
      <c r="I123" s="2"/>
      <c r="J123" s="3" t="s">
        <v>9</v>
      </c>
      <c r="K123" s="3"/>
      <c r="L123" s="3"/>
      <c r="M123" s="3">
        <v>2</v>
      </c>
      <c r="N123" s="3" t="s">
        <v>364</v>
      </c>
      <c r="O123" s="2">
        <v>1</v>
      </c>
      <c r="P123" s="3" t="s">
        <v>50</v>
      </c>
      <c r="Q123" s="3" t="s">
        <v>365</v>
      </c>
      <c r="R123" s="7" t="s">
        <v>215</v>
      </c>
      <c r="S123" t="str">
        <f t="shared" si="4"/>
        <v/>
      </c>
      <c r="T123">
        <v>0.2</v>
      </c>
    </row>
    <row r="124" spans="1:20" x14ac:dyDescent="0.25">
      <c r="A124" s="765">
        <v>133</v>
      </c>
      <c r="B124" s="765" t="s">
        <v>1402</v>
      </c>
      <c r="C124" s="47" t="s">
        <v>543</v>
      </c>
      <c r="D124" s="208"/>
      <c r="E124" s="5"/>
      <c r="F124" s="5"/>
      <c r="G124" s="5"/>
      <c r="H124" s="5"/>
      <c r="I124" s="5"/>
      <c r="J124" s="6" t="s">
        <v>9</v>
      </c>
      <c r="K124" s="6" t="s">
        <v>1130</v>
      </c>
      <c r="L124" s="6"/>
      <c r="M124" s="6">
        <v>1</v>
      </c>
      <c r="N124" s="6" t="s">
        <v>98</v>
      </c>
      <c r="O124" s="5">
        <v>1</v>
      </c>
      <c r="P124" s="6"/>
      <c r="Q124" s="6" t="s">
        <v>99</v>
      </c>
      <c r="R124" s="4" t="s">
        <v>215</v>
      </c>
      <c r="S124">
        <f t="shared" si="4"/>
        <v>35</v>
      </c>
      <c r="T124">
        <v>0.2</v>
      </c>
    </row>
    <row r="125" spans="1:20" x14ac:dyDescent="0.25">
      <c r="A125" s="765">
        <v>488</v>
      </c>
      <c r="B125" s="765" t="s">
        <v>1402</v>
      </c>
      <c r="C125" s="46" t="s">
        <v>366</v>
      </c>
      <c r="D125" s="207"/>
      <c r="E125" s="2"/>
      <c r="F125" s="2"/>
      <c r="G125" s="2"/>
      <c r="H125" s="2"/>
      <c r="I125" s="2"/>
      <c r="J125" s="3" t="s">
        <v>9</v>
      </c>
      <c r="K125" s="3"/>
      <c r="L125" s="3"/>
      <c r="M125" s="3">
        <v>2</v>
      </c>
      <c r="N125" s="3" t="s">
        <v>367</v>
      </c>
      <c r="O125" s="2">
        <v>1</v>
      </c>
      <c r="P125" s="3"/>
      <c r="Q125" s="3" t="s">
        <v>368</v>
      </c>
      <c r="R125" s="7" t="s">
        <v>215</v>
      </c>
      <c r="S125" t="str">
        <f t="shared" si="4"/>
        <v/>
      </c>
      <c r="T125">
        <v>0.2</v>
      </c>
    </row>
    <row r="126" spans="1:20" x14ac:dyDescent="0.25">
      <c r="A126" s="765">
        <v>101</v>
      </c>
      <c r="B126" s="765" t="s">
        <v>1402</v>
      </c>
      <c r="C126" s="47" t="s">
        <v>369</v>
      </c>
      <c r="D126" s="208"/>
      <c r="E126" s="5"/>
      <c r="F126" s="5"/>
      <c r="G126" s="5"/>
      <c r="H126" s="5"/>
      <c r="I126" s="5"/>
      <c r="J126" s="6" t="s">
        <v>9</v>
      </c>
      <c r="K126" s="6" t="s">
        <v>1130</v>
      </c>
      <c r="L126" s="6"/>
      <c r="M126" s="6">
        <v>1</v>
      </c>
      <c r="N126" s="6" t="s">
        <v>370</v>
      </c>
      <c r="O126" s="5">
        <v>2</v>
      </c>
      <c r="P126" s="6"/>
      <c r="Q126" s="6" t="s">
        <v>371</v>
      </c>
      <c r="R126" s="4" t="s">
        <v>215</v>
      </c>
      <c r="S126">
        <f t="shared" si="4"/>
        <v>35</v>
      </c>
      <c r="T126">
        <v>0.2</v>
      </c>
    </row>
    <row r="127" spans="1:20" x14ac:dyDescent="0.25">
      <c r="A127" s="765">
        <v>102</v>
      </c>
      <c r="B127" s="765" t="s">
        <v>1402</v>
      </c>
      <c r="C127" s="46" t="s">
        <v>372</v>
      </c>
      <c r="D127" s="207"/>
      <c r="E127" s="2"/>
      <c r="F127" s="2"/>
      <c r="G127" s="2"/>
      <c r="H127" s="2"/>
      <c r="I127" s="2"/>
      <c r="J127" s="3" t="s">
        <v>9</v>
      </c>
      <c r="K127" s="3" t="s">
        <v>1130</v>
      </c>
      <c r="L127" s="3"/>
      <c r="M127" s="3">
        <v>1</v>
      </c>
      <c r="N127" s="3" t="s">
        <v>373</v>
      </c>
      <c r="O127" s="2">
        <v>2</v>
      </c>
      <c r="P127" s="3" t="s">
        <v>50</v>
      </c>
      <c r="Q127" s="3" t="s">
        <v>374</v>
      </c>
      <c r="R127" s="7" t="s">
        <v>215</v>
      </c>
      <c r="S127">
        <f t="shared" si="4"/>
        <v>35</v>
      </c>
      <c r="T127">
        <v>0.2</v>
      </c>
    </row>
    <row r="128" spans="1:20" x14ac:dyDescent="0.25">
      <c r="B128" s="765" t="s">
        <v>1402</v>
      </c>
      <c r="C128" s="46" t="s">
        <v>805</v>
      </c>
      <c r="D128" s="207"/>
      <c r="E128" s="2"/>
      <c r="F128" s="2"/>
      <c r="G128" s="2"/>
      <c r="H128" s="2"/>
      <c r="I128" s="2"/>
      <c r="J128" s="3" t="s">
        <v>9</v>
      </c>
      <c r="K128" s="3"/>
      <c r="L128" s="3"/>
      <c r="M128" s="3">
        <v>3</v>
      </c>
      <c r="N128" s="3" t="s">
        <v>867</v>
      </c>
      <c r="O128" s="2">
        <v>2</v>
      </c>
      <c r="P128" s="3"/>
      <c r="Q128" s="3" t="s">
        <v>860</v>
      </c>
      <c r="R128" s="7" t="s">
        <v>215</v>
      </c>
      <c r="S128" t="str">
        <f t="shared" si="4"/>
        <v/>
      </c>
      <c r="T128">
        <v>0.2</v>
      </c>
    </row>
    <row r="129" spans="1:20" x14ac:dyDescent="0.25">
      <c r="A129" s="765">
        <v>103</v>
      </c>
      <c r="B129" s="765" t="s">
        <v>1402</v>
      </c>
      <c r="C129" s="47" t="s">
        <v>35</v>
      </c>
      <c r="D129" s="208"/>
      <c r="E129" s="5"/>
      <c r="F129" s="5"/>
      <c r="G129" s="5"/>
      <c r="H129" s="5"/>
      <c r="I129" s="5"/>
      <c r="J129" s="635" t="s">
        <v>9</v>
      </c>
      <c r="K129" s="6" t="s">
        <v>1132</v>
      </c>
      <c r="L129" s="6"/>
      <c r="M129" s="6">
        <v>1</v>
      </c>
      <c r="N129" s="6" t="s">
        <v>100</v>
      </c>
      <c r="O129" s="5">
        <v>2</v>
      </c>
      <c r="P129" s="6"/>
      <c r="Q129" s="6" t="s">
        <v>101</v>
      </c>
      <c r="R129" s="4" t="s">
        <v>215</v>
      </c>
      <c r="S129">
        <f t="shared" si="4"/>
        <v>55</v>
      </c>
      <c r="T129">
        <v>0.2</v>
      </c>
    </row>
    <row r="130" spans="1:20" x14ac:dyDescent="0.25">
      <c r="A130" s="765">
        <v>104</v>
      </c>
      <c r="B130" s="765" t="s">
        <v>1402</v>
      </c>
      <c r="C130" s="46" t="s">
        <v>187</v>
      </c>
      <c r="D130" s="207"/>
      <c r="E130" s="2"/>
      <c r="F130" s="2"/>
      <c r="G130" s="2"/>
      <c r="H130" s="2"/>
      <c r="I130" s="2"/>
      <c r="J130" s="3" t="s">
        <v>9</v>
      </c>
      <c r="K130" s="3"/>
      <c r="L130" s="3"/>
      <c r="M130" s="3">
        <v>1</v>
      </c>
      <c r="N130" s="3" t="s">
        <v>100</v>
      </c>
      <c r="O130" s="2">
        <v>2</v>
      </c>
      <c r="P130" s="3" t="s">
        <v>50</v>
      </c>
      <c r="Q130" s="3" t="s">
        <v>188</v>
      </c>
      <c r="R130" s="7" t="s">
        <v>215</v>
      </c>
      <c r="S130" t="str">
        <f t="shared" si="4"/>
        <v/>
      </c>
      <c r="T130">
        <v>0.2</v>
      </c>
    </row>
    <row r="131" spans="1:20" x14ac:dyDescent="0.25">
      <c r="A131" s="765">
        <v>105</v>
      </c>
      <c r="B131" s="765" t="s">
        <v>1402</v>
      </c>
      <c r="C131" s="47" t="s">
        <v>375</v>
      </c>
      <c r="D131" s="208"/>
      <c r="E131" s="5"/>
      <c r="F131" s="5"/>
      <c r="G131" s="5"/>
      <c r="H131" s="5"/>
      <c r="I131" s="5"/>
      <c r="J131" s="635" t="s">
        <v>9</v>
      </c>
      <c r="K131" s="6" t="s">
        <v>1130</v>
      </c>
      <c r="L131" s="6"/>
      <c r="M131" s="6">
        <v>2</v>
      </c>
      <c r="N131" s="6" t="s">
        <v>376</v>
      </c>
      <c r="O131" s="5" t="s">
        <v>55</v>
      </c>
      <c r="P131" s="6"/>
      <c r="Q131" s="6" t="s">
        <v>377</v>
      </c>
      <c r="R131" s="4" t="s">
        <v>215</v>
      </c>
      <c r="S131">
        <f t="shared" si="4"/>
        <v>35</v>
      </c>
      <c r="T131">
        <v>0.2</v>
      </c>
    </row>
    <row r="132" spans="1:20" x14ac:dyDescent="0.25">
      <c r="A132" s="765">
        <v>135</v>
      </c>
      <c r="B132" s="765" t="s">
        <v>1402</v>
      </c>
      <c r="C132" s="46" t="s">
        <v>189</v>
      </c>
      <c r="D132" s="207"/>
      <c r="E132" s="2"/>
      <c r="F132" s="2"/>
      <c r="G132" s="2"/>
      <c r="H132" s="2"/>
      <c r="I132" s="2"/>
      <c r="J132" s="3" t="s">
        <v>9</v>
      </c>
      <c r="K132" s="3" t="s">
        <v>1130</v>
      </c>
      <c r="L132" s="3"/>
      <c r="M132" s="3">
        <v>2</v>
      </c>
      <c r="N132" s="3" t="s">
        <v>190</v>
      </c>
      <c r="O132" s="2">
        <v>1</v>
      </c>
      <c r="P132" s="3"/>
      <c r="Q132" s="3" t="s">
        <v>191</v>
      </c>
      <c r="R132" s="7" t="s">
        <v>215</v>
      </c>
      <c r="S132">
        <f t="shared" si="4"/>
        <v>35</v>
      </c>
      <c r="T132">
        <v>0.2</v>
      </c>
    </row>
    <row r="133" spans="1:20" x14ac:dyDescent="0.25">
      <c r="A133" s="765">
        <v>489</v>
      </c>
      <c r="B133" s="765" t="s">
        <v>1402</v>
      </c>
      <c r="C133" s="47" t="s">
        <v>378</v>
      </c>
      <c r="D133" s="208">
        <v>200</v>
      </c>
      <c r="E133" s="5" t="s">
        <v>1178</v>
      </c>
      <c r="F133" s="5"/>
      <c r="G133" s="5" t="s">
        <v>1178</v>
      </c>
      <c r="H133" s="5"/>
      <c r="I133" s="5"/>
      <c r="J133" s="635" t="s">
        <v>9</v>
      </c>
      <c r="K133" s="6" t="s">
        <v>1130</v>
      </c>
      <c r="L133" s="6"/>
      <c r="M133" s="6">
        <v>2</v>
      </c>
      <c r="N133" s="6" t="s">
        <v>379</v>
      </c>
      <c r="O133" s="5">
        <v>1</v>
      </c>
      <c r="P133" s="6"/>
      <c r="Q133" s="6" t="s">
        <v>380</v>
      </c>
      <c r="R133" s="4" t="s">
        <v>215</v>
      </c>
      <c r="S133">
        <f t="shared" si="4"/>
        <v>35</v>
      </c>
      <c r="T133">
        <v>0.2</v>
      </c>
    </row>
    <row r="134" spans="1:20" x14ac:dyDescent="0.25">
      <c r="A134" s="765">
        <v>490</v>
      </c>
      <c r="B134" s="765" t="s">
        <v>1402</v>
      </c>
      <c r="C134" s="46" t="s">
        <v>381</v>
      </c>
      <c r="D134" s="207">
        <v>200</v>
      </c>
      <c r="E134" s="2" t="s">
        <v>724</v>
      </c>
      <c r="F134" s="2"/>
      <c r="G134" s="2" t="s">
        <v>724</v>
      </c>
      <c r="H134" s="2"/>
      <c r="I134" s="2"/>
      <c r="J134" s="3" t="s">
        <v>9</v>
      </c>
      <c r="K134" s="3" t="s">
        <v>1130</v>
      </c>
      <c r="L134" s="3"/>
      <c r="M134" s="3">
        <v>2</v>
      </c>
      <c r="N134" s="3" t="s">
        <v>382</v>
      </c>
      <c r="O134" s="2">
        <v>1</v>
      </c>
      <c r="P134" s="3"/>
      <c r="Q134" s="3" t="s">
        <v>383</v>
      </c>
      <c r="R134" s="7" t="s">
        <v>215</v>
      </c>
      <c r="S134">
        <f t="shared" si="4"/>
        <v>35</v>
      </c>
      <c r="T134">
        <v>0.2</v>
      </c>
    </row>
    <row r="135" spans="1:20" x14ac:dyDescent="0.25">
      <c r="A135" s="765">
        <v>106</v>
      </c>
      <c r="B135" s="765" t="s">
        <v>1402</v>
      </c>
      <c r="C135" s="47" t="s">
        <v>192</v>
      </c>
      <c r="D135" s="208"/>
      <c r="E135" s="5"/>
      <c r="F135" s="5"/>
      <c r="G135" s="5"/>
      <c r="H135" s="5"/>
      <c r="I135" s="5"/>
      <c r="J135" s="6" t="s">
        <v>9</v>
      </c>
      <c r="K135" s="6"/>
      <c r="L135" s="6"/>
      <c r="M135" s="6">
        <v>2</v>
      </c>
      <c r="N135" s="6" t="s">
        <v>193</v>
      </c>
      <c r="O135" s="5" t="s">
        <v>49</v>
      </c>
      <c r="P135" s="6"/>
      <c r="Q135" s="6" t="s">
        <v>194</v>
      </c>
      <c r="R135" s="4" t="s">
        <v>215</v>
      </c>
      <c r="S135" t="str">
        <f t="shared" ref="S135:S151" si="5">IF(K135="S",25,IF(K135="M",35,IF(K135="L",55,"")))</f>
        <v/>
      </c>
      <c r="T135">
        <v>0.2</v>
      </c>
    </row>
    <row r="136" spans="1:20" x14ac:dyDescent="0.25">
      <c r="A136" s="765">
        <v>107</v>
      </c>
      <c r="B136" s="765" t="s">
        <v>1402</v>
      </c>
      <c r="C136" s="46" t="s">
        <v>195</v>
      </c>
      <c r="D136" s="207">
        <v>300</v>
      </c>
      <c r="E136" s="2" t="s">
        <v>724</v>
      </c>
      <c r="F136" s="2"/>
      <c r="G136" s="2" t="s">
        <v>724</v>
      </c>
      <c r="H136" s="2" t="s">
        <v>724</v>
      </c>
      <c r="I136" s="2"/>
      <c r="J136" s="3" t="s">
        <v>9</v>
      </c>
      <c r="K136" s="3" t="s">
        <v>1132</v>
      </c>
      <c r="L136" s="3"/>
      <c r="M136" s="3">
        <v>3</v>
      </c>
      <c r="N136" s="3" t="s">
        <v>196</v>
      </c>
      <c r="O136" s="2" t="s">
        <v>49</v>
      </c>
      <c r="P136" s="3" t="s">
        <v>50</v>
      </c>
      <c r="Q136" s="3" t="s">
        <v>1057</v>
      </c>
      <c r="R136" s="7" t="s">
        <v>215</v>
      </c>
      <c r="S136">
        <f t="shared" si="5"/>
        <v>55</v>
      </c>
      <c r="T136">
        <v>0.2</v>
      </c>
    </row>
    <row r="137" spans="1:20" x14ac:dyDescent="0.25">
      <c r="A137" s="765">
        <v>108</v>
      </c>
      <c r="B137" s="765" t="s">
        <v>1402</v>
      </c>
      <c r="C137" s="47" t="s">
        <v>198</v>
      </c>
      <c r="D137" s="208"/>
      <c r="E137" s="5"/>
      <c r="F137" s="5"/>
      <c r="G137" s="5"/>
      <c r="H137" s="5"/>
      <c r="I137" s="5"/>
      <c r="J137" s="6" t="s">
        <v>9</v>
      </c>
      <c r="K137" s="6" t="s">
        <v>1132</v>
      </c>
      <c r="L137" s="6"/>
      <c r="M137" s="6">
        <v>1</v>
      </c>
      <c r="N137" s="6" t="s">
        <v>199</v>
      </c>
      <c r="O137" s="5" t="s">
        <v>49</v>
      </c>
      <c r="P137" s="6"/>
      <c r="Q137" s="6" t="s">
        <v>200</v>
      </c>
      <c r="R137" s="4" t="s">
        <v>215</v>
      </c>
      <c r="S137">
        <f t="shared" si="5"/>
        <v>55</v>
      </c>
      <c r="T137">
        <v>0.2</v>
      </c>
    </row>
    <row r="138" spans="1:20" x14ac:dyDescent="0.25">
      <c r="B138" s="765" t="s">
        <v>1402</v>
      </c>
      <c r="C138" s="46" t="s">
        <v>384</v>
      </c>
      <c r="D138" s="207"/>
      <c r="E138" s="2"/>
      <c r="F138" s="2"/>
      <c r="G138" s="2"/>
      <c r="H138" s="2"/>
      <c r="I138" s="2"/>
      <c r="J138" s="3" t="s">
        <v>9</v>
      </c>
      <c r="K138" s="3"/>
      <c r="L138" s="3"/>
      <c r="M138" s="3">
        <v>2</v>
      </c>
      <c r="N138" s="3" t="s">
        <v>385</v>
      </c>
      <c r="O138" s="2" t="s">
        <v>55</v>
      </c>
      <c r="P138" s="3"/>
      <c r="Q138" s="3" t="s">
        <v>386</v>
      </c>
      <c r="R138" s="7" t="s">
        <v>215</v>
      </c>
      <c r="S138" t="str">
        <f t="shared" si="5"/>
        <v/>
      </c>
      <c r="T138">
        <v>0.2</v>
      </c>
    </row>
    <row r="139" spans="1:20" x14ac:dyDescent="0.25">
      <c r="A139" s="765">
        <v>479</v>
      </c>
      <c r="B139" s="765" t="s">
        <v>1402</v>
      </c>
      <c r="C139" s="47" t="s">
        <v>387</v>
      </c>
      <c r="D139" s="208"/>
      <c r="E139" s="5"/>
      <c r="F139" s="5"/>
      <c r="G139" s="5"/>
      <c r="H139" s="5"/>
      <c r="I139" s="5"/>
      <c r="J139" s="6" t="s">
        <v>9</v>
      </c>
      <c r="K139" s="6" t="s">
        <v>1130</v>
      </c>
      <c r="L139" s="6"/>
      <c r="M139" s="6">
        <v>2</v>
      </c>
      <c r="N139" s="6" t="s">
        <v>931</v>
      </c>
      <c r="O139" s="5">
        <v>1</v>
      </c>
      <c r="P139" s="6"/>
      <c r="Q139" s="6" t="s">
        <v>388</v>
      </c>
      <c r="R139" s="4" t="s">
        <v>215</v>
      </c>
      <c r="S139">
        <f t="shared" si="5"/>
        <v>35</v>
      </c>
      <c r="T139">
        <v>0.2</v>
      </c>
    </row>
    <row r="140" spans="1:20" x14ac:dyDescent="0.25">
      <c r="A140" s="765">
        <v>109</v>
      </c>
      <c r="B140" s="765" t="s">
        <v>1402</v>
      </c>
      <c r="C140" s="46" t="s">
        <v>389</v>
      </c>
      <c r="D140" s="207">
        <v>1000</v>
      </c>
      <c r="E140" s="2" t="s">
        <v>724</v>
      </c>
      <c r="F140" s="2"/>
      <c r="G140" s="2" t="s">
        <v>724</v>
      </c>
      <c r="H140" s="2"/>
      <c r="I140" s="2"/>
      <c r="J140" s="3" t="s">
        <v>9</v>
      </c>
      <c r="K140" s="3" t="s">
        <v>1132</v>
      </c>
      <c r="L140" s="3"/>
      <c r="M140" s="3">
        <v>3</v>
      </c>
      <c r="N140" s="3" t="s">
        <v>738</v>
      </c>
      <c r="O140" s="2" t="s">
        <v>49</v>
      </c>
      <c r="P140" s="3" t="s">
        <v>50</v>
      </c>
      <c r="Q140" s="3" t="s">
        <v>390</v>
      </c>
      <c r="R140" s="7" t="s">
        <v>215</v>
      </c>
      <c r="S140">
        <f t="shared" si="5"/>
        <v>55</v>
      </c>
      <c r="T140">
        <v>0.2</v>
      </c>
    </row>
    <row r="141" spans="1:20" x14ac:dyDescent="0.25">
      <c r="B141" s="765" t="s">
        <v>1402</v>
      </c>
      <c r="C141" s="46" t="s">
        <v>1045</v>
      </c>
      <c r="D141" s="207"/>
      <c r="E141" s="2"/>
      <c r="F141" s="2"/>
      <c r="G141" s="2"/>
      <c r="H141" s="2"/>
      <c r="I141" s="2"/>
      <c r="J141" s="3" t="s">
        <v>9</v>
      </c>
      <c r="K141" s="3"/>
      <c r="L141" s="3"/>
      <c r="M141" s="3">
        <v>2</v>
      </c>
      <c r="N141" s="3" t="s">
        <v>1046</v>
      </c>
      <c r="O141" s="2" t="s">
        <v>49</v>
      </c>
      <c r="P141" s="3"/>
      <c r="Q141" s="168" t="s">
        <v>1047</v>
      </c>
      <c r="R141" s="7" t="s">
        <v>215</v>
      </c>
      <c r="S141" t="str">
        <f t="shared" si="5"/>
        <v/>
      </c>
      <c r="T141">
        <v>0.2</v>
      </c>
    </row>
    <row r="142" spans="1:20" x14ac:dyDescent="0.25">
      <c r="A142" s="765">
        <v>110</v>
      </c>
      <c r="B142" s="765" t="s">
        <v>1402</v>
      </c>
      <c r="C142" s="46" t="s">
        <v>813</v>
      </c>
      <c r="D142" s="207"/>
      <c r="E142" s="2"/>
      <c r="F142" s="2"/>
      <c r="G142" s="2"/>
      <c r="H142" s="2"/>
      <c r="I142" s="2"/>
      <c r="J142" s="3" t="s">
        <v>9</v>
      </c>
      <c r="K142" s="3"/>
      <c r="L142" s="3"/>
      <c r="M142" s="3">
        <v>1</v>
      </c>
      <c r="N142" s="3" t="s">
        <v>202</v>
      </c>
      <c r="O142" s="2" t="s">
        <v>49</v>
      </c>
      <c r="P142" s="3"/>
      <c r="Q142" s="3" t="s">
        <v>203</v>
      </c>
      <c r="R142" s="4" t="s">
        <v>215</v>
      </c>
      <c r="S142" t="str">
        <f t="shared" si="5"/>
        <v/>
      </c>
      <c r="T142">
        <v>0.2</v>
      </c>
    </row>
    <row r="143" spans="1:20" x14ac:dyDescent="0.25">
      <c r="A143" s="765">
        <v>468</v>
      </c>
      <c r="B143" s="765" t="s">
        <v>1402</v>
      </c>
      <c r="C143" s="47" t="s">
        <v>391</v>
      </c>
      <c r="D143" s="208"/>
      <c r="E143" s="5"/>
      <c r="F143" s="5"/>
      <c r="G143" s="5"/>
      <c r="H143" s="5"/>
      <c r="I143" s="5"/>
      <c r="J143" s="6" t="s">
        <v>9</v>
      </c>
      <c r="K143" s="6" t="s">
        <v>1130</v>
      </c>
      <c r="L143" s="6"/>
      <c r="M143" s="6">
        <v>2</v>
      </c>
      <c r="N143" s="6" t="s">
        <v>392</v>
      </c>
      <c r="O143" s="5">
        <v>1</v>
      </c>
      <c r="P143" s="6"/>
      <c r="Q143" s="6" t="s">
        <v>393</v>
      </c>
      <c r="R143" s="4" t="s">
        <v>215</v>
      </c>
      <c r="S143">
        <f t="shared" si="5"/>
        <v>35</v>
      </c>
      <c r="T143">
        <v>0.2</v>
      </c>
    </row>
    <row r="144" spans="1:20" x14ac:dyDescent="0.25">
      <c r="A144" s="765">
        <v>111</v>
      </c>
      <c r="B144" s="765" t="s">
        <v>1402</v>
      </c>
      <c r="C144" s="46" t="s">
        <v>36</v>
      </c>
      <c r="D144" s="208"/>
      <c r="E144" s="2"/>
      <c r="F144" s="2"/>
      <c r="G144" s="2"/>
      <c r="H144" s="2"/>
      <c r="I144" s="2"/>
      <c r="J144" s="3" t="s">
        <v>9</v>
      </c>
      <c r="K144" s="6" t="s">
        <v>1132</v>
      </c>
      <c r="L144" s="3"/>
      <c r="M144" s="3">
        <v>1</v>
      </c>
      <c r="N144" s="3" t="s">
        <v>102</v>
      </c>
      <c r="O144" s="2" t="s">
        <v>49</v>
      </c>
      <c r="P144" s="3" t="s">
        <v>50</v>
      </c>
      <c r="Q144" s="3" t="s">
        <v>103</v>
      </c>
      <c r="R144" s="7" t="s">
        <v>215</v>
      </c>
      <c r="S144">
        <f t="shared" si="5"/>
        <v>55</v>
      </c>
      <c r="T144">
        <v>0.2</v>
      </c>
    </row>
    <row r="145" spans="1:20" x14ac:dyDescent="0.25">
      <c r="A145" s="765">
        <v>112</v>
      </c>
      <c r="B145" s="765" t="s">
        <v>1402</v>
      </c>
      <c r="C145" s="47" t="s">
        <v>37</v>
      </c>
      <c r="D145" s="208">
        <v>400</v>
      </c>
      <c r="E145" s="5" t="s">
        <v>1178</v>
      </c>
      <c r="F145" s="5"/>
      <c r="G145" s="5" t="s">
        <v>724</v>
      </c>
      <c r="H145" s="5" t="s">
        <v>724</v>
      </c>
      <c r="I145" s="5"/>
      <c r="J145" s="6" t="s">
        <v>9</v>
      </c>
      <c r="K145" s="6" t="s">
        <v>1132</v>
      </c>
      <c r="L145" s="6"/>
      <c r="M145" s="6">
        <v>2</v>
      </c>
      <c r="N145" s="6" t="s">
        <v>104</v>
      </c>
      <c r="O145" s="5" t="s">
        <v>49</v>
      </c>
      <c r="P145" s="6" t="s">
        <v>50</v>
      </c>
      <c r="Q145" s="6" t="s">
        <v>105</v>
      </c>
      <c r="R145" s="4" t="s">
        <v>215</v>
      </c>
      <c r="S145">
        <f t="shared" si="5"/>
        <v>55</v>
      </c>
      <c r="T145">
        <v>0.2</v>
      </c>
    </row>
    <row r="146" spans="1:20" x14ac:dyDescent="0.25">
      <c r="A146" s="765">
        <v>113</v>
      </c>
      <c r="B146" s="765" t="s">
        <v>1402</v>
      </c>
      <c r="C146" s="46" t="s">
        <v>394</v>
      </c>
      <c r="D146" s="207"/>
      <c r="E146" s="2"/>
      <c r="F146" s="2"/>
      <c r="G146" s="2"/>
      <c r="H146" s="2"/>
      <c r="I146" s="2"/>
      <c r="J146" s="3" t="s">
        <v>9</v>
      </c>
      <c r="K146" s="3" t="s">
        <v>1132</v>
      </c>
      <c r="L146" s="3"/>
      <c r="M146" s="3">
        <v>1</v>
      </c>
      <c r="N146" s="3" t="s">
        <v>395</v>
      </c>
      <c r="O146" s="2" t="s">
        <v>49</v>
      </c>
      <c r="P146" s="3"/>
      <c r="Q146" s="3" t="s">
        <v>396</v>
      </c>
      <c r="R146" s="7" t="s">
        <v>215</v>
      </c>
      <c r="S146">
        <f t="shared" si="5"/>
        <v>55</v>
      </c>
      <c r="T146">
        <v>0.2</v>
      </c>
    </row>
    <row r="147" spans="1:20" x14ac:dyDescent="0.25">
      <c r="A147" s="765">
        <v>114</v>
      </c>
      <c r="B147" s="765" t="s">
        <v>1402</v>
      </c>
      <c r="C147" s="47" t="s">
        <v>38</v>
      </c>
      <c r="D147" s="208">
        <v>1000</v>
      </c>
      <c r="E147" s="5" t="s">
        <v>1178</v>
      </c>
      <c r="F147" s="5"/>
      <c r="G147" s="5" t="s">
        <v>1178</v>
      </c>
      <c r="H147" s="5" t="s">
        <v>1178</v>
      </c>
      <c r="I147" s="5"/>
      <c r="J147" s="6" t="s">
        <v>9</v>
      </c>
      <c r="K147" s="6" t="s">
        <v>1132</v>
      </c>
      <c r="L147" s="6"/>
      <c r="M147" s="6">
        <v>1</v>
      </c>
      <c r="N147" s="6" t="s">
        <v>106</v>
      </c>
      <c r="O147" s="5">
        <v>2</v>
      </c>
      <c r="P147" s="6"/>
      <c r="Q147" s="6" t="s">
        <v>107</v>
      </c>
      <c r="R147" s="4" t="s">
        <v>215</v>
      </c>
      <c r="S147">
        <f t="shared" si="5"/>
        <v>55</v>
      </c>
      <c r="T147">
        <v>0.2</v>
      </c>
    </row>
    <row r="148" spans="1:20" x14ac:dyDescent="0.25">
      <c r="A148" s="765">
        <v>115</v>
      </c>
      <c r="B148" s="765" t="s">
        <v>1402</v>
      </c>
      <c r="C148" s="46" t="s">
        <v>397</v>
      </c>
      <c r="D148" s="207"/>
      <c r="E148" s="2"/>
      <c r="F148" s="2"/>
      <c r="G148" s="2"/>
      <c r="H148" s="2"/>
      <c r="I148" s="2"/>
      <c r="J148" s="3" t="s">
        <v>9</v>
      </c>
      <c r="K148" s="3" t="s">
        <v>1131</v>
      </c>
      <c r="L148" s="3"/>
      <c r="M148" s="3">
        <v>1</v>
      </c>
      <c r="N148" s="3" t="s">
        <v>398</v>
      </c>
      <c r="O148" s="2" t="s">
        <v>55</v>
      </c>
      <c r="P148" s="3" t="s">
        <v>50</v>
      </c>
      <c r="Q148" s="3" t="s">
        <v>399</v>
      </c>
      <c r="R148" s="7" t="s">
        <v>215</v>
      </c>
      <c r="S148">
        <f t="shared" si="5"/>
        <v>25</v>
      </c>
      <c r="T148">
        <v>0.2</v>
      </c>
    </row>
    <row r="149" spans="1:20" x14ac:dyDescent="0.25">
      <c r="A149" s="765">
        <v>116</v>
      </c>
      <c r="B149" s="765" t="s">
        <v>1402</v>
      </c>
      <c r="C149" s="47" t="s">
        <v>400</v>
      </c>
      <c r="D149" s="208"/>
      <c r="E149" s="5"/>
      <c r="F149" s="5"/>
      <c r="G149" s="5"/>
      <c r="H149" s="5"/>
      <c r="I149" s="5"/>
      <c r="J149" s="6" t="s">
        <v>9</v>
      </c>
      <c r="K149" s="6"/>
      <c r="L149" s="6"/>
      <c r="M149" s="6">
        <v>1</v>
      </c>
      <c r="N149" s="6" t="s">
        <v>108</v>
      </c>
      <c r="O149" s="5" t="s">
        <v>55</v>
      </c>
      <c r="P149" s="6"/>
      <c r="Q149" s="6" t="s">
        <v>401</v>
      </c>
      <c r="R149" s="7" t="s">
        <v>215</v>
      </c>
      <c r="S149" t="str">
        <f t="shared" si="5"/>
        <v/>
      </c>
      <c r="T149">
        <v>0.2</v>
      </c>
    </row>
    <row r="150" spans="1:20" x14ac:dyDescent="0.25">
      <c r="A150" s="765">
        <v>231</v>
      </c>
      <c r="B150" s="765" t="s">
        <v>1402</v>
      </c>
      <c r="C150" s="46" t="s">
        <v>39</v>
      </c>
      <c r="D150" s="207"/>
      <c r="E150" s="2"/>
      <c r="F150" s="2"/>
      <c r="G150" s="2"/>
      <c r="H150" s="2"/>
      <c r="I150" s="2"/>
      <c r="J150" s="3" t="s">
        <v>9</v>
      </c>
      <c r="K150" s="3"/>
      <c r="L150" s="3"/>
      <c r="M150" s="3">
        <v>1</v>
      </c>
      <c r="N150" s="3" t="s">
        <v>108</v>
      </c>
      <c r="O150" s="2" t="s">
        <v>55</v>
      </c>
      <c r="P150" s="3"/>
      <c r="Q150" s="3" t="s">
        <v>109</v>
      </c>
      <c r="R150" s="4" t="s">
        <v>215</v>
      </c>
      <c r="S150" t="str">
        <f t="shared" si="5"/>
        <v/>
      </c>
      <c r="T150">
        <v>0.2</v>
      </c>
    </row>
    <row r="151" spans="1:20" x14ac:dyDescent="0.25">
      <c r="C151" s="46"/>
      <c r="D151" s="207"/>
      <c r="E151" s="2"/>
      <c r="F151" s="2"/>
      <c r="G151" s="2"/>
      <c r="H151" s="2"/>
      <c r="I151" s="2"/>
      <c r="J151" s="3"/>
      <c r="K151" s="3"/>
      <c r="L151" s="3"/>
      <c r="M151" s="3"/>
      <c r="N151" s="3"/>
      <c r="O151" s="2"/>
      <c r="P151" s="3"/>
      <c r="Q151" s="3"/>
      <c r="R151" s="4"/>
      <c r="S151" t="str">
        <f t="shared" si="5"/>
        <v/>
      </c>
      <c r="T151">
        <v>0.2</v>
      </c>
    </row>
    <row r="152" spans="1:20" x14ac:dyDescent="0.25">
      <c r="A152" s="766">
        <v>41</v>
      </c>
      <c r="B152" s="765" t="s">
        <v>1403</v>
      </c>
      <c r="C152" s="47" t="s">
        <v>402</v>
      </c>
      <c r="D152" s="208"/>
      <c r="E152" s="5" t="s">
        <v>1178</v>
      </c>
      <c r="F152" s="5"/>
      <c r="G152" s="5" t="s">
        <v>1178</v>
      </c>
      <c r="H152" s="5" t="s">
        <v>724</v>
      </c>
      <c r="I152" s="5"/>
      <c r="J152" s="6" t="s">
        <v>143</v>
      </c>
      <c r="K152" s="6" t="s">
        <v>1130</v>
      </c>
      <c r="L152" s="6"/>
      <c r="M152" s="6">
        <v>4</v>
      </c>
      <c r="N152" s="6" t="s">
        <v>44</v>
      </c>
      <c r="O152" s="5" t="s">
        <v>45</v>
      </c>
      <c r="P152" s="6"/>
      <c r="Q152" s="6" t="s">
        <v>46</v>
      </c>
      <c r="R152" s="7" t="s">
        <v>599</v>
      </c>
      <c r="S152">
        <f>IF(K152="S",30,IF(K152="M",50,IF(K152="L",65,"")))</f>
        <v>50</v>
      </c>
      <c r="T152">
        <f>1/8</f>
        <v>0.125</v>
      </c>
    </row>
    <row r="153" spans="1:20" x14ac:dyDescent="0.25">
      <c r="A153" s="765">
        <v>32</v>
      </c>
      <c r="B153" s="765" t="s">
        <v>1403</v>
      </c>
      <c r="C153" s="47" t="s">
        <v>144</v>
      </c>
      <c r="D153" s="208">
        <v>100</v>
      </c>
      <c r="E153" s="5" t="s">
        <v>724</v>
      </c>
      <c r="F153" s="5"/>
      <c r="G153" s="5" t="s">
        <v>724</v>
      </c>
      <c r="H153" s="5" t="s">
        <v>724</v>
      </c>
      <c r="I153" s="5"/>
      <c r="J153" s="6" t="s">
        <v>143</v>
      </c>
      <c r="K153" s="6" t="s">
        <v>1132</v>
      </c>
      <c r="L153" s="6"/>
      <c r="M153" s="6">
        <v>2</v>
      </c>
      <c r="N153" s="6" t="s">
        <v>145</v>
      </c>
      <c r="O153" s="5">
        <v>2</v>
      </c>
      <c r="P153" s="6" t="s">
        <v>50</v>
      </c>
      <c r="Q153" s="6" t="s">
        <v>51</v>
      </c>
      <c r="R153" s="7" t="s">
        <v>599</v>
      </c>
      <c r="S153">
        <f t="shared" ref="S153:S219" si="6">IF(K153="S",30,IF(K153="M",50,IF(K153="L",65,"")))</f>
        <v>65</v>
      </c>
      <c r="T153">
        <f t="shared" ref="T153:T221" si="7">1/8</f>
        <v>0.125</v>
      </c>
    </row>
    <row r="154" spans="1:20" x14ac:dyDescent="0.25">
      <c r="B154" s="765" t="s">
        <v>1403</v>
      </c>
      <c r="C154" s="46" t="s">
        <v>770</v>
      </c>
      <c r="D154" s="207"/>
      <c r="E154" s="2"/>
      <c r="F154" s="2"/>
      <c r="G154" s="2"/>
      <c r="H154" s="2"/>
      <c r="I154" s="2"/>
      <c r="J154" s="3" t="s">
        <v>143</v>
      </c>
      <c r="K154" s="3"/>
      <c r="L154" s="3"/>
      <c r="M154" s="3">
        <v>1</v>
      </c>
      <c r="N154" s="3" t="s">
        <v>772</v>
      </c>
      <c r="O154" s="2" t="s">
        <v>55</v>
      </c>
      <c r="P154" s="3"/>
      <c r="Q154" s="3" t="s">
        <v>771</v>
      </c>
      <c r="R154" s="7" t="s">
        <v>599</v>
      </c>
      <c r="S154" t="str">
        <f t="shared" si="6"/>
        <v/>
      </c>
      <c r="T154">
        <f t="shared" si="7"/>
        <v>0.125</v>
      </c>
    </row>
    <row r="155" spans="1:20" x14ac:dyDescent="0.25">
      <c r="A155" s="765">
        <v>34</v>
      </c>
      <c r="B155" s="765" t="s">
        <v>1403</v>
      </c>
      <c r="C155" s="46" t="s">
        <v>146</v>
      </c>
      <c r="D155" s="207"/>
      <c r="E155" s="2"/>
      <c r="F155" s="2"/>
      <c r="G155" s="2"/>
      <c r="H155" s="2"/>
      <c r="I155" s="2"/>
      <c r="J155" s="3" t="s">
        <v>143</v>
      </c>
      <c r="K155" s="3"/>
      <c r="L155" s="3"/>
      <c r="M155" s="3">
        <v>1</v>
      </c>
      <c r="N155" s="3" t="s">
        <v>147</v>
      </c>
      <c r="O155" s="2" t="s">
        <v>55</v>
      </c>
      <c r="P155" s="3"/>
      <c r="Q155" s="3" t="s">
        <v>148</v>
      </c>
      <c r="R155" s="7" t="s">
        <v>599</v>
      </c>
      <c r="S155" t="str">
        <f t="shared" si="6"/>
        <v/>
      </c>
      <c r="T155">
        <f t="shared" si="7"/>
        <v>0.125</v>
      </c>
    </row>
    <row r="156" spans="1:20" x14ac:dyDescent="0.25">
      <c r="A156" s="765">
        <v>35</v>
      </c>
      <c r="B156" s="765" t="s">
        <v>1403</v>
      </c>
      <c r="C156" s="47" t="s">
        <v>149</v>
      </c>
      <c r="D156" s="208"/>
      <c r="E156" s="5"/>
      <c r="F156" s="5"/>
      <c r="G156" s="5"/>
      <c r="H156" s="5"/>
      <c r="I156" s="5"/>
      <c r="J156" s="6" t="s">
        <v>143</v>
      </c>
      <c r="K156" s="6"/>
      <c r="L156" s="6"/>
      <c r="M156" s="6">
        <v>2</v>
      </c>
      <c r="N156" s="6" t="s">
        <v>150</v>
      </c>
      <c r="O156" s="5" t="s">
        <v>55</v>
      </c>
      <c r="P156" s="6"/>
      <c r="Q156" s="6" t="s">
        <v>151</v>
      </c>
      <c r="R156" s="7" t="s">
        <v>599</v>
      </c>
      <c r="S156" t="str">
        <f t="shared" si="6"/>
        <v/>
      </c>
      <c r="T156">
        <f t="shared" si="7"/>
        <v>0.125</v>
      </c>
    </row>
    <row r="157" spans="1:20" x14ac:dyDescent="0.25">
      <c r="B157" s="765" t="s">
        <v>1403</v>
      </c>
      <c r="C157" s="46" t="s">
        <v>1383</v>
      </c>
      <c r="D157" s="207">
        <v>30</v>
      </c>
      <c r="E157" s="2" t="s">
        <v>1178</v>
      </c>
      <c r="F157" s="2"/>
      <c r="G157" s="2" t="s">
        <v>724</v>
      </c>
      <c r="H157" s="2" t="s">
        <v>1178</v>
      </c>
      <c r="I157" s="2" t="s">
        <v>724</v>
      </c>
      <c r="J157" s="6" t="s">
        <v>143</v>
      </c>
      <c r="K157" s="3" t="s">
        <v>1130</v>
      </c>
      <c r="L157" s="3"/>
      <c r="M157" s="3"/>
      <c r="N157" s="3" t="s">
        <v>1384</v>
      </c>
      <c r="O157" s="2" t="s">
        <v>55</v>
      </c>
      <c r="P157" s="3"/>
      <c r="Q157" s="3" t="s">
        <v>1385</v>
      </c>
      <c r="R157" s="7" t="s">
        <v>599</v>
      </c>
      <c r="S157">
        <v>35</v>
      </c>
      <c r="T157">
        <f t="shared" si="7"/>
        <v>0.125</v>
      </c>
    </row>
    <row r="158" spans="1:20" x14ac:dyDescent="0.25">
      <c r="A158" s="765">
        <v>37</v>
      </c>
      <c r="B158" s="765" t="s">
        <v>1403</v>
      </c>
      <c r="C158" s="46" t="s">
        <v>13</v>
      </c>
      <c r="D158" s="207">
        <v>100</v>
      </c>
      <c r="E158" s="2" t="s">
        <v>724</v>
      </c>
      <c r="F158" s="2"/>
      <c r="G158" s="2" t="s">
        <v>724</v>
      </c>
      <c r="H158" s="2"/>
      <c r="I158" s="2" t="s">
        <v>724</v>
      </c>
      <c r="J158" s="3" t="s">
        <v>143</v>
      </c>
      <c r="K158" s="3" t="s">
        <v>1132</v>
      </c>
      <c r="L158" s="3"/>
      <c r="M158" s="3">
        <v>1</v>
      </c>
      <c r="N158" s="3" t="s">
        <v>54</v>
      </c>
      <c r="O158" s="2" t="s">
        <v>55</v>
      </c>
      <c r="P158" s="3" t="s">
        <v>50</v>
      </c>
      <c r="Q158" s="3" t="s">
        <v>56</v>
      </c>
      <c r="R158" s="7" t="s">
        <v>599</v>
      </c>
      <c r="S158">
        <f t="shared" si="6"/>
        <v>65</v>
      </c>
      <c r="T158">
        <f t="shared" si="7"/>
        <v>0.125</v>
      </c>
    </row>
    <row r="159" spans="1:20" x14ac:dyDescent="0.25">
      <c r="A159" s="765">
        <v>38</v>
      </c>
      <c r="B159" s="765" t="s">
        <v>1403</v>
      </c>
      <c r="C159" s="47" t="s">
        <v>219</v>
      </c>
      <c r="D159" s="208">
        <v>30</v>
      </c>
      <c r="E159" s="5" t="s">
        <v>1178</v>
      </c>
      <c r="F159" s="5"/>
      <c r="G159" s="5" t="s">
        <v>724</v>
      </c>
      <c r="H159" s="5"/>
      <c r="I159" s="5"/>
      <c r="J159" s="6" t="s">
        <v>143</v>
      </c>
      <c r="K159" s="6" t="s">
        <v>1131</v>
      </c>
      <c r="L159" s="6"/>
      <c r="M159" s="6">
        <v>1</v>
      </c>
      <c r="N159" s="6" t="s">
        <v>220</v>
      </c>
      <c r="O159" s="5" t="s">
        <v>55</v>
      </c>
      <c r="P159" s="6"/>
      <c r="Q159" s="6" t="s">
        <v>221</v>
      </c>
      <c r="R159" s="7" t="s">
        <v>599</v>
      </c>
      <c r="S159">
        <f t="shared" si="6"/>
        <v>30</v>
      </c>
      <c r="T159">
        <f t="shared" si="7"/>
        <v>0.125</v>
      </c>
    </row>
    <row r="160" spans="1:20" x14ac:dyDescent="0.25">
      <c r="A160" s="765">
        <v>40</v>
      </c>
      <c r="B160" s="765" t="s">
        <v>1403</v>
      </c>
      <c r="C160" s="46" t="s">
        <v>225</v>
      </c>
      <c r="D160" s="207"/>
      <c r="E160" s="2"/>
      <c r="F160" s="2"/>
      <c r="G160" s="2"/>
      <c r="H160" s="2"/>
      <c r="I160" s="2"/>
      <c r="J160" s="3" t="s">
        <v>143</v>
      </c>
      <c r="K160" s="3"/>
      <c r="L160" s="3"/>
      <c r="M160" s="3">
        <v>1</v>
      </c>
      <c r="N160" s="3" t="s">
        <v>226</v>
      </c>
      <c r="O160" s="2" t="s">
        <v>45</v>
      </c>
      <c r="P160" s="3"/>
      <c r="Q160" s="3" t="s">
        <v>227</v>
      </c>
      <c r="R160" s="7" t="s">
        <v>599</v>
      </c>
      <c r="S160" t="str">
        <f t="shared" si="6"/>
        <v/>
      </c>
      <c r="T160">
        <f t="shared" si="7"/>
        <v>0.125</v>
      </c>
    </row>
    <row r="161" spans="1:20" x14ac:dyDescent="0.25">
      <c r="A161" s="765">
        <v>42</v>
      </c>
      <c r="B161" s="765" t="s">
        <v>1403</v>
      </c>
      <c r="C161" s="46" t="s">
        <v>14</v>
      </c>
      <c r="D161" s="207">
        <v>300</v>
      </c>
      <c r="E161" s="2" t="s">
        <v>724</v>
      </c>
      <c r="F161" s="2"/>
      <c r="G161" s="2" t="s">
        <v>724</v>
      </c>
      <c r="H161" s="2" t="s">
        <v>724</v>
      </c>
      <c r="I161" s="2"/>
      <c r="J161" s="3" t="s">
        <v>143</v>
      </c>
      <c r="K161" s="3" t="s">
        <v>1132</v>
      </c>
      <c r="L161" s="3"/>
      <c r="M161" s="3">
        <v>1</v>
      </c>
      <c r="N161" s="3" t="s">
        <v>57</v>
      </c>
      <c r="O161" s="2" t="s">
        <v>49</v>
      </c>
      <c r="P161" s="3" t="s">
        <v>50</v>
      </c>
      <c r="Q161" s="3" t="s">
        <v>58</v>
      </c>
      <c r="R161" s="7" t="s">
        <v>599</v>
      </c>
      <c r="S161">
        <f t="shared" si="6"/>
        <v>65</v>
      </c>
      <c r="T161">
        <f t="shared" si="7"/>
        <v>0.125</v>
      </c>
    </row>
    <row r="162" spans="1:20" x14ac:dyDescent="0.25">
      <c r="A162" s="765">
        <v>43</v>
      </c>
      <c r="B162" s="765" t="s">
        <v>1403</v>
      </c>
      <c r="C162" s="47" t="s">
        <v>230</v>
      </c>
      <c r="D162" s="208"/>
      <c r="E162" s="5"/>
      <c r="F162" s="5"/>
      <c r="G162" s="5"/>
      <c r="H162" s="5"/>
      <c r="I162" s="5"/>
      <c r="J162" s="6" t="s">
        <v>143</v>
      </c>
      <c r="K162" s="6"/>
      <c r="L162" s="6"/>
      <c r="M162" s="6">
        <v>1</v>
      </c>
      <c r="N162" s="6" t="s">
        <v>231</v>
      </c>
      <c r="O162" s="5" t="s">
        <v>55</v>
      </c>
      <c r="P162" s="6"/>
      <c r="Q162" s="6" t="s">
        <v>232</v>
      </c>
      <c r="R162" s="7" t="s">
        <v>599</v>
      </c>
      <c r="S162" t="str">
        <f t="shared" si="6"/>
        <v/>
      </c>
      <c r="T162">
        <f t="shared" si="7"/>
        <v>0.125</v>
      </c>
    </row>
    <row r="163" spans="1:20" x14ac:dyDescent="0.25">
      <c r="A163" s="765">
        <v>44</v>
      </c>
      <c r="B163" s="765" t="s">
        <v>1403</v>
      </c>
      <c r="C163" s="46" t="s">
        <v>15</v>
      </c>
      <c r="D163" s="207">
        <v>400</v>
      </c>
      <c r="E163" s="2" t="s">
        <v>724</v>
      </c>
      <c r="F163" s="2"/>
      <c r="G163" s="2" t="s">
        <v>1178</v>
      </c>
      <c r="H163" s="2"/>
      <c r="I163" s="2" t="s">
        <v>724</v>
      </c>
      <c r="J163" s="3" t="s">
        <v>143</v>
      </c>
      <c r="K163" s="3" t="s">
        <v>1130</v>
      </c>
      <c r="L163" s="3"/>
      <c r="M163" s="3">
        <v>1</v>
      </c>
      <c r="N163" s="3" t="s">
        <v>59</v>
      </c>
      <c r="O163" s="2" t="s">
        <v>55</v>
      </c>
      <c r="P163" s="3" t="s">
        <v>50</v>
      </c>
      <c r="Q163" s="3" t="s">
        <v>60</v>
      </c>
      <c r="R163" s="7" t="s">
        <v>599</v>
      </c>
      <c r="S163">
        <f t="shared" si="6"/>
        <v>50</v>
      </c>
      <c r="T163">
        <f t="shared" si="7"/>
        <v>0.125</v>
      </c>
    </row>
    <row r="164" spans="1:20" x14ac:dyDescent="0.25">
      <c r="A164" s="765">
        <v>45</v>
      </c>
      <c r="B164" s="765" t="s">
        <v>1403</v>
      </c>
      <c r="C164" s="47" t="s">
        <v>152</v>
      </c>
      <c r="D164" s="208"/>
      <c r="E164" s="5"/>
      <c r="F164" s="5"/>
      <c r="G164" s="5"/>
      <c r="H164" s="5"/>
      <c r="I164" s="5"/>
      <c r="J164" s="6" t="s">
        <v>143</v>
      </c>
      <c r="K164" s="6"/>
      <c r="L164" s="6"/>
      <c r="M164" s="6">
        <v>1</v>
      </c>
      <c r="N164" s="6" t="s">
        <v>153</v>
      </c>
      <c r="O164" s="5" t="s">
        <v>55</v>
      </c>
      <c r="P164" s="6"/>
      <c r="Q164" s="6" t="s">
        <v>154</v>
      </c>
      <c r="R164" s="7" t="s">
        <v>599</v>
      </c>
      <c r="S164" t="str">
        <f t="shared" si="6"/>
        <v/>
      </c>
      <c r="T164">
        <f t="shared" si="7"/>
        <v>0.125</v>
      </c>
    </row>
    <row r="165" spans="1:20" x14ac:dyDescent="0.25">
      <c r="A165" s="765">
        <v>46</v>
      </c>
      <c r="B165" s="765" t="s">
        <v>1403</v>
      </c>
      <c r="C165" s="46" t="s">
        <v>233</v>
      </c>
      <c r="D165" s="207"/>
      <c r="E165" s="2"/>
      <c r="F165" s="2"/>
      <c r="G165" s="2"/>
      <c r="H165" s="2"/>
      <c r="I165" s="2"/>
      <c r="J165" s="3" t="s">
        <v>143</v>
      </c>
      <c r="K165" s="3"/>
      <c r="L165" s="3"/>
      <c r="M165" s="3">
        <v>1</v>
      </c>
      <c r="N165" s="3" t="s">
        <v>234</v>
      </c>
      <c r="O165" s="2" t="s">
        <v>55</v>
      </c>
      <c r="P165" s="3"/>
      <c r="Q165" s="3" t="s">
        <v>235</v>
      </c>
      <c r="R165" s="7" t="s">
        <v>599</v>
      </c>
      <c r="S165" t="str">
        <f t="shared" si="6"/>
        <v/>
      </c>
      <c r="T165">
        <f t="shared" si="7"/>
        <v>0.125</v>
      </c>
    </row>
    <row r="166" spans="1:20" x14ac:dyDescent="0.25">
      <c r="A166" s="765">
        <v>47</v>
      </c>
      <c r="B166" s="765" t="s">
        <v>1403</v>
      </c>
      <c r="C166" s="47" t="s">
        <v>236</v>
      </c>
      <c r="D166" s="208"/>
      <c r="E166" s="5"/>
      <c r="F166" s="5"/>
      <c r="G166" s="5"/>
      <c r="H166" s="5"/>
      <c r="I166" s="5"/>
      <c r="J166" s="6" t="s">
        <v>143</v>
      </c>
      <c r="K166" s="6"/>
      <c r="L166" s="6"/>
      <c r="M166" s="6">
        <v>1</v>
      </c>
      <c r="N166" s="6" t="s">
        <v>237</v>
      </c>
      <c r="O166" s="5" t="s">
        <v>55</v>
      </c>
      <c r="P166" s="6"/>
      <c r="Q166" s="6" t="s">
        <v>238</v>
      </c>
      <c r="R166" s="7" t="s">
        <v>599</v>
      </c>
      <c r="S166" t="str">
        <f t="shared" si="6"/>
        <v/>
      </c>
      <c r="T166">
        <f t="shared" si="7"/>
        <v>0.125</v>
      </c>
    </row>
    <row r="167" spans="1:20" x14ac:dyDescent="0.25">
      <c r="A167" s="765">
        <v>48</v>
      </c>
      <c r="B167" s="765" t="s">
        <v>1403</v>
      </c>
      <c r="C167" s="46" t="s">
        <v>403</v>
      </c>
      <c r="D167" s="207"/>
      <c r="E167" s="2"/>
      <c r="F167" s="2"/>
      <c r="G167" s="2"/>
      <c r="H167" s="2"/>
      <c r="I167" s="2"/>
      <c r="J167" s="3" t="s">
        <v>143</v>
      </c>
      <c r="K167" s="3"/>
      <c r="L167" s="3"/>
      <c r="M167" s="3">
        <v>2</v>
      </c>
      <c r="N167" s="3" t="s">
        <v>404</v>
      </c>
      <c r="O167" s="2" t="s">
        <v>55</v>
      </c>
      <c r="P167" s="3"/>
      <c r="Q167" s="3" t="s">
        <v>405</v>
      </c>
      <c r="R167" s="7" t="s">
        <v>599</v>
      </c>
      <c r="S167" t="str">
        <f t="shared" si="6"/>
        <v/>
      </c>
      <c r="T167">
        <f t="shared" si="7"/>
        <v>0.125</v>
      </c>
    </row>
    <row r="168" spans="1:20" x14ac:dyDescent="0.25">
      <c r="B168" s="765" t="s">
        <v>1403</v>
      </c>
      <c r="C168" s="47" t="s">
        <v>155</v>
      </c>
      <c r="D168" s="208"/>
      <c r="E168" s="5"/>
      <c r="F168" s="5"/>
      <c r="G168" s="5"/>
      <c r="H168" s="5"/>
      <c r="I168" s="5"/>
      <c r="J168" s="6" t="s">
        <v>143</v>
      </c>
      <c r="K168" s="6"/>
      <c r="L168" s="6"/>
      <c r="M168" s="6">
        <v>2</v>
      </c>
      <c r="N168" s="6" t="s">
        <v>156</v>
      </c>
      <c r="O168" s="5" t="s">
        <v>55</v>
      </c>
      <c r="P168" s="6"/>
      <c r="Q168" s="6" t="s">
        <v>157</v>
      </c>
      <c r="R168" s="7" t="s">
        <v>599</v>
      </c>
      <c r="S168" t="str">
        <f t="shared" si="6"/>
        <v/>
      </c>
      <c r="T168">
        <f t="shared" si="7"/>
        <v>0.125</v>
      </c>
    </row>
    <row r="169" spans="1:20" x14ac:dyDescent="0.25">
      <c r="A169" s="765">
        <v>49</v>
      </c>
      <c r="B169" s="765" t="s">
        <v>1403</v>
      </c>
      <c r="C169" s="46" t="s">
        <v>406</v>
      </c>
      <c r="D169" s="207"/>
      <c r="E169" s="2"/>
      <c r="F169" s="2"/>
      <c r="G169" s="2"/>
      <c r="H169" s="2"/>
      <c r="I169" s="2"/>
      <c r="J169" s="3" t="s">
        <v>143</v>
      </c>
      <c r="K169" s="3"/>
      <c r="L169" s="3"/>
      <c r="M169" s="3">
        <v>2</v>
      </c>
      <c r="N169" s="3" t="s">
        <v>407</v>
      </c>
      <c r="O169" s="2">
        <v>2</v>
      </c>
      <c r="P169" s="3"/>
      <c r="Q169" s="3" t="s">
        <v>408</v>
      </c>
      <c r="R169" s="7" t="s">
        <v>599</v>
      </c>
      <c r="S169" t="str">
        <f t="shared" si="6"/>
        <v/>
      </c>
      <c r="T169">
        <f t="shared" si="7"/>
        <v>0.125</v>
      </c>
    </row>
    <row r="170" spans="1:20" x14ac:dyDescent="0.25">
      <c r="A170" s="765">
        <v>51</v>
      </c>
      <c r="B170" s="765" t="s">
        <v>1403</v>
      </c>
      <c r="C170" s="47" t="s">
        <v>242</v>
      </c>
      <c r="D170" s="208"/>
      <c r="E170" s="5"/>
      <c r="F170" s="5"/>
      <c r="G170" s="5"/>
      <c r="H170" s="5"/>
      <c r="I170" s="5"/>
      <c r="J170" s="6" t="s">
        <v>143</v>
      </c>
      <c r="K170" s="6"/>
      <c r="L170" s="6"/>
      <c r="M170" s="6">
        <v>3</v>
      </c>
      <c r="N170" s="6" t="s">
        <v>243</v>
      </c>
      <c r="O170" s="5" t="s">
        <v>55</v>
      </c>
      <c r="P170" s="6"/>
      <c r="Q170" s="6" t="s">
        <v>244</v>
      </c>
      <c r="R170" s="7" t="s">
        <v>599</v>
      </c>
      <c r="S170" t="str">
        <f t="shared" si="6"/>
        <v/>
      </c>
      <c r="T170">
        <f t="shared" si="7"/>
        <v>0.125</v>
      </c>
    </row>
    <row r="171" spans="1:20" x14ac:dyDescent="0.25">
      <c r="A171" s="765">
        <v>327</v>
      </c>
      <c r="B171" s="765" t="s">
        <v>1403</v>
      </c>
      <c r="C171" s="46" t="s">
        <v>985</v>
      </c>
      <c r="D171" s="207"/>
      <c r="E171" s="2"/>
      <c r="F171" s="2"/>
      <c r="G171" s="2"/>
      <c r="H171" s="2"/>
      <c r="I171" s="2"/>
      <c r="J171" s="3" t="s">
        <v>143</v>
      </c>
      <c r="K171" s="3"/>
      <c r="L171" s="3"/>
      <c r="M171" s="3">
        <v>2</v>
      </c>
      <c r="N171" s="3" t="s">
        <v>61</v>
      </c>
      <c r="O171" s="2" t="s">
        <v>55</v>
      </c>
      <c r="P171" s="3" t="s">
        <v>50</v>
      </c>
      <c r="Q171" s="3" t="s">
        <v>62</v>
      </c>
      <c r="R171" s="7" t="s">
        <v>599</v>
      </c>
      <c r="S171" t="str">
        <f t="shared" si="6"/>
        <v/>
      </c>
      <c r="T171">
        <f t="shared" si="7"/>
        <v>0.125</v>
      </c>
    </row>
    <row r="172" spans="1:20" x14ac:dyDescent="0.25">
      <c r="B172" s="765" t="s">
        <v>1403</v>
      </c>
      <c r="C172" s="46" t="s">
        <v>245</v>
      </c>
      <c r="D172" s="207">
        <v>50</v>
      </c>
      <c r="E172" s="2" t="s">
        <v>724</v>
      </c>
      <c r="F172" s="2" t="s">
        <v>724</v>
      </c>
      <c r="G172" s="2" t="s">
        <v>724</v>
      </c>
      <c r="H172" s="2"/>
      <c r="I172" s="2"/>
      <c r="J172" s="3" t="s">
        <v>143</v>
      </c>
      <c r="K172" s="3" t="s">
        <v>1165</v>
      </c>
      <c r="L172" s="3"/>
      <c r="M172" s="3">
        <v>1</v>
      </c>
      <c r="N172" s="3" t="s">
        <v>246</v>
      </c>
      <c r="O172" s="2" t="s">
        <v>55</v>
      </c>
      <c r="P172" s="3"/>
      <c r="Q172" s="3" t="s">
        <v>247</v>
      </c>
      <c r="R172" s="7" t="s">
        <v>599</v>
      </c>
      <c r="S172">
        <f t="shared" si="6"/>
        <v>30</v>
      </c>
      <c r="T172">
        <f t="shared" si="7"/>
        <v>0.125</v>
      </c>
    </row>
    <row r="173" spans="1:20" x14ac:dyDescent="0.25">
      <c r="A173" s="765">
        <v>54</v>
      </c>
      <c r="B173" s="765" t="s">
        <v>1403</v>
      </c>
      <c r="C173" s="47" t="s">
        <v>158</v>
      </c>
      <c r="D173" s="208">
        <v>200</v>
      </c>
      <c r="E173" s="5" t="s">
        <v>724</v>
      </c>
      <c r="F173" s="5"/>
      <c r="G173" s="5" t="s">
        <v>724</v>
      </c>
      <c r="H173" s="5" t="s">
        <v>724</v>
      </c>
      <c r="I173" s="5" t="s">
        <v>724</v>
      </c>
      <c r="J173" s="6" t="s">
        <v>143</v>
      </c>
      <c r="K173" s="6"/>
      <c r="L173" s="6"/>
      <c r="M173" s="6">
        <v>1</v>
      </c>
      <c r="N173" s="6" t="s">
        <v>159</v>
      </c>
      <c r="O173" s="5" t="s">
        <v>49</v>
      </c>
      <c r="P173" s="6"/>
      <c r="Q173" s="6" t="s">
        <v>160</v>
      </c>
      <c r="R173" s="7" t="s">
        <v>599</v>
      </c>
      <c r="S173" t="str">
        <f t="shared" si="6"/>
        <v/>
      </c>
      <c r="T173">
        <f t="shared" si="7"/>
        <v>0.125</v>
      </c>
    </row>
    <row r="174" spans="1:20" x14ac:dyDescent="0.25">
      <c r="A174" s="765">
        <v>55</v>
      </c>
      <c r="B174" s="765" t="s">
        <v>1403</v>
      </c>
      <c r="C174" s="47" t="s">
        <v>1020</v>
      </c>
      <c r="D174" s="208">
        <v>50</v>
      </c>
      <c r="E174" s="5" t="s">
        <v>724</v>
      </c>
      <c r="F174" s="5"/>
      <c r="G174" s="5" t="s">
        <v>724</v>
      </c>
      <c r="H174" s="5"/>
      <c r="I174" s="5"/>
      <c r="J174" s="6" t="s">
        <v>143</v>
      </c>
      <c r="K174" s="6" t="s">
        <v>1130</v>
      </c>
      <c r="L174" s="6"/>
      <c r="M174" s="6">
        <v>2</v>
      </c>
      <c r="N174" s="6" t="s">
        <v>249</v>
      </c>
      <c r="O174" s="5" t="s">
        <v>49</v>
      </c>
      <c r="P174" s="6"/>
      <c r="Q174" s="6" t="s">
        <v>250</v>
      </c>
      <c r="R174" s="7" t="s">
        <v>599</v>
      </c>
      <c r="S174">
        <f t="shared" si="6"/>
        <v>50</v>
      </c>
      <c r="T174">
        <f t="shared" si="7"/>
        <v>0.125</v>
      </c>
    </row>
    <row r="175" spans="1:20" x14ac:dyDescent="0.25">
      <c r="A175" s="765">
        <v>57</v>
      </c>
      <c r="B175" s="765" t="s">
        <v>1403</v>
      </c>
      <c r="C175" s="46" t="s">
        <v>253</v>
      </c>
      <c r="D175" s="207">
        <v>300</v>
      </c>
      <c r="E175" s="2" t="s">
        <v>724</v>
      </c>
      <c r="F175" s="2"/>
      <c r="G175" s="2" t="s">
        <v>724</v>
      </c>
      <c r="H175" s="2" t="s">
        <v>724</v>
      </c>
      <c r="I175" s="2" t="s">
        <v>724</v>
      </c>
      <c r="J175" s="3" t="s">
        <v>143</v>
      </c>
      <c r="K175" s="3" t="s">
        <v>1130</v>
      </c>
      <c r="L175" s="3"/>
      <c r="M175" s="3">
        <v>1</v>
      </c>
      <c r="N175" s="3" t="s">
        <v>254</v>
      </c>
      <c r="O175" s="2" t="s">
        <v>49</v>
      </c>
      <c r="P175" s="3"/>
      <c r="Q175" s="3" t="s">
        <v>255</v>
      </c>
      <c r="R175" s="7" t="s">
        <v>599</v>
      </c>
      <c r="S175">
        <f t="shared" si="6"/>
        <v>50</v>
      </c>
      <c r="T175">
        <f t="shared" si="7"/>
        <v>0.125</v>
      </c>
    </row>
    <row r="176" spans="1:20" x14ac:dyDescent="0.25">
      <c r="A176" s="765">
        <v>58</v>
      </c>
      <c r="B176" s="765" t="s">
        <v>1403</v>
      </c>
      <c r="C176" s="47" t="s">
        <v>17</v>
      </c>
      <c r="D176" s="208">
        <v>300</v>
      </c>
      <c r="E176" s="5" t="s">
        <v>724</v>
      </c>
      <c r="F176" s="5"/>
      <c r="G176" s="5" t="s">
        <v>724</v>
      </c>
      <c r="H176" s="5" t="s">
        <v>724</v>
      </c>
      <c r="I176" s="5"/>
      <c r="J176" s="6" t="s">
        <v>143</v>
      </c>
      <c r="K176" s="6" t="s">
        <v>1132</v>
      </c>
      <c r="L176" s="6"/>
      <c r="M176" s="6">
        <v>1</v>
      </c>
      <c r="N176" s="6" t="s">
        <v>63</v>
      </c>
      <c r="O176" s="5" t="s">
        <v>45</v>
      </c>
      <c r="P176" s="6"/>
      <c r="Q176" s="6" t="s">
        <v>64</v>
      </c>
      <c r="R176" s="7" t="s">
        <v>599</v>
      </c>
      <c r="S176">
        <f t="shared" si="6"/>
        <v>65</v>
      </c>
      <c r="T176">
        <f t="shared" si="7"/>
        <v>0.125</v>
      </c>
    </row>
    <row r="177" spans="1:20" x14ac:dyDescent="0.25">
      <c r="A177" s="765">
        <v>60</v>
      </c>
      <c r="B177" s="765" t="s">
        <v>1403</v>
      </c>
      <c r="C177" s="46" t="s">
        <v>409</v>
      </c>
      <c r="D177" s="207">
        <v>200</v>
      </c>
      <c r="E177" s="2" t="s">
        <v>724</v>
      </c>
      <c r="F177" s="2"/>
      <c r="G177" s="2" t="s">
        <v>724</v>
      </c>
      <c r="H177" s="2" t="s">
        <v>724</v>
      </c>
      <c r="I177" s="2"/>
      <c r="J177" s="3" t="s">
        <v>143</v>
      </c>
      <c r="K177" s="3" t="s">
        <v>1130</v>
      </c>
      <c r="L177" s="3"/>
      <c r="M177" s="3">
        <v>2</v>
      </c>
      <c r="N177" s="3" t="s">
        <v>65</v>
      </c>
      <c r="O177" s="2" t="s">
        <v>55</v>
      </c>
      <c r="P177" s="3"/>
      <c r="Q177" s="3" t="s">
        <v>66</v>
      </c>
      <c r="R177" s="7" t="s">
        <v>599</v>
      </c>
      <c r="S177">
        <f t="shared" si="6"/>
        <v>50</v>
      </c>
      <c r="T177">
        <f t="shared" si="7"/>
        <v>0.125</v>
      </c>
    </row>
    <row r="178" spans="1:20" x14ac:dyDescent="0.25">
      <c r="A178" s="765">
        <v>61</v>
      </c>
      <c r="B178" s="765" t="s">
        <v>1403</v>
      </c>
      <c r="C178" s="47" t="s">
        <v>410</v>
      </c>
      <c r="D178" s="208"/>
      <c r="E178" s="5"/>
      <c r="F178" s="5"/>
      <c r="G178" s="5"/>
      <c r="H178" s="5"/>
      <c r="I178" s="5"/>
      <c r="J178" s="6" t="s">
        <v>143</v>
      </c>
      <c r="K178" s="6"/>
      <c r="L178" s="6"/>
      <c r="M178" s="6">
        <v>3</v>
      </c>
      <c r="N178" s="6" t="s">
        <v>411</v>
      </c>
      <c r="O178" s="5" t="s">
        <v>55</v>
      </c>
      <c r="P178" s="6"/>
      <c r="Q178" s="6" t="s">
        <v>260</v>
      </c>
      <c r="R178" s="7" t="s">
        <v>599</v>
      </c>
      <c r="S178" t="str">
        <f t="shared" si="6"/>
        <v/>
      </c>
      <c r="T178">
        <f t="shared" si="7"/>
        <v>0.125</v>
      </c>
    </row>
    <row r="179" spans="1:20" x14ac:dyDescent="0.25">
      <c r="A179" s="765">
        <v>62</v>
      </c>
      <c r="B179" s="765" t="s">
        <v>1403</v>
      </c>
      <c r="C179" s="46" t="s">
        <v>19</v>
      </c>
      <c r="D179" s="207">
        <v>300</v>
      </c>
      <c r="E179" s="2" t="s">
        <v>724</v>
      </c>
      <c r="F179" s="2"/>
      <c r="G179" s="2" t="s">
        <v>724</v>
      </c>
      <c r="H179" s="2" t="s">
        <v>724</v>
      </c>
      <c r="I179" s="2"/>
      <c r="J179" s="3" t="s">
        <v>143</v>
      </c>
      <c r="K179" s="3" t="s">
        <v>1130</v>
      </c>
      <c r="L179" s="3"/>
      <c r="M179" s="3">
        <v>2</v>
      </c>
      <c r="N179" s="3" t="s">
        <v>67</v>
      </c>
      <c r="O179" s="2">
        <v>2</v>
      </c>
      <c r="P179" s="3"/>
      <c r="Q179" s="3" t="s">
        <v>68</v>
      </c>
      <c r="R179" s="7" t="s">
        <v>599</v>
      </c>
      <c r="S179">
        <f t="shared" si="6"/>
        <v>50</v>
      </c>
      <c r="T179">
        <f t="shared" si="7"/>
        <v>0.125</v>
      </c>
    </row>
    <row r="180" spans="1:20" x14ac:dyDescent="0.25">
      <c r="A180" s="765">
        <v>65</v>
      </c>
      <c r="B180" s="765" t="s">
        <v>1403</v>
      </c>
      <c r="C180" s="47" t="s">
        <v>274</v>
      </c>
      <c r="D180" s="208"/>
      <c r="E180" s="5"/>
      <c r="F180" s="5"/>
      <c r="G180" s="5"/>
      <c r="H180" s="5"/>
      <c r="I180" s="5"/>
      <c r="J180" s="6" t="s">
        <v>143</v>
      </c>
      <c r="K180" s="6"/>
      <c r="L180" s="6"/>
      <c r="M180" s="6">
        <v>1</v>
      </c>
      <c r="N180" s="6" t="s">
        <v>165</v>
      </c>
      <c r="O180" s="5" t="s">
        <v>55</v>
      </c>
      <c r="P180" s="6"/>
      <c r="Q180" s="6" t="s">
        <v>275</v>
      </c>
      <c r="R180" s="7" t="s">
        <v>599</v>
      </c>
      <c r="S180" t="str">
        <f t="shared" si="6"/>
        <v/>
      </c>
      <c r="T180">
        <f t="shared" si="7"/>
        <v>0.125</v>
      </c>
    </row>
    <row r="181" spans="1:20" x14ac:dyDescent="0.25">
      <c r="A181" s="765">
        <v>66</v>
      </c>
      <c r="B181" s="765" t="s">
        <v>1403</v>
      </c>
      <c r="C181" s="46" t="s">
        <v>164</v>
      </c>
      <c r="D181" s="207"/>
      <c r="E181" s="2"/>
      <c r="F181" s="2"/>
      <c r="G181" s="2"/>
      <c r="H181" s="2"/>
      <c r="I181" s="2"/>
      <c r="J181" s="3" t="s">
        <v>143</v>
      </c>
      <c r="K181" s="3"/>
      <c r="L181" s="3"/>
      <c r="M181" s="3">
        <v>1</v>
      </c>
      <c r="N181" s="3" t="s">
        <v>165</v>
      </c>
      <c r="O181" s="2" t="s">
        <v>55</v>
      </c>
      <c r="P181" s="3"/>
      <c r="Q181" s="3" t="s">
        <v>166</v>
      </c>
      <c r="R181" s="7" t="s">
        <v>599</v>
      </c>
      <c r="S181" t="str">
        <f t="shared" si="6"/>
        <v/>
      </c>
      <c r="T181">
        <f t="shared" si="7"/>
        <v>0.125</v>
      </c>
    </row>
    <row r="182" spans="1:20" x14ac:dyDescent="0.25">
      <c r="A182" s="765">
        <v>67</v>
      </c>
      <c r="B182" s="765" t="s">
        <v>1403</v>
      </c>
      <c r="C182" s="47" t="s">
        <v>167</v>
      </c>
      <c r="D182" s="208">
        <v>100</v>
      </c>
      <c r="E182" s="5" t="s">
        <v>724</v>
      </c>
      <c r="F182" s="5"/>
      <c r="G182" s="5" t="s">
        <v>724</v>
      </c>
      <c r="H182" s="5"/>
      <c r="I182" s="5"/>
      <c r="J182" s="6" t="s">
        <v>143</v>
      </c>
      <c r="K182" s="6" t="s">
        <v>1130</v>
      </c>
      <c r="L182" s="6"/>
      <c r="M182" s="6">
        <v>1</v>
      </c>
      <c r="N182" s="6" t="s">
        <v>165</v>
      </c>
      <c r="O182" s="5" t="s">
        <v>55</v>
      </c>
      <c r="P182" s="6"/>
      <c r="Q182" s="6" t="s">
        <v>168</v>
      </c>
      <c r="R182" s="7" t="s">
        <v>599</v>
      </c>
      <c r="S182">
        <f t="shared" si="6"/>
        <v>50</v>
      </c>
      <c r="T182">
        <f t="shared" si="7"/>
        <v>0.125</v>
      </c>
    </row>
    <row r="183" spans="1:20" x14ac:dyDescent="0.25">
      <c r="A183" s="765">
        <v>68</v>
      </c>
      <c r="B183" s="765" t="s">
        <v>1403</v>
      </c>
      <c r="C183" s="47" t="s">
        <v>276</v>
      </c>
      <c r="D183" s="208"/>
      <c r="E183" s="5"/>
      <c r="F183" s="5"/>
      <c r="G183" s="5"/>
      <c r="H183" s="5"/>
      <c r="I183" s="5"/>
      <c r="J183" s="3" t="s">
        <v>143</v>
      </c>
      <c r="K183" s="6" t="s">
        <v>1165</v>
      </c>
      <c r="L183" s="6"/>
      <c r="M183" s="6">
        <v>1</v>
      </c>
      <c r="N183" s="6" t="s">
        <v>1258</v>
      </c>
      <c r="O183" s="5" t="s">
        <v>55</v>
      </c>
      <c r="P183" s="6" t="s">
        <v>1259</v>
      </c>
      <c r="Q183" s="6" t="s">
        <v>277</v>
      </c>
      <c r="R183" s="7" t="s">
        <v>599</v>
      </c>
      <c r="S183">
        <v>30</v>
      </c>
      <c r="T183">
        <f t="shared" si="7"/>
        <v>0.125</v>
      </c>
    </row>
    <row r="184" spans="1:20" x14ac:dyDescent="0.25">
      <c r="A184" s="765">
        <v>69</v>
      </c>
      <c r="B184" s="765" t="s">
        <v>1403</v>
      </c>
      <c r="C184" s="46" t="s">
        <v>20</v>
      </c>
      <c r="D184" s="207"/>
      <c r="E184" s="2"/>
      <c r="F184" s="2"/>
      <c r="G184" s="2"/>
      <c r="H184" s="2"/>
      <c r="I184" s="2"/>
      <c r="J184" s="3" t="s">
        <v>143</v>
      </c>
      <c r="K184" s="3"/>
      <c r="L184" s="3"/>
      <c r="M184" s="3">
        <v>1</v>
      </c>
      <c r="N184" s="3" t="s">
        <v>412</v>
      </c>
      <c r="O184" s="2" t="s">
        <v>55</v>
      </c>
      <c r="P184" s="3"/>
      <c r="Q184" s="3" t="s">
        <v>70</v>
      </c>
      <c r="R184" s="7" t="s">
        <v>599</v>
      </c>
      <c r="S184" t="str">
        <f t="shared" si="6"/>
        <v/>
      </c>
      <c r="T184">
        <f t="shared" si="7"/>
        <v>0.125</v>
      </c>
    </row>
    <row r="185" spans="1:20" x14ac:dyDescent="0.25">
      <c r="A185" s="765">
        <v>211</v>
      </c>
      <c r="B185" s="765" t="s">
        <v>1403</v>
      </c>
      <c r="C185" s="47" t="s">
        <v>413</v>
      </c>
      <c r="D185" s="208"/>
      <c r="E185" s="5"/>
      <c r="F185" s="5"/>
      <c r="G185" s="5"/>
      <c r="H185" s="5"/>
      <c r="I185" s="5"/>
      <c r="J185" s="6" t="s">
        <v>143</v>
      </c>
      <c r="K185" s="6"/>
      <c r="L185" s="6"/>
      <c r="M185" s="6">
        <v>1</v>
      </c>
      <c r="N185" s="6" t="s">
        <v>412</v>
      </c>
      <c r="O185" s="5" t="s">
        <v>55</v>
      </c>
      <c r="P185" s="6"/>
      <c r="Q185" s="6" t="s">
        <v>414</v>
      </c>
      <c r="R185" s="7" t="s">
        <v>599</v>
      </c>
      <c r="S185" t="str">
        <f t="shared" si="6"/>
        <v/>
      </c>
      <c r="T185">
        <f t="shared" si="7"/>
        <v>0.125</v>
      </c>
    </row>
    <row r="186" spans="1:20" x14ac:dyDescent="0.25">
      <c r="A186" s="765">
        <v>212</v>
      </c>
      <c r="B186" s="765" t="s">
        <v>1403</v>
      </c>
      <c r="C186" s="46" t="s">
        <v>415</v>
      </c>
      <c r="D186" s="207"/>
      <c r="E186" s="2"/>
      <c r="F186" s="2"/>
      <c r="G186" s="2"/>
      <c r="H186" s="2"/>
      <c r="I186" s="2"/>
      <c r="J186" s="3" t="s">
        <v>143</v>
      </c>
      <c r="K186" s="3" t="s">
        <v>1132</v>
      </c>
      <c r="L186" s="3"/>
      <c r="M186" s="3">
        <v>1</v>
      </c>
      <c r="N186" s="3" t="s">
        <v>416</v>
      </c>
      <c r="O186" s="2" t="s">
        <v>55</v>
      </c>
      <c r="P186" s="3"/>
      <c r="Q186" s="3" t="s">
        <v>417</v>
      </c>
      <c r="R186" s="7" t="s">
        <v>599</v>
      </c>
      <c r="S186">
        <f t="shared" si="6"/>
        <v>65</v>
      </c>
      <c r="T186">
        <f t="shared" si="7"/>
        <v>0.125</v>
      </c>
    </row>
    <row r="187" spans="1:20" x14ac:dyDescent="0.25">
      <c r="A187" s="765">
        <v>70</v>
      </c>
      <c r="B187" s="765" t="s">
        <v>1403</v>
      </c>
      <c r="C187" s="47" t="s">
        <v>418</v>
      </c>
      <c r="D187" s="208">
        <v>300</v>
      </c>
      <c r="E187" s="5" t="s">
        <v>724</v>
      </c>
      <c r="F187" s="5"/>
      <c r="G187" s="5" t="s">
        <v>724</v>
      </c>
      <c r="H187" s="5"/>
      <c r="I187" s="5"/>
      <c r="J187" s="6" t="s">
        <v>143</v>
      </c>
      <c r="K187" s="6" t="s">
        <v>1132</v>
      </c>
      <c r="L187" s="6"/>
      <c r="M187" s="6">
        <v>1</v>
      </c>
      <c r="N187" s="6" t="s">
        <v>416</v>
      </c>
      <c r="O187" s="5" t="s">
        <v>55</v>
      </c>
      <c r="P187" s="6"/>
      <c r="Q187" s="6" t="s">
        <v>419</v>
      </c>
      <c r="R187" s="7" t="s">
        <v>599</v>
      </c>
      <c r="S187">
        <f t="shared" si="6"/>
        <v>65</v>
      </c>
      <c r="T187">
        <f t="shared" si="7"/>
        <v>0.125</v>
      </c>
    </row>
    <row r="188" spans="1:20" x14ac:dyDescent="0.25">
      <c r="A188" s="765">
        <v>71</v>
      </c>
      <c r="B188" s="765" t="s">
        <v>1403</v>
      </c>
      <c r="C188" s="46" t="s">
        <v>22</v>
      </c>
      <c r="D188" s="207">
        <v>200</v>
      </c>
      <c r="E188" s="2" t="s">
        <v>724</v>
      </c>
      <c r="F188" s="2"/>
      <c r="G188" s="2" t="s">
        <v>724</v>
      </c>
      <c r="H188" s="2"/>
      <c r="I188" s="2"/>
      <c r="J188" s="3" t="s">
        <v>143</v>
      </c>
      <c r="K188" s="3" t="s">
        <v>1132</v>
      </c>
      <c r="L188" s="3"/>
      <c r="M188" s="3">
        <v>1</v>
      </c>
      <c r="N188" s="3" t="s">
        <v>73</v>
      </c>
      <c r="O188" s="2" t="s">
        <v>55</v>
      </c>
      <c r="P188" s="3"/>
      <c r="Q188" s="3" t="s">
        <v>74</v>
      </c>
      <c r="R188" s="7" t="s">
        <v>599</v>
      </c>
      <c r="S188">
        <f t="shared" si="6"/>
        <v>65</v>
      </c>
      <c r="T188">
        <f t="shared" si="7"/>
        <v>0.125</v>
      </c>
    </row>
    <row r="189" spans="1:20" x14ac:dyDescent="0.25">
      <c r="A189" s="765">
        <v>214</v>
      </c>
      <c r="B189" s="765" t="s">
        <v>1403</v>
      </c>
      <c r="C189" s="47" t="s">
        <v>420</v>
      </c>
      <c r="D189" s="208"/>
      <c r="E189" s="5"/>
      <c r="F189" s="5"/>
      <c r="G189" s="5"/>
      <c r="H189" s="5"/>
      <c r="I189" s="5"/>
      <c r="J189" s="6" t="s">
        <v>143</v>
      </c>
      <c r="K189" s="6"/>
      <c r="L189" s="6"/>
      <c r="M189" s="6">
        <v>1</v>
      </c>
      <c r="N189" s="6" t="s">
        <v>73</v>
      </c>
      <c r="O189" s="5" t="s">
        <v>55</v>
      </c>
      <c r="P189" s="6"/>
      <c r="Q189" s="6" t="s">
        <v>421</v>
      </c>
      <c r="R189" s="7" t="s">
        <v>599</v>
      </c>
      <c r="S189" t="str">
        <f t="shared" si="6"/>
        <v/>
      </c>
      <c r="T189">
        <f t="shared" si="7"/>
        <v>0.125</v>
      </c>
    </row>
    <row r="190" spans="1:20" x14ac:dyDescent="0.25">
      <c r="A190" s="765"/>
      <c r="B190" s="765" t="s">
        <v>1403</v>
      </c>
      <c r="C190" s="46" t="s">
        <v>937</v>
      </c>
      <c r="D190" s="207">
        <v>300</v>
      </c>
      <c r="E190" s="2" t="s">
        <v>724</v>
      </c>
      <c r="F190" s="2"/>
      <c r="G190" s="2" t="s">
        <v>724</v>
      </c>
      <c r="H190" s="2"/>
      <c r="I190" s="2"/>
      <c r="J190" s="3" t="s">
        <v>143</v>
      </c>
      <c r="K190" s="3" t="s">
        <v>1132</v>
      </c>
      <c r="L190" s="3"/>
      <c r="M190" s="3">
        <v>1</v>
      </c>
      <c r="N190" s="3" t="s">
        <v>73</v>
      </c>
      <c r="O190" s="2" t="s">
        <v>55</v>
      </c>
      <c r="P190" s="3"/>
      <c r="Q190" s="3" t="s">
        <v>950</v>
      </c>
      <c r="R190" s="7" t="s">
        <v>599</v>
      </c>
      <c r="S190">
        <f t="shared" si="6"/>
        <v>65</v>
      </c>
      <c r="T190">
        <f t="shared" si="7"/>
        <v>0.125</v>
      </c>
    </row>
    <row r="191" spans="1:20" x14ac:dyDescent="0.25">
      <c r="A191" s="765">
        <v>213</v>
      </c>
      <c r="B191" s="765" t="s">
        <v>1403</v>
      </c>
      <c r="C191" s="47" t="s">
        <v>169</v>
      </c>
      <c r="D191" s="208">
        <v>200</v>
      </c>
      <c r="E191" s="5" t="s">
        <v>724</v>
      </c>
      <c r="F191" s="5"/>
      <c r="G191" s="5" t="s">
        <v>724</v>
      </c>
      <c r="H191" s="5"/>
      <c r="I191" s="5"/>
      <c r="J191" s="6" t="s">
        <v>143</v>
      </c>
      <c r="K191" s="6"/>
      <c r="L191" s="6"/>
      <c r="M191" s="6">
        <v>1</v>
      </c>
      <c r="N191" s="6" t="s">
        <v>170</v>
      </c>
      <c r="O191" s="5" t="s">
        <v>55</v>
      </c>
      <c r="P191" s="6"/>
      <c r="Q191" s="6" t="s">
        <v>171</v>
      </c>
      <c r="R191" s="7" t="s">
        <v>599</v>
      </c>
      <c r="S191" t="str">
        <f t="shared" si="6"/>
        <v/>
      </c>
      <c r="T191">
        <f t="shared" si="7"/>
        <v>0.125</v>
      </c>
    </row>
    <row r="192" spans="1:20" x14ac:dyDescent="0.25">
      <c r="B192" s="765" t="s">
        <v>1403</v>
      </c>
      <c r="C192" s="46" t="s">
        <v>983</v>
      </c>
      <c r="D192" s="207">
        <v>300</v>
      </c>
      <c r="E192" s="2" t="s">
        <v>724</v>
      </c>
      <c r="F192" s="2"/>
      <c r="G192" s="2" t="s">
        <v>724</v>
      </c>
      <c r="H192" s="2"/>
      <c r="I192" s="2"/>
      <c r="J192" s="3" t="s">
        <v>143</v>
      </c>
      <c r="K192" s="3" t="s">
        <v>1132</v>
      </c>
      <c r="L192" s="3"/>
      <c r="M192" s="3">
        <v>1</v>
      </c>
      <c r="N192" s="3" t="s">
        <v>73</v>
      </c>
      <c r="O192" s="2" t="s">
        <v>55</v>
      </c>
      <c r="P192" s="3"/>
      <c r="Q192" s="3" t="s">
        <v>984</v>
      </c>
      <c r="R192" s="7" t="s">
        <v>599</v>
      </c>
      <c r="S192">
        <f t="shared" si="6"/>
        <v>65</v>
      </c>
      <c r="T192">
        <f t="shared" si="7"/>
        <v>0.125</v>
      </c>
    </row>
    <row r="193" spans="1:20" x14ac:dyDescent="0.25">
      <c r="A193" s="766">
        <v>218</v>
      </c>
      <c r="B193" s="765" t="s">
        <v>1403</v>
      </c>
      <c r="C193" s="47" t="s">
        <v>422</v>
      </c>
      <c r="D193" s="208"/>
      <c r="E193" s="5"/>
      <c r="F193" s="5"/>
      <c r="G193" s="5"/>
      <c r="H193" s="5"/>
      <c r="I193" s="5"/>
      <c r="J193" s="6" t="s">
        <v>143</v>
      </c>
      <c r="K193" s="6"/>
      <c r="L193" s="6"/>
      <c r="M193" s="6">
        <v>1</v>
      </c>
      <c r="N193" s="6" t="s">
        <v>423</v>
      </c>
      <c r="O193" s="5" t="s">
        <v>55</v>
      </c>
      <c r="P193" s="6"/>
      <c r="Q193" s="6" t="s">
        <v>424</v>
      </c>
      <c r="R193" s="7" t="s">
        <v>599</v>
      </c>
      <c r="S193" t="str">
        <f t="shared" si="6"/>
        <v/>
      </c>
      <c r="T193">
        <f t="shared" si="7"/>
        <v>0.125</v>
      </c>
    </row>
    <row r="194" spans="1:20" x14ac:dyDescent="0.25">
      <c r="A194" s="766">
        <v>72</v>
      </c>
      <c r="B194" s="765" t="s">
        <v>1403</v>
      </c>
      <c r="C194" s="46" t="s">
        <v>23</v>
      </c>
      <c r="D194" s="207">
        <v>400</v>
      </c>
      <c r="E194" s="2" t="s">
        <v>724</v>
      </c>
      <c r="F194" s="2"/>
      <c r="G194" s="2" t="s">
        <v>724</v>
      </c>
      <c r="H194" s="2" t="s">
        <v>1178</v>
      </c>
      <c r="I194" s="2"/>
      <c r="J194" s="3" t="s">
        <v>143</v>
      </c>
      <c r="K194" s="3" t="s">
        <v>1130</v>
      </c>
      <c r="L194" s="3"/>
      <c r="M194" s="3">
        <v>1</v>
      </c>
      <c r="N194" s="3" t="s">
        <v>75</v>
      </c>
      <c r="O194" s="2" t="s">
        <v>49</v>
      </c>
      <c r="P194" s="3" t="s">
        <v>50</v>
      </c>
      <c r="Q194" s="3" t="s">
        <v>76</v>
      </c>
      <c r="R194" s="7" t="s">
        <v>599</v>
      </c>
      <c r="S194">
        <f t="shared" si="6"/>
        <v>50</v>
      </c>
      <c r="T194">
        <f t="shared" si="7"/>
        <v>0.125</v>
      </c>
    </row>
    <row r="195" spans="1:20" x14ac:dyDescent="0.25">
      <c r="A195" s="766">
        <v>219</v>
      </c>
      <c r="B195" s="765" t="s">
        <v>1403</v>
      </c>
      <c r="C195" s="47" t="s">
        <v>425</v>
      </c>
      <c r="D195" s="208"/>
      <c r="E195" s="5"/>
      <c r="F195" s="5"/>
      <c r="G195" s="5"/>
      <c r="H195" s="5"/>
      <c r="I195" s="5"/>
      <c r="J195" s="6" t="s">
        <v>143</v>
      </c>
      <c r="K195" s="6"/>
      <c r="L195" s="6"/>
      <c r="M195" s="6">
        <v>1</v>
      </c>
      <c r="N195" s="6" t="s">
        <v>426</v>
      </c>
      <c r="O195" s="5" t="s">
        <v>55</v>
      </c>
      <c r="P195" s="6"/>
      <c r="Q195" s="6" t="s">
        <v>427</v>
      </c>
      <c r="R195" s="7" t="s">
        <v>599</v>
      </c>
      <c r="S195" t="str">
        <f t="shared" si="6"/>
        <v/>
      </c>
      <c r="T195">
        <f t="shared" si="7"/>
        <v>0.125</v>
      </c>
    </row>
    <row r="196" spans="1:20" x14ac:dyDescent="0.25">
      <c r="A196" s="766">
        <v>73</v>
      </c>
      <c r="B196" s="765" t="s">
        <v>1403</v>
      </c>
      <c r="C196" s="46" t="s">
        <v>428</v>
      </c>
      <c r="D196" s="207"/>
      <c r="E196" s="2"/>
      <c r="F196" s="2"/>
      <c r="G196" s="2"/>
      <c r="H196" s="2"/>
      <c r="I196" s="2"/>
      <c r="J196" s="3" t="s">
        <v>143</v>
      </c>
      <c r="K196" s="3"/>
      <c r="L196" s="3"/>
      <c r="M196" s="3">
        <v>1</v>
      </c>
      <c r="N196" s="3" t="s">
        <v>429</v>
      </c>
      <c r="O196" s="2" t="s">
        <v>55</v>
      </c>
      <c r="P196" s="3"/>
      <c r="Q196" s="3" t="s">
        <v>430</v>
      </c>
      <c r="R196" s="7" t="s">
        <v>599</v>
      </c>
      <c r="S196" t="str">
        <f t="shared" si="6"/>
        <v/>
      </c>
      <c r="T196">
        <f t="shared" si="7"/>
        <v>0.125</v>
      </c>
    </row>
    <row r="197" spans="1:20" x14ac:dyDescent="0.25">
      <c r="A197" s="766">
        <v>220</v>
      </c>
      <c r="B197" s="765" t="s">
        <v>1403</v>
      </c>
      <c r="C197" s="47" t="s">
        <v>431</v>
      </c>
      <c r="D197" s="208"/>
      <c r="E197" s="5"/>
      <c r="F197" s="5"/>
      <c r="G197" s="5"/>
      <c r="H197" s="5"/>
      <c r="I197" s="5"/>
      <c r="J197" s="6" t="s">
        <v>143</v>
      </c>
      <c r="K197" s="6"/>
      <c r="L197" s="6"/>
      <c r="M197" s="6">
        <v>1</v>
      </c>
      <c r="N197" s="6" t="s">
        <v>190</v>
      </c>
      <c r="O197" s="5" t="s">
        <v>55</v>
      </c>
      <c r="P197" s="6"/>
      <c r="Q197" s="6" t="s">
        <v>432</v>
      </c>
      <c r="R197" s="7" t="s">
        <v>599</v>
      </c>
      <c r="S197" t="str">
        <f t="shared" si="6"/>
        <v/>
      </c>
      <c r="T197">
        <f t="shared" si="7"/>
        <v>0.125</v>
      </c>
    </row>
    <row r="198" spans="1:20" x14ac:dyDescent="0.25">
      <c r="A198" s="766">
        <v>221</v>
      </c>
      <c r="B198" s="765" t="s">
        <v>1403</v>
      </c>
      <c r="C198" s="46" t="s">
        <v>172</v>
      </c>
      <c r="D198" s="207">
        <v>200</v>
      </c>
      <c r="E198" s="2" t="s">
        <v>724</v>
      </c>
      <c r="F198" s="2"/>
      <c r="G198" s="2" t="s">
        <v>724</v>
      </c>
      <c r="H198" s="2" t="s">
        <v>1178</v>
      </c>
      <c r="I198" s="2"/>
      <c r="J198" s="3" t="s">
        <v>143</v>
      </c>
      <c r="K198" s="3" t="s">
        <v>1130</v>
      </c>
      <c r="L198" s="3"/>
      <c r="M198" s="3">
        <v>1</v>
      </c>
      <c r="N198" s="3" t="s">
        <v>173</v>
      </c>
      <c r="O198" s="2" t="s">
        <v>49</v>
      </c>
      <c r="P198" s="3"/>
      <c r="Q198" s="3" t="s">
        <v>174</v>
      </c>
      <c r="R198" s="7" t="s">
        <v>599</v>
      </c>
      <c r="S198">
        <f t="shared" si="6"/>
        <v>50</v>
      </c>
      <c r="T198">
        <f t="shared" si="7"/>
        <v>0.125</v>
      </c>
    </row>
    <row r="199" spans="1:20" x14ac:dyDescent="0.25">
      <c r="B199" s="765" t="s">
        <v>1403</v>
      </c>
      <c r="C199" s="47" t="s">
        <v>433</v>
      </c>
      <c r="D199" s="208">
        <v>50</v>
      </c>
      <c r="E199" s="5" t="s">
        <v>724</v>
      </c>
      <c r="F199" s="5"/>
      <c r="G199" s="5" t="s">
        <v>724</v>
      </c>
      <c r="H199" s="5"/>
      <c r="I199" s="5"/>
      <c r="J199" s="6" t="s">
        <v>143</v>
      </c>
      <c r="K199" s="6" t="s">
        <v>1132</v>
      </c>
      <c r="L199" s="6"/>
      <c r="M199" s="6">
        <v>1</v>
      </c>
      <c r="N199" s="6" t="s">
        <v>434</v>
      </c>
      <c r="O199" s="5" t="s">
        <v>55</v>
      </c>
      <c r="P199" s="6"/>
      <c r="Q199" s="6" t="s">
        <v>435</v>
      </c>
      <c r="R199" s="7" t="s">
        <v>599</v>
      </c>
      <c r="S199">
        <f t="shared" si="6"/>
        <v>65</v>
      </c>
      <c r="T199">
        <f t="shared" si="7"/>
        <v>0.125</v>
      </c>
    </row>
    <row r="200" spans="1:20" x14ac:dyDescent="0.25">
      <c r="B200" s="765" t="s">
        <v>1403</v>
      </c>
      <c r="C200" s="46" t="s">
        <v>178</v>
      </c>
      <c r="D200" s="207"/>
      <c r="E200" s="2"/>
      <c r="F200" s="2"/>
      <c r="G200" s="2"/>
      <c r="H200" s="2"/>
      <c r="I200" s="2"/>
      <c r="J200" s="3" t="s">
        <v>143</v>
      </c>
      <c r="K200" s="3"/>
      <c r="L200" s="3"/>
      <c r="M200" s="3">
        <v>1</v>
      </c>
      <c r="N200" s="3" t="s">
        <v>71</v>
      </c>
      <c r="O200" s="2" t="s">
        <v>55</v>
      </c>
      <c r="P200" s="3"/>
      <c r="Q200" s="3" t="s">
        <v>179</v>
      </c>
      <c r="R200" s="7" t="s">
        <v>599</v>
      </c>
      <c r="S200" t="str">
        <f t="shared" si="6"/>
        <v/>
      </c>
      <c r="T200">
        <f t="shared" si="7"/>
        <v>0.125</v>
      </c>
    </row>
    <row r="201" spans="1:20" x14ac:dyDescent="0.25">
      <c r="A201" s="766">
        <v>74</v>
      </c>
      <c r="B201" s="765" t="s">
        <v>1403</v>
      </c>
      <c r="C201" s="47" t="s">
        <v>24</v>
      </c>
      <c r="D201" s="208">
        <v>200</v>
      </c>
      <c r="E201" s="5" t="s">
        <v>724</v>
      </c>
      <c r="F201" s="5"/>
      <c r="G201" s="5" t="s">
        <v>724</v>
      </c>
      <c r="H201" s="5" t="s">
        <v>724</v>
      </c>
      <c r="I201" s="5"/>
      <c r="J201" s="6" t="s">
        <v>143</v>
      </c>
      <c r="K201" s="6" t="s">
        <v>1132</v>
      </c>
      <c r="L201" s="6"/>
      <c r="M201" s="6">
        <v>1</v>
      </c>
      <c r="N201" s="6" t="s">
        <v>71</v>
      </c>
      <c r="O201" s="5">
        <v>2</v>
      </c>
      <c r="P201" s="6"/>
      <c r="Q201" s="6" t="s">
        <v>436</v>
      </c>
      <c r="R201" s="7" t="s">
        <v>599</v>
      </c>
      <c r="S201">
        <f t="shared" si="6"/>
        <v>65</v>
      </c>
      <c r="T201">
        <f t="shared" si="7"/>
        <v>0.125</v>
      </c>
    </row>
    <row r="202" spans="1:20" x14ac:dyDescent="0.25">
      <c r="B202" s="765" t="s">
        <v>1403</v>
      </c>
      <c r="C202" s="47" t="s">
        <v>802</v>
      </c>
      <c r="D202" s="208"/>
      <c r="E202" s="5"/>
      <c r="F202" s="5"/>
      <c r="G202" s="5"/>
      <c r="H202" s="5"/>
      <c r="I202" s="5"/>
      <c r="J202" s="6" t="s">
        <v>143</v>
      </c>
      <c r="K202" s="6"/>
      <c r="L202" s="6"/>
      <c r="M202" s="6">
        <v>1</v>
      </c>
      <c r="N202" s="6" t="s">
        <v>71</v>
      </c>
      <c r="O202" s="5">
        <v>2</v>
      </c>
      <c r="P202" s="6"/>
      <c r="Q202" s="6" t="s">
        <v>861</v>
      </c>
      <c r="R202" s="7" t="s">
        <v>599</v>
      </c>
      <c r="S202" t="str">
        <f t="shared" si="6"/>
        <v/>
      </c>
      <c r="T202">
        <f t="shared" si="7"/>
        <v>0.125</v>
      </c>
    </row>
    <row r="203" spans="1:20" x14ac:dyDescent="0.25">
      <c r="A203" s="766">
        <v>75</v>
      </c>
      <c r="B203" s="765" t="s">
        <v>1403</v>
      </c>
      <c r="C203" s="46" t="s">
        <v>288</v>
      </c>
      <c r="D203" s="207"/>
      <c r="E203" s="2"/>
      <c r="F203" s="2"/>
      <c r="G203" s="2"/>
      <c r="H203" s="2"/>
      <c r="I203" s="2"/>
      <c r="J203" s="3" t="s">
        <v>143</v>
      </c>
      <c r="K203" s="3"/>
      <c r="L203" s="3"/>
      <c r="M203" s="3">
        <v>1</v>
      </c>
      <c r="N203" s="3" t="s">
        <v>71</v>
      </c>
      <c r="O203" s="2">
        <v>2</v>
      </c>
      <c r="P203" s="3"/>
      <c r="Q203" s="3" t="s">
        <v>289</v>
      </c>
      <c r="R203" s="7" t="s">
        <v>599</v>
      </c>
      <c r="S203" t="str">
        <f t="shared" si="6"/>
        <v/>
      </c>
      <c r="T203">
        <f t="shared" si="7"/>
        <v>0.125</v>
      </c>
    </row>
    <row r="204" spans="1:20" x14ac:dyDescent="0.25">
      <c r="A204" s="766">
        <v>223</v>
      </c>
      <c r="B204" s="765" t="s">
        <v>1403</v>
      </c>
      <c r="C204" s="47" t="s">
        <v>180</v>
      </c>
      <c r="D204" s="208"/>
      <c r="E204" s="5"/>
      <c r="F204" s="5"/>
      <c r="G204" s="5"/>
      <c r="H204" s="5"/>
      <c r="I204" s="5"/>
      <c r="J204" s="6" t="s">
        <v>143</v>
      </c>
      <c r="K204" s="6"/>
      <c r="L204" s="6"/>
      <c r="M204" s="6">
        <v>1</v>
      </c>
      <c r="N204" s="6" t="s">
        <v>71</v>
      </c>
      <c r="O204" s="5">
        <v>2</v>
      </c>
      <c r="P204" s="6"/>
      <c r="Q204" s="6" t="s">
        <v>181</v>
      </c>
      <c r="R204" s="7" t="s">
        <v>599</v>
      </c>
      <c r="S204" t="str">
        <f t="shared" si="6"/>
        <v/>
      </c>
      <c r="T204">
        <f t="shared" si="7"/>
        <v>0.125</v>
      </c>
    </row>
    <row r="205" spans="1:20" x14ac:dyDescent="0.25">
      <c r="A205" s="766">
        <v>76</v>
      </c>
      <c r="B205" s="765" t="s">
        <v>1403</v>
      </c>
      <c r="C205" s="47" t="s">
        <v>1318</v>
      </c>
      <c r="D205" s="208">
        <v>300</v>
      </c>
      <c r="E205" s="5" t="s">
        <v>724</v>
      </c>
      <c r="F205" s="5"/>
      <c r="G205" s="5" t="s">
        <v>724</v>
      </c>
      <c r="H205" s="5" t="s">
        <v>724</v>
      </c>
      <c r="I205" s="5"/>
      <c r="J205" s="6" t="s">
        <v>143</v>
      </c>
      <c r="K205" s="6" t="s">
        <v>1130</v>
      </c>
      <c r="L205" s="6"/>
      <c r="M205" s="6">
        <v>2</v>
      </c>
      <c r="N205" s="6" t="s">
        <v>78</v>
      </c>
      <c r="O205" s="5" t="s">
        <v>55</v>
      </c>
      <c r="P205" s="6" t="s">
        <v>50</v>
      </c>
      <c r="Q205" s="6" t="s">
        <v>79</v>
      </c>
      <c r="R205" s="7" t="s">
        <v>599</v>
      </c>
      <c r="S205">
        <f t="shared" si="6"/>
        <v>50</v>
      </c>
      <c r="T205">
        <f t="shared" si="7"/>
        <v>0.125</v>
      </c>
    </row>
    <row r="206" spans="1:20" x14ac:dyDescent="0.25">
      <c r="A206" s="766">
        <v>77</v>
      </c>
      <c r="B206" s="765" t="s">
        <v>1403</v>
      </c>
      <c r="C206" s="46" t="s">
        <v>437</v>
      </c>
      <c r="D206" s="207"/>
      <c r="E206" s="2"/>
      <c r="F206" s="2"/>
      <c r="G206" s="2"/>
      <c r="H206" s="2"/>
      <c r="I206" s="2"/>
      <c r="J206" s="3" t="s">
        <v>143</v>
      </c>
      <c r="K206" s="3"/>
      <c r="L206" s="3"/>
      <c r="M206" s="3">
        <v>2</v>
      </c>
      <c r="N206" s="3" t="s">
        <v>291</v>
      </c>
      <c r="O206" s="2" t="s">
        <v>55</v>
      </c>
      <c r="P206" s="3"/>
      <c r="Q206" s="3" t="s">
        <v>292</v>
      </c>
      <c r="R206" s="7" t="s">
        <v>599</v>
      </c>
      <c r="S206" t="str">
        <f t="shared" si="6"/>
        <v/>
      </c>
      <c r="T206">
        <f t="shared" si="7"/>
        <v>0.125</v>
      </c>
    </row>
    <row r="207" spans="1:20" x14ac:dyDescent="0.25">
      <c r="A207" s="766">
        <v>224</v>
      </c>
      <c r="B207" s="765" t="s">
        <v>1403</v>
      </c>
      <c r="C207" s="47" t="s">
        <v>26</v>
      </c>
      <c r="D207" s="208"/>
      <c r="E207" s="5"/>
      <c r="F207" s="5"/>
      <c r="G207" s="5"/>
      <c r="H207" s="5"/>
      <c r="I207" s="5"/>
      <c r="J207" s="6" t="s">
        <v>143</v>
      </c>
      <c r="K207" s="6"/>
      <c r="L207" s="6"/>
      <c r="M207" s="6">
        <v>3</v>
      </c>
      <c r="N207" s="6" t="s">
        <v>80</v>
      </c>
      <c r="O207" s="5" t="s">
        <v>55</v>
      </c>
      <c r="P207" s="6" t="s">
        <v>50</v>
      </c>
      <c r="Q207" s="6" t="s">
        <v>81</v>
      </c>
      <c r="R207" s="7" t="s">
        <v>599</v>
      </c>
      <c r="S207" t="str">
        <f t="shared" si="6"/>
        <v/>
      </c>
      <c r="T207">
        <f t="shared" si="7"/>
        <v>0.125</v>
      </c>
    </row>
    <row r="208" spans="1:20" x14ac:dyDescent="0.25">
      <c r="A208" s="765">
        <v>79</v>
      </c>
      <c r="B208" s="765" t="s">
        <v>1403</v>
      </c>
      <c r="C208" s="46" t="s">
        <v>27</v>
      </c>
      <c r="D208" s="207">
        <v>500</v>
      </c>
      <c r="E208" s="2" t="s">
        <v>1178</v>
      </c>
      <c r="F208" s="2"/>
      <c r="G208" s="2" t="s">
        <v>724</v>
      </c>
      <c r="H208" s="2" t="s">
        <v>724</v>
      </c>
      <c r="I208" s="2"/>
      <c r="J208" s="3" t="s">
        <v>143</v>
      </c>
      <c r="K208" s="3" t="s">
        <v>1130</v>
      </c>
      <c r="L208" s="3"/>
      <c r="M208" s="3">
        <v>1</v>
      </c>
      <c r="N208" s="3" t="s">
        <v>82</v>
      </c>
      <c r="O208" s="2" t="s">
        <v>55</v>
      </c>
      <c r="P208" s="3"/>
      <c r="Q208" s="3" t="s">
        <v>83</v>
      </c>
      <c r="R208" s="7" t="s">
        <v>599</v>
      </c>
      <c r="S208">
        <f t="shared" si="6"/>
        <v>50</v>
      </c>
      <c r="T208">
        <f t="shared" si="7"/>
        <v>0.125</v>
      </c>
    </row>
    <row r="209" spans="1:20" x14ac:dyDescent="0.25">
      <c r="B209" s="765" t="s">
        <v>1403</v>
      </c>
      <c r="C209" s="46" t="s">
        <v>1386</v>
      </c>
      <c r="D209" s="207"/>
      <c r="E209" s="2"/>
      <c r="F209" s="2"/>
      <c r="G209" s="2"/>
      <c r="H209" s="2"/>
      <c r="I209" s="2"/>
      <c r="J209" s="3" t="s">
        <v>143</v>
      </c>
      <c r="K209" s="3" t="s">
        <v>1130</v>
      </c>
      <c r="L209" s="3"/>
      <c r="M209" s="6">
        <v>1</v>
      </c>
      <c r="N209" s="3" t="s">
        <v>1388</v>
      </c>
      <c r="O209" s="5" t="s">
        <v>55</v>
      </c>
      <c r="P209" s="3"/>
      <c r="Q209" s="3" t="s">
        <v>1387</v>
      </c>
      <c r="R209" s="7" t="s">
        <v>599</v>
      </c>
      <c r="S209">
        <v>50</v>
      </c>
      <c r="T209">
        <f t="shared" si="7"/>
        <v>0.125</v>
      </c>
    </row>
    <row r="210" spans="1:20" x14ac:dyDescent="0.25">
      <c r="A210" s="765">
        <v>225</v>
      </c>
      <c r="B210" s="765" t="s">
        <v>1403</v>
      </c>
      <c r="C210" s="47" t="s">
        <v>438</v>
      </c>
      <c r="D210" s="208"/>
      <c r="E210" s="5"/>
      <c r="F210" s="5"/>
      <c r="G210" s="5"/>
      <c r="H210" s="5"/>
      <c r="I210" s="5"/>
      <c r="J210" s="6" t="s">
        <v>143</v>
      </c>
      <c r="K210" s="6"/>
      <c r="L210" s="6"/>
      <c r="M210" s="6">
        <v>1</v>
      </c>
      <c r="N210" s="6" t="s">
        <v>439</v>
      </c>
      <c r="O210" s="5" t="s">
        <v>55</v>
      </c>
      <c r="P210" s="6"/>
      <c r="Q210" s="6" t="s">
        <v>440</v>
      </c>
      <c r="R210" s="7" t="s">
        <v>599</v>
      </c>
      <c r="S210" t="str">
        <f t="shared" si="6"/>
        <v/>
      </c>
      <c r="T210">
        <f t="shared" si="7"/>
        <v>0.125</v>
      </c>
    </row>
    <row r="211" spans="1:20" x14ac:dyDescent="0.25">
      <c r="A211" s="765">
        <v>226</v>
      </c>
      <c r="B211" s="765" t="s">
        <v>1403</v>
      </c>
      <c r="C211" s="46" t="s">
        <v>299</v>
      </c>
      <c r="D211" s="207">
        <v>50</v>
      </c>
      <c r="E211" s="2" t="s">
        <v>724</v>
      </c>
      <c r="F211" s="2"/>
      <c r="G211" s="2" t="s">
        <v>724</v>
      </c>
      <c r="H211" s="2"/>
      <c r="I211" s="2"/>
      <c r="J211" s="3" t="s">
        <v>143</v>
      </c>
      <c r="K211" s="3" t="s">
        <v>1132</v>
      </c>
      <c r="L211" s="3"/>
      <c r="M211" s="3">
        <v>1</v>
      </c>
      <c r="N211" s="3" t="s">
        <v>300</v>
      </c>
      <c r="O211" s="2" t="s">
        <v>55</v>
      </c>
      <c r="P211" s="3"/>
      <c r="Q211" s="3" t="s">
        <v>441</v>
      </c>
      <c r="R211" s="7" t="s">
        <v>599</v>
      </c>
      <c r="S211">
        <f t="shared" si="6"/>
        <v>65</v>
      </c>
      <c r="T211">
        <f t="shared" si="7"/>
        <v>0.125</v>
      </c>
    </row>
    <row r="212" spans="1:20" x14ac:dyDescent="0.25">
      <c r="A212" s="765">
        <v>227</v>
      </c>
      <c r="B212" s="765" t="s">
        <v>1403</v>
      </c>
      <c r="C212" s="47" t="s">
        <v>442</v>
      </c>
      <c r="D212" s="208"/>
      <c r="E212" s="5"/>
      <c r="F212" s="5"/>
      <c r="G212" s="5"/>
      <c r="H212" s="5"/>
      <c r="I212" s="5"/>
      <c r="J212" s="6" t="s">
        <v>143</v>
      </c>
      <c r="K212" s="6" t="s">
        <v>1132</v>
      </c>
      <c r="L212" s="6"/>
      <c r="M212" s="6">
        <v>1</v>
      </c>
      <c r="N212" s="6" t="s">
        <v>443</v>
      </c>
      <c r="O212" s="5" t="s">
        <v>55</v>
      </c>
      <c r="P212" s="6"/>
      <c r="Q212" s="6" t="s">
        <v>444</v>
      </c>
      <c r="R212" s="7" t="s">
        <v>599</v>
      </c>
      <c r="S212">
        <f t="shared" si="6"/>
        <v>65</v>
      </c>
      <c r="T212">
        <f t="shared" si="7"/>
        <v>0.125</v>
      </c>
    </row>
    <row r="213" spans="1:20" x14ac:dyDescent="0.25">
      <c r="A213" s="765">
        <v>80</v>
      </c>
      <c r="B213" s="765" t="s">
        <v>1403</v>
      </c>
      <c r="C213" s="47" t="s">
        <v>301</v>
      </c>
      <c r="D213" s="208"/>
      <c r="E213" s="5"/>
      <c r="F213" s="5"/>
      <c r="G213" s="5"/>
      <c r="H213" s="5"/>
      <c r="I213" s="5"/>
      <c r="J213" s="6" t="s">
        <v>143</v>
      </c>
      <c r="K213" s="6" t="s">
        <v>1130</v>
      </c>
      <c r="L213" s="6"/>
      <c r="M213" s="6">
        <v>2</v>
      </c>
      <c r="N213" s="6" t="s">
        <v>1328</v>
      </c>
      <c r="O213" s="5" t="s">
        <v>55</v>
      </c>
      <c r="P213" s="6"/>
      <c r="Q213" s="6" t="s">
        <v>302</v>
      </c>
      <c r="R213" s="7" t="s">
        <v>599</v>
      </c>
      <c r="S213">
        <f t="shared" si="6"/>
        <v>50</v>
      </c>
      <c r="T213">
        <f t="shared" si="7"/>
        <v>0.125</v>
      </c>
    </row>
    <row r="214" spans="1:20" x14ac:dyDescent="0.25">
      <c r="B214" s="765" t="s">
        <v>1403</v>
      </c>
      <c r="C214" s="47" t="s">
        <v>303</v>
      </c>
      <c r="D214" s="208"/>
      <c r="E214" s="5"/>
      <c r="F214" s="5"/>
      <c r="G214" s="5"/>
      <c r="H214" s="5"/>
      <c r="I214" s="5"/>
      <c r="J214" s="6" t="s">
        <v>143</v>
      </c>
      <c r="K214" s="6"/>
      <c r="L214" s="6"/>
      <c r="M214" s="6">
        <v>3</v>
      </c>
      <c r="N214" s="6" t="s">
        <v>84</v>
      </c>
      <c r="O214" s="5">
        <v>1</v>
      </c>
      <c r="P214" s="6"/>
      <c r="Q214" s="6" t="s">
        <v>304</v>
      </c>
      <c r="R214" s="7" t="s">
        <v>599</v>
      </c>
      <c r="S214" t="str">
        <f t="shared" si="6"/>
        <v/>
      </c>
      <c r="T214">
        <f t="shared" si="7"/>
        <v>0.125</v>
      </c>
    </row>
    <row r="215" spans="1:20" x14ac:dyDescent="0.25">
      <c r="B215" s="765" t="s">
        <v>1403</v>
      </c>
      <c r="C215" s="46" t="s">
        <v>182</v>
      </c>
      <c r="D215" s="207"/>
      <c r="E215" s="2"/>
      <c r="F215" s="2"/>
      <c r="G215" s="2"/>
      <c r="H215" s="2"/>
      <c r="I215" s="2"/>
      <c r="J215" s="3" t="s">
        <v>143</v>
      </c>
      <c r="K215" s="3"/>
      <c r="L215" s="3"/>
      <c r="M215" s="3">
        <v>3</v>
      </c>
      <c r="N215" s="3" t="s">
        <v>183</v>
      </c>
      <c r="O215" s="2" t="s">
        <v>55</v>
      </c>
      <c r="P215" s="3"/>
      <c r="Q215" s="3" t="s">
        <v>184</v>
      </c>
      <c r="R215" s="7" t="s">
        <v>599</v>
      </c>
      <c r="S215" t="str">
        <f t="shared" si="6"/>
        <v/>
      </c>
      <c r="T215">
        <f t="shared" si="7"/>
        <v>0.125</v>
      </c>
    </row>
    <row r="216" spans="1:20" x14ac:dyDescent="0.25">
      <c r="A216" s="765">
        <v>81</v>
      </c>
      <c r="B216" s="765" t="s">
        <v>1403</v>
      </c>
      <c r="C216" s="47" t="s">
        <v>305</v>
      </c>
      <c r="D216" s="208"/>
      <c r="E216" s="5"/>
      <c r="F216" s="5"/>
      <c r="G216" s="5"/>
      <c r="H216" s="5"/>
      <c r="I216" s="5"/>
      <c r="J216" s="6" t="s">
        <v>143</v>
      </c>
      <c r="K216" s="6"/>
      <c r="L216" s="6"/>
      <c r="M216" s="6">
        <v>2</v>
      </c>
      <c r="N216" s="6" t="s">
        <v>306</v>
      </c>
      <c r="O216" s="5" t="s">
        <v>55</v>
      </c>
      <c r="P216" s="6" t="s">
        <v>50</v>
      </c>
      <c r="Q216" s="6" t="s">
        <v>307</v>
      </c>
      <c r="R216" s="7" t="s">
        <v>599</v>
      </c>
      <c r="S216" t="str">
        <f t="shared" si="6"/>
        <v/>
      </c>
      <c r="T216">
        <f t="shared" si="7"/>
        <v>0.125</v>
      </c>
    </row>
    <row r="217" spans="1:20" x14ac:dyDescent="0.25">
      <c r="A217" s="765">
        <v>228</v>
      </c>
      <c r="B217" s="765" t="s">
        <v>1403</v>
      </c>
      <c r="C217" s="46" t="s">
        <v>308</v>
      </c>
      <c r="D217" s="207"/>
      <c r="E217" s="2"/>
      <c r="F217" s="2"/>
      <c r="G217" s="2"/>
      <c r="H217" s="2"/>
      <c r="I217" s="2"/>
      <c r="J217" s="3" t="s">
        <v>143</v>
      </c>
      <c r="K217" s="3"/>
      <c r="L217" s="3"/>
      <c r="M217" s="3">
        <v>1</v>
      </c>
      <c r="N217" s="3" t="s">
        <v>309</v>
      </c>
      <c r="O217" s="2" t="s">
        <v>55</v>
      </c>
      <c r="P217" s="3"/>
      <c r="Q217" s="3" t="s">
        <v>310</v>
      </c>
      <c r="R217" s="7" t="s">
        <v>599</v>
      </c>
      <c r="S217" t="str">
        <f t="shared" si="6"/>
        <v/>
      </c>
      <c r="T217">
        <f t="shared" si="7"/>
        <v>0.125</v>
      </c>
    </row>
    <row r="218" spans="1:20" x14ac:dyDescent="0.25">
      <c r="A218" s="765">
        <v>82</v>
      </c>
      <c r="B218" s="765" t="s">
        <v>1403</v>
      </c>
      <c r="C218" s="47" t="s">
        <v>29</v>
      </c>
      <c r="D218" s="208"/>
      <c r="E218" s="5"/>
      <c r="F218" s="5"/>
      <c r="G218" s="5"/>
      <c r="H218" s="5"/>
      <c r="I218" s="5"/>
      <c r="J218" s="6" t="s">
        <v>143</v>
      </c>
      <c r="K218" s="6" t="s">
        <v>1130</v>
      </c>
      <c r="L218" s="6"/>
      <c r="M218" s="6">
        <v>2</v>
      </c>
      <c r="N218" s="6" t="s">
        <v>86</v>
      </c>
      <c r="O218" s="5" t="s">
        <v>55</v>
      </c>
      <c r="P218" s="6" t="s">
        <v>50</v>
      </c>
      <c r="Q218" s="6" t="s">
        <v>87</v>
      </c>
      <c r="R218" s="7" t="s">
        <v>599</v>
      </c>
      <c r="S218">
        <f t="shared" si="6"/>
        <v>50</v>
      </c>
      <c r="T218">
        <f t="shared" si="7"/>
        <v>0.125</v>
      </c>
    </row>
    <row r="219" spans="1:20" x14ac:dyDescent="0.25">
      <c r="A219" s="765">
        <v>83</v>
      </c>
      <c r="B219" s="765" t="s">
        <v>1403</v>
      </c>
      <c r="C219" s="46" t="s">
        <v>30</v>
      </c>
      <c r="D219" s="207"/>
      <c r="E219" s="2"/>
      <c r="F219" s="2"/>
      <c r="G219" s="2"/>
      <c r="H219" s="2"/>
      <c r="I219" s="2"/>
      <c r="J219" s="3" t="s">
        <v>143</v>
      </c>
      <c r="K219" s="3" t="s">
        <v>1130</v>
      </c>
      <c r="L219" s="3"/>
      <c r="M219" s="3">
        <v>1</v>
      </c>
      <c r="N219" s="3" t="s">
        <v>88</v>
      </c>
      <c r="O219" s="2" t="s">
        <v>55</v>
      </c>
      <c r="P219" s="3" t="s">
        <v>50</v>
      </c>
      <c r="Q219" s="3" t="s">
        <v>89</v>
      </c>
      <c r="R219" s="7" t="s">
        <v>599</v>
      </c>
      <c r="S219">
        <f t="shared" si="6"/>
        <v>50</v>
      </c>
      <c r="T219">
        <f t="shared" si="7"/>
        <v>0.125</v>
      </c>
    </row>
    <row r="220" spans="1:20" x14ac:dyDescent="0.25">
      <c r="A220" s="765">
        <v>84</v>
      </c>
      <c r="B220" s="765" t="s">
        <v>1403</v>
      </c>
      <c r="C220" s="47" t="s">
        <v>31</v>
      </c>
      <c r="D220" s="208"/>
      <c r="E220" s="5"/>
      <c r="F220" s="5"/>
      <c r="G220" s="5"/>
      <c r="H220" s="5"/>
      <c r="I220" s="5"/>
      <c r="J220" s="6" t="s">
        <v>143</v>
      </c>
      <c r="K220" s="6"/>
      <c r="L220" s="6"/>
      <c r="M220" s="6">
        <v>2</v>
      </c>
      <c r="N220" s="6" t="s">
        <v>799</v>
      </c>
      <c r="O220" s="5" t="s">
        <v>55</v>
      </c>
      <c r="P220" s="3" t="s">
        <v>50</v>
      </c>
      <c r="Q220" s="6" t="s">
        <v>91</v>
      </c>
      <c r="R220" s="7" t="s">
        <v>599</v>
      </c>
      <c r="S220" t="str">
        <f t="shared" ref="S220:S290" si="8">IF(K220="S",30,IF(K220="M",50,IF(K220="L",65,"")))</f>
        <v/>
      </c>
      <c r="T220">
        <f t="shared" si="7"/>
        <v>0.125</v>
      </c>
    </row>
    <row r="221" spans="1:20" x14ac:dyDescent="0.25">
      <c r="A221" s="765">
        <v>85</v>
      </c>
      <c r="B221" s="765" t="s">
        <v>1403</v>
      </c>
      <c r="C221" s="46" t="s">
        <v>32</v>
      </c>
      <c r="D221" s="207">
        <v>50</v>
      </c>
      <c r="E221" s="2" t="s">
        <v>724</v>
      </c>
      <c r="F221" s="2"/>
      <c r="G221" s="2" t="s">
        <v>724</v>
      </c>
      <c r="H221" s="2"/>
      <c r="I221" s="2"/>
      <c r="J221" s="6" t="s">
        <v>143</v>
      </c>
      <c r="K221" s="6" t="s">
        <v>1131</v>
      </c>
      <c r="L221" s="3"/>
      <c r="M221" s="3">
        <v>2</v>
      </c>
      <c r="N221" s="3" t="s">
        <v>92</v>
      </c>
      <c r="O221" s="2" t="s">
        <v>49</v>
      </c>
      <c r="P221" s="3" t="s">
        <v>50</v>
      </c>
      <c r="Q221" s="3" t="s">
        <v>93</v>
      </c>
      <c r="R221" s="7" t="s">
        <v>599</v>
      </c>
      <c r="S221">
        <f t="shared" si="8"/>
        <v>30</v>
      </c>
      <c r="T221">
        <f t="shared" si="7"/>
        <v>0.125</v>
      </c>
    </row>
    <row r="222" spans="1:20" x14ac:dyDescent="0.25">
      <c r="A222" s="765">
        <v>87</v>
      </c>
      <c r="B222" s="765" t="s">
        <v>1403</v>
      </c>
      <c r="C222" s="47" t="s">
        <v>314</v>
      </c>
      <c r="D222" s="208"/>
      <c r="E222" s="5"/>
      <c r="F222" s="5"/>
      <c r="G222" s="5"/>
      <c r="H222" s="5"/>
      <c r="I222" s="5"/>
      <c r="J222" s="6" t="s">
        <v>143</v>
      </c>
      <c r="K222" s="6"/>
      <c r="L222" s="6"/>
      <c r="M222" s="6">
        <v>1</v>
      </c>
      <c r="N222" s="6" t="s">
        <v>315</v>
      </c>
      <c r="O222" s="5" t="s">
        <v>55</v>
      </c>
      <c r="P222" s="6"/>
      <c r="Q222" s="6" t="s">
        <v>316</v>
      </c>
      <c r="R222" s="7" t="s">
        <v>599</v>
      </c>
      <c r="S222" t="str">
        <f t="shared" si="8"/>
        <v/>
      </c>
      <c r="T222">
        <f t="shared" ref="T222:T298" si="9">1/8</f>
        <v>0.125</v>
      </c>
    </row>
    <row r="223" spans="1:20" x14ac:dyDescent="0.25">
      <c r="A223" s="765">
        <v>88</v>
      </c>
      <c r="B223" s="765" t="s">
        <v>1403</v>
      </c>
      <c r="C223" s="46" t="s">
        <v>317</v>
      </c>
      <c r="D223" s="207"/>
      <c r="E223" s="2"/>
      <c r="F223" s="2"/>
      <c r="G223" s="2"/>
      <c r="H223" s="2"/>
      <c r="I223" s="2"/>
      <c r="J223" s="3" t="s">
        <v>143</v>
      </c>
      <c r="K223" s="3"/>
      <c r="L223" s="3"/>
      <c r="M223" s="3">
        <v>2</v>
      </c>
      <c r="N223" s="3" t="s">
        <v>320</v>
      </c>
      <c r="O223" s="2" t="s">
        <v>55</v>
      </c>
      <c r="P223" s="3"/>
      <c r="Q223" s="3" t="s">
        <v>318</v>
      </c>
      <c r="R223" s="7" t="s">
        <v>599</v>
      </c>
      <c r="S223" t="str">
        <f t="shared" si="8"/>
        <v/>
      </c>
      <c r="T223">
        <f t="shared" si="9"/>
        <v>0.125</v>
      </c>
    </row>
    <row r="224" spans="1:20" x14ac:dyDescent="0.25">
      <c r="A224" s="765">
        <v>89</v>
      </c>
      <c r="B224" s="765" t="s">
        <v>1403</v>
      </c>
      <c r="C224" s="47" t="s">
        <v>319</v>
      </c>
      <c r="D224" s="208"/>
      <c r="E224" s="5"/>
      <c r="F224" s="5"/>
      <c r="G224" s="5"/>
      <c r="H224" s="5"/>
      <c r="I224" s="5"/>
      <c r="J224" s="6" t="s">
        <v>143</v>
      </c>
      <c r="K224" s="6"/>
      <c r="L224" s="6"/>
      <c r="M224" s="6">
        <v>1</v>
      </c>
      <c r="N224" s="6" t="s">
        <v>320</v>
      </c>
      <c r="O224" s="5" t="s">
        <v>55</v>
      </c>
      <c r="P224" s="6"/>
      <c r="Q224" s="6" t="s">
        <v>321</v>
      </c>
      <c r="R224" s="7" t="s">
        <v>599</v>
      </c>
      <c r="S224" t="str">
        <f t="shared" si="8"/>
        <v/>
      </c>
      <c r="T224">
        <f t="shared" si="9"/>
        <v>0.125</v>
      </c>
    </row>
    <row r="225" spans="1:20" x14ac:dyDescent="0.25">
      <c r="A225" s="765">
        <v>90</v>
      </c>
      <c r="B225" s="765" t="s">
        <v>1403</v>
      </c>
      <c r="C225" s="46" t="s">
        <v>322</v>
      </c>
      <c r="D225" s="207"/>
      <c r="E225" s="2"/>
      <c r="F225" s="2"/>
      <c r="G225" s="2"/>
      <c r="H225" s="2"/>
      <c r="I225" s="2"/>
      <c r="J225" s="3" t="s">
        <v>143</v>
      </c>
      <c r="K225" s="3" t="s">
        <v>1130</v>
      </c>
      <c r="L225" s="3"/>
      <c r="M225" s="3">
        <v>1</v>
      </c>
      <c r="N225" s="3" t="s">
        <v>323</v>
      </c>
      <c r="O225" s="2">
        <v>2</v>
      </c>
      <c r="P225" s="3" t="s">
        <v>50</v>
      </c>
      <c r="Q225" s="3" t="s">
        <v>324</v>
      </c>
      <c r="R225" s="7" t="s">
        <v>599</v>
      </c>
      <c r="S225">
        <f t="shared" si="8"/>
        <v>50</v>
      </c>
      <c r="T225">
        <f t="shared" si="9"/>
        <v>0.125</v>
      </c>
    </row>
    <row r="226" spans="1:20" x14ac:dyDescent="0.25">
      <c r="A226" s="765">
        <v>91</v>
      </c>
      <c r="B226" s="765" t="s">
        <v>1403</v>
      </c>
      <c r="C226" s="46" t="s">
        <v>445</v>
      </c>
      <c r="D226" s="207"/>
      <c r="E226" s="2"/>
      <c r="F226" s="2"/>
      <c r="G226" s="2"/>
      <c r="H226" s="2"/>
      <c r="I226" s="2"/>
      <c r="J226" s="3" t="s">
        <v>143</v>
      </c>
      <c r="K226" s="3"/>
      <c r="L226" s="3"/>
      <c r="M226" s="3">
        <v>1</v>
      </c>
      <c r="N226" s="3" t="s">
        <v>326</v>
      </c>
      <c r="O226" s="2" t="s">
        <v>55</v>
      </c>
      <c r="P226" s="3"/>
      <c r="Q226" s="3" t="s">
        <v>327</v>
      </c>
      <c r="R226" s="7" t="s">
        <v>599</v>
      </c>
      <c r="S226" t="str">
        <f t="shared" si="8"/>
        <v/>
      </c>
      <c r="T226">
        <f t="shared" si="9"/>
        <v>0.125</v>
      </c>
    </row>
    <row r="227" spans="1:20" x14ac:dyDescent="0.25">
      <c r="A227" s="765">
        <v>92</v>
      </c>
      <c r="B227" s="765" t="s">
        <v>1403</v>
      </c>
      <c r="C227" s="47" t="s">
        <v>330</v>
      </c>
      <c r="D227" s="208"/>
      <c r="E227" s="5"/>
      <c r="F227" s="5"/>
      <c r="G227" s="5"/>
      <c r="H227" s="5"/>
      <c r="I227" s="5"/>
      <c r="J227" s="6" t="s">
        <v>143</v>
      </c>
      <c r="K227" s="6"/>
      <c r="L227" s="6"/>
      <c r="M227" s="6">
        <v>1</v>
      </c>
      <c r="N227" s="6" t="s">
        <v>331</v>
      </c>
      <c r="O227" s="5">
        <v>2</v>
      </c>
      <c r="P227" s="6" t="s">
        <v>50</v>
      </c>
      <c r="Q227" s="6" t="s">
        <v>332</v>
      </c>
      <c r="R227" s="7" t="s">
        <v>599</v>
      </c>
      <c r="S227" t="str">
        <f t="shared" si="8"/>
        <v/>
      </c>
      <c r="T227">
        <f t="shared" si="9"/>
        <v>0.125</v>
      </c>
    </row>
    <row r="228" spans="1:20" x14ac:dyDescent="0.25">
      <c r="A228" s="765">
        <v>93</v>
      </c>
      <c r="B228" s="765" t="s">
        <v>1403</v>
      </c>
      <c r="C228" s="46" t="s">
        <v>334</v>
      </c>
      <c r="D228" s="207"/>
      <c r="E228" s="2"/>
      <c r="F228" s="2"/>
      <c r="G228" s="2"/>
      <c r="H228" s="2"/>
      <c r="I228" s="2"/>
      <c r="J228" s="3" t="s">
        <v>143</v>
      </c>
      <c r="K228" s="3" t="s">
        <v>1130</v>
      </c>
      <c r="L228" s="3"/>
      <c r="M228" s="3">
        <v>1</v>
      </c>
      <c r="N228" s="3" t="s">
        <v>335</v>
      </c>
      <c r="O228" s="2" t="s">
        <v>55</v>
      </c>
      <c r="P228" s="3"/>
      <c r="Q228" s="3" t="s">
        <v>336</v>
      </c>
      <c r="R228" s="7" t="s">
        <v>599</v>
      </c>
      <c r="S228">
        <f t="shared" si="8"/>
        <v>50</v>
      </c>
      <c r="T228">
        <f t="shared" si="9"/>
        <v>0.125</v>
      </c>
    </row>
    <row r="229" spans="1:20" x14ac:dyDescent="0.25">
      <c r="A229" s="765">
        <v>94</v>
      </c>
      <c r="B229" s="765" t="s">
        <v>1403</v>
      </c>
      <c r="C229" s="47" t="s">
        <v>33</v>
      </c>
      <c r="D229" s="208">
        <v>200</v>
      </c>
      <c r="E229" s="5" t="s">
        <v>724</v>
      </c>
      <c r="F229" s="5"/>
      <c r="G229" s="5" t="s">
        <v>724</v>
      </c>
      <c r="H229" s="5" t="s">
        <v>724</v>
      </c>
      <c r="I229" s="5"/>
      <c r="J229" s="6" t="s">
        <v>143</v>
      </c>
      <c r="K229" s="6" t="s">
        <v>1132</v>
      </c>
      <c r="L229" s="6"/>
      <c r="M229" s="6">
        <v>2</v>
      </c>
      <c r="N229" s="6" t="s">
        <v>94</v>
      </c>
      <c r="O229" s="5" t="s">
        <v>55</v>
      </c>
      <c r="P229" s="6"/>
      <c r="Q229" s="6" t="s">
        <v>95</v>
      </c>
      <c r="R229" s="7" t="s">
        <v>599</v>
      </c>
      <c r="S229">
        <f t="shared" si="8"/>
        <v>65</v>
      </c>
      <c r="T229">
        <f t="shared" si="9"/>
        <v>0.125</v>
      </c>
    </row>
    <row r="230" spans="1:20" x14ac:dyDescent="0.25">
      <c r="A230" s="765">
        <v>95</v>
      </c>
      <c r="B230" s="765" t="s">
        <v>1403</v>
      </c>
      <c r="C230" s="47" t="s">
        <v>446</v>
      </c>
      <c r="D230" s="208">
        <v>300</v>
      </c>
      <c r="E230" s="5" t="s">
        <v>724</v>
      </c>
      <c r="F230" s="5"/>
      <c r="G230" s="5" t="s">
        <v>724</v>
      </c>
      <c r="H230" s="5"/>
      <c r="I230" s="5"/>
      <c r="J230" s="6" t="s">
        <v>143</v>
      </c>
      <c r="K230" s="6" t="s">
        <v>1132</v>
      </c>
      <c r="L230" s="6"/>
      <c r="M230" s="6">
        <v>2</v>
      </c>
      <c r="N230" s="6" t="s">
        <v>447</v>
      </c>
      <c r="O230" s="5" t="s">
        <v>45</v>
      </c>
      <c r="P230" s="6"/>
      <c r="Q230" s="6" t="s">
        <v>448</v>
      </c>
      <c r="R230" s="7" t="s">
        <v>599</v>
      </c>
      <c r="S230">
        <f t="shared" si="8"/>
        <v>65</v>
      </c>
      <c r="T230">
        <f t="shared" si="9"/>
        <v>0.125</v>
      </c>
    </row>
    <row r="231" spans="1:20" x14ac:dyDescent="0.25">
      <c r="A231" s="765">
        <v>96</v>
      </c>
      <c r="B231" s="765" t="s">
        <v>1403</v>
      </c>
      <c r="C231" s="46" t="s">
        <v>34</v>
      </c>
      <c r="D231" s="207">
        <v>500</v>
      </c>
      <c r="E231" s="2" t="s">
        <v>724</v>
      </c>
      <c r="F231" s="2"/>
      <c r="G231" s="2" t="s">
        <v>724</v>
      </c>
      <c r="H231" s="2" t="s">
        <v>724</v>
      </c>
      <c r="I231" s="2" t="s">
        <v>724</v>
      </c>
      <c r="J231" s="3" t="s">
        <v>143</v>
      </c>
      <c r="K231" s="3" t="s">
        <v>1130</v>
      </c>
      <c r="L231" s="3"/>
      <c r="M231" s="3">
        <v>1</v>
      </c>
      <c r="N231" s="3" t="s">
        <v>96</v>
      </c>
      <c r="O231" s="2" t="s">
        <v>49</v>
      </c>
      <c r="P231" s="3"/>
      <c r="Q231" s="3" t="s">
        <v>97</v>
      </c>
      <c r="R231" s="7" t="s">
        <v>599</v>
      </c>
      <c r="S231">
        <f t="shared" si="8"/>
        <v>50</v>
      </c>
      <c r="T231">
        <f t="shared" si="9"/>
        <v>0.125</v>
      </c>
    </row>
    <row r="232" spans="1:20" x14ac:dyDescent="0.25">
      <c r="A232" s="765">
        <v>97</v>
      </c>
      <c r="B232" s="765" t="s">
        <v>1403</v>
      </c>
      <c r="C232" s="47" t="s">
        <v>185</v>
      </c>
      <c r="D232" s="207"/>
      <c r="E232" s="5"/>
      <c r="F232" s="5"/>
      <c r="G232" s="5"/>
      <c r="H232" s="5"/>
      <c r="I232" s="5"/>
      <c r="J232" s="6" t="s">
        <v>143</v>
      </c>
      <c r="K232" s="6" t="s">
        <v>1132</v>
      </c>
      <c r="L232" s="6"/>
      <c r="M232" s="6">
        <v>1</v>
      </c>
      <c r="N232" s="6" t="s">
        <v>96</v>
      </c>
      <c r="O232" s="5" t="s">
        <v>49</v>
      </c>
      <c r="P232" s="6"/>
      <c r="Q232" s="6" t="s">
        <v>186</v>
      </c>
      <c r="R232" s="7" t="s">
        <v>599</v>
      </c>
      <c r="S232">
        <f t="shared" si="8"/>
        <v>65</v>
      </c>
      <c r="T232">
        <f t="shared" si="9"/>
        <v>0.125</v>
      </c>
    </row>
    <row r="233" spans="1:20" x14ac:dyDescent="0.25">
      <c r="A233" s="765">
        <v>98</v>
      </c>
      <c r="B233" s="765" t="s">
        <v>1403</v>
      </c>
      <c r="C233" s="46" t="s">
        <v>449</v>
      </c>
      <c r="D233" s="207">
        <v>300</v>
      </c>
      <c r="E233" s="2" t="s">
        <v>724</v>
      </c>
      <c r="F233" s="2"/>
      <c r="G233" s="2" t="s">
        <v>724</v>
      </c>
      <c r="H233" s="2" t="s">
        <v>724</v>
      </c>
      <c r="I233" s="2" t="s">
        <v>724</v>
      </c>
      <c r="J233" s="3" t="s">
        <v>143</v>
      </c>
      <c r="K233" s="3" t="s">
        <v>1132</v>
      </c>
      <c r="L233" s="3"/>
      <c r="M233" s="3">
        <v>1</v>
      </c>
      <c r="N233" s="3" t="s">
        <v>96</v>
      </c>
      <c r="O233" s="2" t="s">
        <v>49</v>
      </c>
      <c r="P233" s="3"/>
      <c r="Q233" s="3" t="s">
        <v>450</v>
      </c>
      <c r="R233" s="7" t="s">
        <v>599</v>
      </c>
      <c r="S233">
        <f t="shared" si="8"/>
        <v>65</v>
      </c>
      <c r="T233">
        <f t="shared" si="9"/>
        <v>0.125</v>
      </c>
    </row>
    <row r="234" spans="1:20" x14ac:dyDescent="0.25">
      <c r="A234" s="765">
        <v>101</v>
      </c>
      <c r="B234" s="765" t="s">
        <v>1403</v>
      </c>
      <c r="C234" s="47" t="s">
        <v>369</v>
      </c>
      <c r="D234" s="208">
        <v>200</v>
      </c>
      <c r="E234" s="5" t="s">
        <v>724</v>
      </c>
      <c r="F234" s="5"/>
      <c r="G234" s="5" t="s">
        <v>724</v>
      </c>
      <c r="H234" s="5"/>
      <c r="I234" s="5" t="s">
        <v>724</v>
      </c>
      <c r="J234" s="6" t="s">
        <v>143</v>
      </c>
      <c r="K234" s="6"/>
      <c r="L234" s="6"/>
      <c r="M234" s="6">
        <v>1</v>
      </c>
      <c r="N234" s="6" t="s">
        <v>370</v>
      </c>
      <c r="O234" s="5">
        <v>2</v>
      </c>
      <c r="P234" s="6" t="s">
        <v>50</v>
      </c>
      <c r="Q234" s="6" t="s">
        <v>371</v>
      </c>
      <c r="R234" s="7" t="s">
        <v>599</v>
      </c>
      <c r="S234" t="str">
        <f t="shared" si="8"/>
        <v/>
      </c>
      <c r="T234">
        <f t="shared" si="9"/>
        <v>0.125</v>
      </c>
    </row>
    <row r="235" spans="1:20" x14ac:dyDescent="0.25">
      <c r="A235" s="765">
        <v>102</v>
      </c>
      <c r="B235" s="765" t="s">
        <v>1403</v>
      </c>
      <c r="C235" s="47" t="s">
        <v>372</v>
      </c>
      <c r="D235" s="208">
        <v>200</v>
      </c>
      <c r="E235" s="5" t="s">
        <v>724</v>
      </c>
      <c r="F235" s="5"/>
      <c r="G235" s="5"/>
      <c r="H235" s="5"/>
      <c r="I235" s="5"/>
      <c r="J235" s="3" t="s">
        <v>143</v>
      </c>
      <c r="K235" s="6" t="s">
        <v>1130</v>
      </c>
      <c r="L235" s="6"/>
      <c r="M235" s="6">
        <v>2</v>
      </c>
      <c r="N235" s="6" t="s">
        <v>1192</v>
      </c>
      <c r="O235" s="5">
        <v>2</v>
      </c>
      <c r="P235" s="3" t="s">
        <v>50</v>
      </c>
      <c r="Q235" s="6" t="s">
        <v>1194</v>
      </c>
      <c r="R235" s="7" t="s">
        <v>599</v>
      </c>
      <c r="S235">
        <f t="shared" si="8"/>
        <v>50</v>
      </c>
      <c r="T235">
        <f t="shared" si="9"/>
        <v>0.125</v>
      </c>
    </row>
    <row r="236" spans="1:20" x14ac:dyDescent="0.25">
      <c r="A236" s="765">
        <v>103</v>
      </c>
      <c r="B236" s="765" t="s">
        <v>1403</v>
      </c>
      <c r="C236" s="46" t="s">
        <v>35</v>
      </c>
      <c r="D236" s="207">
        <v>100</v>
      </c>
      <c r="E236" s="2" t="s">
        <v>724</v>
      </c>
      <c r="F236" s="2"/>
      <c r="G236" s="2" t="s">
        <v>724</v>
      </c>
      <c r="H236" s="2"/>
      <c r="I236" s="2"/>
      <c r="J236" s="3" t="s">
        <v>143</v>
      </c>
      <c r="K236" s="3" t="s">
        <v>1130</v>
      </c>
      <c r="L236" s="3"/>
      <c r="M236" s="3">
        <v>1</v>
      </c>
      <c r="N236" s="3" t="s">
        <v>100</v>
      </c>
      <c r="O236" s="2">
        <v>2</v>
      </c>
      <c r="P236" s="3"/>
      <c r="Q236" s="3" t="s">
        <v>101</v>
      </c>
      <c r="R236" s="7" t="s">
        <v>599</v>
      </c>
      <c r="S236">
        <f t="shared" si="8"/>
        <v>50</v>
      </c>
      <c r="T236">
        <f t="shared" si="9"/>
        <v>0.125</v>
      </c>
    </row>
    <row r="237" spans="1:20" x14ac:dyDescent="0.25">
      <c r="A237" s="765">
        <v>104</v>
      </c>
      <c r="B237" s="765" t="s">
        <v>1403</v>
      </c>
      <c r="C237" s="47" t="s">
        <v>187</v>
      </c>
      <c r="D237" s="208">
        <v>50</v>
      </c>
      <c r="E237" s="5" t="s">
        <v>724</v>
      </c>
      <c r="F237" s="5"/>
      <c r="G237" s="5" t="s">
        <v>724</v>
      </c>
      <c r="H237" s="5"/>
      <c r="I237" s="5"/>
      <c r="J237" s="6" t="s">
        <v>143</v>
      </c>
      <c r="K237" s="6" t="s">
        <v>1130</v>
      </c>
      <c r="L237" s="6"/>
      <c r="M237" s="6">
        <v>1</v>
      </c>
      <c r="N237" s="6" t="s">
        <v>100</v>
      </c>
      <c r="O237" s="5">
        <v>2</v>
      </c>
      <c r="P237" s="6" t="s">
        <v>50</v>
      </c>
      <c r="Q237" s="6" t="s">
        <v>188</v>
      </c>
      <c r="R237" s="7" t="s">
        <v>599</v>
      </c>
      <c r="S237">
        <f t="shared" si="8"/>
        <v>50</v>
      </c>
      <c r="T237">
        <f t="shared" si="9"/>
        <v>0.125</v>
      </c>
    </row>
    <row r="238" spans="1:20" x14ac:dyDescent="0.25">
      <c r="A238" s="765">
        <v>105</v>
      </c>
      <c r="B238" s="765" t="s">
        <v>1403</v>
      </c>
      <c r="C238" s="47" t="s">
        <v>375</v>
      </c>
      <c r="D238" s="208"/>
      <c r="E238" s="5"/>
      <c r="F238" s="5"/>
      <c r="G238" s="5"/>
      <c r="H238" s="5"/>
      <c r="I238" s="5"/>
      <c r="J238" s="6" t="s">
        <v>143</v>
      </c>
      <c r="K238" s="6" t="s">
        <v>1130</v>
      </c>
      <c r="L238" s="6"/>
      <c r="M238" s="6">
        <v>2</v>
      </c>
      <c r="N238" s="6" t="s">
        <v>376</v>
      </c>
      <c r="O238" s="5" t="s">
        <v>55</v>
      </c>
      <c r="P238" s="6"/>
      <c r="Q238" s="6" t="s">
        <v>377</v>
      </c>
      <c r="R238" s="7" t="s">
        <v>599</v>
      </c>
      <c r="S238">
        <f t="shared" si="8"/>
        <v>50</v>
      </c>
      <c r="T238">
        <f t="shared" si="9"/>
        <v>0.125</v>
      </c>
    </row>
    <row r="239" spans="1:20" x14ac:dyDescent="0.25">
      <c r="A239" s="765">
        <v>106</v>
      </c>
      <c r="B239" s="765" t="s">
        <v>1403</v>
      </c>
      <c r="C239" s="46" t="s">
        <v>1425</v>
      </c>
      <c r="D239" s="207"/>
      <c r="E239" s="2"/>
      <c r="F239" s="2"/>
      <c r="G239" s="2"/>
      <c r="H239" s="2"/>
      <c r="I239" s="2"/>
      <c r="J239" s="3" t="s">
        <v>143</v>
      </c>
      <c r="K239" s="3"/>
      <c r="L239" s="3"/>
      <c r="M239" s="3">
        <v>2</v>
      </c>
      <c r="N239" s="3" t="s">
        <v>193</v>
      </c>
      <c r="O239" s="2" t="s">
        <v>49</v>
      </c>
      <c r="P239" s="3"/>
      <c r="Q239" s="3" t="s">
        <v>194</v>
      </c>
      <c r="R239" s="7" t="s">
        <v>599</v>
      </c>
      <c r="S239" t="str">
        <f t="shared" si="8"/>
        <v/>
      </c>
      <c r="T239">
        <f t="shared" si="9"/>
        <v>0.125</v>
      </c>
    </row>
    <row r="240" spans="1:20" x14ac:dyDescent="0.25">
      <c r="A240" s="765">
        <v>107</v>
      </c>
      <c r="B240" s="765" t="s">
        <v>1403</v>
      </c>
      <c r="C240" s="47" t="s">
        <v>195</v>
      </c>
      <c r="D240" s="208">
        <v>500</v>
      </c>
      <c r="E240" s="5" t="s">
        <v>724</v>
      </c>
      <c r="F240" s="5"/>
      <c r="G240" s="5" t="s">
        <v>724</v>
      </c>
      <c r="H240" s="5"/>
      <c r="I240" s="5"/>
      <c r="J240" s="6" t="s">
        <v>143</v>
      </c>
      <c r="K240" s="6" t="s">
        <v>1132</v>
      </c>
      <c r="L240" s="6"/>
      <c r="M240" s="6">
        <v>2</v>
      </c>
      <c r="N240" s="6" t="s">
        <v>196</v>
      </c>
      <c r="O240" s="5" t="s">
        <v>49</v>
      </c>
      <c r="P240" s="6" t="s">
        <v>50</v>
      </c>
      <c r="Q240" s="6" t="s">
        <v>197</v>
      </c>
      <c r="R240" s="7" t="s">
        <v>599</v>
      </c>
      <c r="S240">
        <f t="shared" si="8"/>
        <v>65</v>
      </c>
      <c r="T240">
        <f t="shared" si="9"/>
        <v>0.125</v>
      </c>
    </row>
    <row r="241" spans="1:20" x14ac:dyDescent="0.25">
      <c r="A241" s="765">
        <v>108</v>
      </c>
      <c r="B241" s="765" t="s">
        <v>1403</v>
      </c>
      <c r="C241" s="46" t="s">
        <v>198</v>
      </c>
      <c r="D241" s="207">
        <v>300</v>
      </c>
      <c r="E241" s="2" t="s">
        <v>724</v>
      </c>
      <c r="F241" s="2"/>
      <c r="G241" s="2" t="s">
        <v>724</v>
      </c>
      <c r="H241" s="2" t="s">
        <v>724</v>
      </c>
      <c r="I241" s="2"/>
      <c r="J241" s="3" t="s">
        <v>143</v>
      </c>
      <c r="K241" s="3" t="s">
        <v>1132</v>
      </c>
      <c r="L241" s="3"/>
      <c r="M241" s="3">
        <v>1</v>
      </c>
      <c r="N241" s="3" t="s">
        <v>199</v>
      </c>
      <c r="O241" s="2" t="s">
        <v>49</v>
      </c>
      <c r="P241" s="3"/>
      <c r="Q241" s="3" t="s">
        <v>200</v>
      </c>
      <c r="R241" s="7" t="s">
        <v>599</v>
      </c>
      <c r="S241">
        <f t="shared" si="8"/>
        <v>65</v>
      </c>
      <c r="T241">
        <f t="shared" si="9"/>
        <v>0.125</v>
      </c>
    </row>
    <row r="242" spans="1:20" x14ac:dyDescent="0.25">
      <c r="A242" s="765">
        <v>479</v>
      </c>
      <c r="B242" s="765" t="s">
        <v>1403</v>
      </c>
      <c r="C242" s="46" t="s">
        <v>1190</v>
      </c>
      <c r="D242" s="207"/>
      <c r="E242" s="2"/>
      <c r="F242" s="2"/>
      <c r="G242" s="2"/>
      <c r="H242" s="2"/>
      <c r="I242" s="2"/>
      <c r="J242" s="3" t="s">
        <v>143</v>
      </c>
      <c r="K242" s="3"/>
      <c r="L242" s="3"/>
      <c r="M242" s="3">
        <v>2</v>
      </c>
      <c r="N242" s="3" t="s">
        <v>1191</v>
      </c>
      <c r="O242" s="2">
        <v>1</v>
      </c>
      <c r="P242" s="3"/>
      <c r="Q242" s="3" t="s">
        <v>1193</v>
      </c>
      <c r="R242" s="7" t="s">
        <v>599</v>
      </c>
      <c r="S242" t="str">
        <f t="shared" si="8"/>
        <v/>
      </c>
      <c r="T242">
        <f t="shared" si="9"/>
        <v>0.125</v>
      </c>
    </row>
    <row r="243" spans="1:20" x14ac:dyDescent="0.25">
      <c r="A243" s="765">
        <v>110</v>
      </c>
      <c r="B243" s="765" t="s">
        <v>1403</v>
      </c>
      <c r="C243" s="47" t="s">
        <v>201</v>
      </c>
      <c r="D243" s="208"/>
      <c r="E243" s="5"/>
      <c r="F243" s="5"/>
      <c r="G243" s="5"/>
      <c r="H243" s="5"/>
      <c r="I243" s="5"/>
      <c r="J243" s="6" t="s">
        <v>143</v>
      </c>
      <c r="K243" s="6" t="s">
        <v>1132</v>
      </c>
      <c r="L243" s="6"/>
      <c r="M243" s="6">
        <v>1</v>
      </c>
      <c r="N243" s="6" t="s">
        <v>202</v>
      </c>
      <c r="O243" s="5" t="s">
        <v>49</v>
      </c>
      <c r="P243" s="6"/>
      <c r="Q243" s="6" t="s">
        <v>203</v>
      </c>
      <c r="R243" s="7" t="s">
        <v>599</v>
      </c>
      <c r="S243">
        <f t="shared" si="8"/>
        <v>65</v>
      </c>
      <c r="T243">
        <f t="shared" si="9"/>
        <v>0.125</v>
      </c>
    </row>
    <row r="244" spans="1:20" x14ac:dyDescent="0.25">
      <c r="B244" s="765" t="s">
        <v>1403</v>
      </c>
      <c r="C244" s="47" t="s">
        <v>845</v>
      </c>
      <c r="D244" s="208">
        <v>100</v>
      </c>
      <c r="E244" s="5" t="s">
        <v>724</v>
      </c>
      <c r="F244" s="5"/>
      <c r="G244" s="5" t="s">
        <v>724</v>
      </c>
      <c r="H244" s="5" t="s">
        <v>724</v>
      </c>
      <c r="I244" s="5"/>
      <c r="J244" s="6" t="s">
        <v>143</v>
      </c>
      <c r="K244" s="6" t="s">
        <v>1130</v>
      </c>
      <c r="L244" s="6"/>
      <c r="M244" s="6">
        <v>2</v>
      </c>
      <c r="N244" s="6" t="s">
        <v>451</v>
      </c>
      <c r="O244" s="5" t="s">
        <v>49</v>
      </c>
      <c r="P244" s="6"/>
      <c r="Q244" s="6" t="s">
        <v>912</v>
      </c>
      <c r="R244" s="7" t="s">
        <v>599</v>
      </c>
      <c r="S244">
        <f t="shared" si="8"/>
        <v>50</v>
      </c>
      <c r="T244">
        <f t="shared" si="9"/>
        <v>0.125</v>
      </c>
    </row>
    <row r="245" spans="1:20" x14ac:dyDescent="0.25">
      <c r="A245" s="765">
        <v>112</v>
      </c>
      <c r="B245" s="765" t="s">
        <v>1403</v>
      </c>
      <c r="C245" s="46" t="s">
        <v>37</v>
      </c>
      <c r="D245" s="207"/>
      <c r="E245" s="2"/>
      <c r="F245" s="2"/>
      <c r="G245" s="2"/>
      <c r="H245" s="2"/>
      <c r="I245" s="2"/>
      <c r="J245" s="3" t="s">
        <v>143</v>
      </c>
      <c r="K245" s="3" t="s">
        <v>1132</v>
      </c>
      <c r="L245" s="3"/>
      <c r="M245" s="3">
        <v>2</v>
      </c>
      <c r="N245" s="3" t="s">
        <v>451</v>
      </c>
      <c r="O245" s="2" t="s">
        <v>49</v>
      </c>
      <c r="P245" s="3" t="s">
        <v>50</v>
      </c>
      <c r="Q245" s="3" t="s">
        <v>105</v>
      </c>
      <c r="R245" s="7" t="s">
        <v>599</v>
      </c>
      <c r="S245">
        <f t="shared" si="8"/>
        <v>65</v>
      </c>
      <c r="T245">
        <f t="shared" si="9"/>
        <v>0.125</v>
      </c>
    </row>
    <row r="246" spans="1:20" x14ac:dyDescent="0.25">
      <c r="A246" s="765">
        <v>113</v>
      </c>
      <c r="B246" s="765" t="s">
        <v>1403</v>
      </c>
      <c r="C246" s="47" t="s">
        <v>394</v>
      </c>
      <c r="D246" s="208"/>
      <c r="E246" s="5"/>
      <c r="F246" s="5"/>
      <c r="G246" s="5"/>
      <c r="H246" s="5"/>
      <c r="I246" s="5"/>
      <c r="J246" s="6" t="s">
        <v>143</v>
      </c>
      <c r="K246" s="6"/>
      <c r="L246" s="6"/>
      <c r="M246" s="6">
        <v>2</v>
      </c>
      <c r="N246" s="6" t="s">
        <v>395</v>
      </c>
      <c r="O246" s="5" t="s">
        <v>49</v>
      </c>
      <c r="P246" s="6"/>
      <c r="Q246" s="6" t="s">
        <v>396</v>
      </c>
      <c r="R246" s="7" t="s">
        <v>599</v>
      </c>
      <c r="S246" t="str">
        <f t="shared" si="8"/>
        <v/>
      </c>
      <c r="T246">
        <f t="shared" si="9"/>
        <v>0.125</v>
      </c>
    </row>
    <row r="247" spans="1:20" x14ac:dyDescent="0.25">
      <c r="A247" s="765">
        <v>114</v>
      </c>
      <c r="B247" s="765" t="s">
        <v>1403</v>
      </c>
      <c r="C247" s="46" t="s">
        <v>38</v>
      </c>
      <c r="D247" s="207">
        <v>300</v>
      </c>
      <c r="E247" s="2" t="s">
        <v>724</v>
      </c>
      <c r="F247" s="2"/>
      <c r="G247" s="2" t="s">
        <v>724</v>
      </c>
      <c r="H247" s="2" t="s">
        <v>724</v>
      </c>
      <c r="I247" s="2"/>
      <c r="J247" s="3" t="s">
        <v>143</v>
      </c>
      <c r="K247" s="3" t="s">
        <v>1130</v>
      </c>
      <c r="L247" s="3"/>
      <c r="M247" s="3">
        <v>1</v>
      </c>
      <c r="N247" s="3" t="s">
        <v>106</v>
      </c>
      <c r="O247" s="2">
        <v>2</v>
      </c>
      <c r="P247" s="3"/>
      <c r="Q247" s="3" t="s">
        <v>107</v>
      </c>
      <c r="R247" s="7" t="s">
        <v>599</v>
      </c>
      <c r="S247">
        <f t="shared" si="8"/>
        <v>50</v>
      </c>
      <c r="T247">
        <f t="shared" si="9"/>
        <v>0.125</v>
      </c>
    </row>
    <row r="248" spans="1:20" x14ac:dyDescent="0.25">
      <c r="A248" s="765">
        <v>115</v>
      </c>
      <c r="B248" s="765" t="s">
        <v>1403</v>
      </c>
      <c r="C248" s="47" t="s">
        <v>397</v>
      </c>
      <c r="D248" s="208"/>
      <c r="E248" s="5"/>
      <c r="F248" s="5"/>
      <c r="G248" s="5"/>
      <c r="H248" s="5"/>
      <c r="I248" s="5"/>
      <c r="J248" s="6" t="s">
        <v>143</v>
      </c>
      <c r="K248" s="6"/>
      <c r="L248" s="6"/>
      <c r="M248" s="6">
        <v>1</v>
      </c>
      <c r="N248" s="6" t="s">
        <v>398</v>
      </c>
      <c r="O248" s="5" t="s">
        <v>55</v>
      </c>
      <c r="P248" s="6" t="s">
        <v>50</v>
      </c>
      <c r="Q248" s="6" t="s">
        <v>399</v>
      </c>
      <c r="R248" s="7" t="s">
        <v>599</v>
      </c>
      <c r="S248" t="str">
        <f t="shared" si="8"/>
        <v/>
      </c>
      <c r="T248">
        <f t="shared" si="9"/>
        <v>0.125</v>
      </c>
    </row>
    <row r="249" spans="1:20" x14ac:dyDescent="0.25">
      <c r="A249" s="765">
        <v>116</v>
      </c>
      <c r="B249" s="765" t="s">
        <v>1403</v>
      </c>
      <c r="C249" s="46" t="s">
        <v>400</v>
      </c>
      <c r="D249" s="207"/>
      <c r="E249" s="2"/>
      <c r="F249" s="2"/>
      <c r="G249" s="2"/>
      <c r="H249" s="2"/>
      <c r="I249" s="2"/>
      <c r="J249" s="3" t="s">
        <v>143</v>
      </c>
      <c r="K249" s="3"/>
      <c r="L249" s="3"/>
      <c r="M249" s="3">
        <v>1</v>
      </c>
      <c r="N249" s="3" t="s">
        <v>108</v>
      </c>
      <c r="O249" s="2" t="s">
        <v>55</v>
      </c>
      <c r="P249" s="3"/>
      <c r="Q249" s="3" t="s">
        <v>401</v>
      </c>
      <c r="R249" s="7" t="s">
        <v>599</v>
      </c>
      <c r="S249" t="str">
        <f t="shared" si="8"/>
        <v/>
      </c>
      <c r="T249">
        <f t="shared" si="9"/>
        <v>0.125</v>
      </c>
    </row>
    <row r="250" spans="1:20" x14ac:dyDescent="0.25">
      <c r="A250" s="765">
        <v>499</v>
      </c>
      <c r="B250" s="765" t="s">
        <v>1403</v>
      </c>
      <c r="C250" s="46" t="s">
        <v>1343</v>
      </c>
      <c r="D250" s="207">
        <v>100</v>
      </c>
      <c r="E250" s="2" t="s">
        <v>724</v>
      </c>
      <c r="F250" s="2"/>
      <c r="G250" s="2" t="s">
        <v>724</v>
      </c>
      <c r="H250" s="2" t="s">
        <v>724</v>
      </c>
      <c r="I250" s="2"/>
      <c r="J250" s="3" t="s">
        <v>143</v>
      </c>
      <c r="K250" s="3" t="s">
        <v>1132</v>
      </c>
      <c r="L250" s="3"/>
      <c r="M250" s="3">
        <v>1</v>
      </c>
      <c r="N250" s="3" t="s">
        <v>1323</v>
      </c>
      <c r="O250" s="2" t="s">
        <v>55</v>
      </c>
      <c r="P250" s="3"/>
      <c r="Q250" s="3" t="s">
        <v>1352</v>
      </c>
      <c r="R250" s="7" t="s">
        <v>599</v>
      </c>
      <c r="S250">
        <f t="shared" si="8"/>
        <v>65</v>
      </c>
      <c r="T250">
        <f t="shared" si="9"/>
        <v>0.125</v>
      </c>
    </row>
    <row r="251" spans="1:20" x14ac:dyDescent="0.25">
      <c r="A251" s="765">
        <v>502</v>
      </c>
      <c r="B251" s="765" t="s">
        <v>1403</v>
      </c>
      <c r="C251" s="46" t="s">
        <v>1344</v>
      </c>
      <c r="D251" s="207"/>
      <c r="E251" s="2"/>
      <c r="F251" s="2"/>
      <c r="G251" s="2"/>
      <c r="H251" s="2"/>
      <c r="I251" s="2"/>
      <c r="J251" s="3" t="s">
        <v>143</v>
      </c>
      <c r="K251" s="3" t="s">
        <v>1132</v>
      </c>
      <c r="L251" s="3"/>
      <c r="M251" s="3">
        <v>1</v>
      </c>
      <c r="N251" s="3" t="s">
        <v>1323</v>
      </c>
      <c r="O251" s="2" t="s">
        <v>55</v>
      </c>
      <c r="P251" s="3"/>
      <c r="Q251" s="3" t="s">
        <v>1332</v>
      </c>
      <c r="R251" s="7" t="s">
        <v>599</v>
      </c>
      <c r="S251">
        <f t="shared" si="8"/>
        <v>65</v>
      </c>
      <c r="T251">
        <f t="shared" si="9"/>
        <v>0.125</v>
      </c>
    </row>
    <row r="252" spans="1:20" x14ac:dyDescent="0.25">
      <c r="A252" s="765">
        <v>33</v>
      </c>
      <c r="B252" s="765" t="s">
        <v>1403</v>
      </c>
      <c r="C252" s="47" t="s">
        <v>216</v>
      </c>
      <c r="D252" s="208"/>
      <c r="E252" s="5"/>
      <c r="F252" s="5"/>
      <c r="G252" s="5"/>
      <c r="H252" s="5"/>
      <c r="I252" s="5"/>
      <c r="J252" s="6" t="s">
        <v>143</v>
      </c>
      <c r="K252" s="6"/>
      <c r="L252" s="6"/>
      <c r="M252" s="6">
        <v>1</v>
      </c>
      <c r="N252" s="6" t="s">
        <v>977</v>
      </c>
      <c r="O252" s="5" t="s">
        <v>49</v>
      </c>
      <c r="P252" s="6"/>
      <c r="Q252" s="6" t="s">
        <v>217</v>
      </c>
      <c r="R252" s="7" t="s">
        <v>599</v>
      </c>
      <c r="S252" t="str">
        <f t="shared" si="8"/>
        <v/>
      </c>
      <c r="T252">
        <f t="shared" si="9"/>
        <v>0.125</v>
      </c>
    </row>
    <row r="253" spans="1:20" x14ac:dyDescent="0.25">
      <c r="C253" s="46"/>
      <c r="D253" s="207"/>
      <c r="E253" s="2"/>
      <c r="F253" s="2"/>
      <c r="G253" s="2"/>
      <c r="H253" s="2"/>
      <c r="I253" s="2"/>
      <c r="J253" s="6"/>
      <c r="K253" s="6"/>
      <c r="L253" s="3"/>
      <c r="M253" s="3"/>
      <c r="N253" s="3"/>
      <c r="O253" s="18"/>
      <c r="P253" s="3"/>
      <c r="Q253" s="3"/>
      <c r="R253" s="7"/>
      <c r="S253" t="str">
        <f t="shared" si="8"/>
        <v/>
      </c>
      <c r="T253">
        <f t="shared" si="9"/>
        <v>0.125</v>
      </c>
    </row>
    <row r="254" spans="1:20" x14ac:dyDescent="0.25">
      <c r="A254" s="765">
        <v>234</v>
      </c>
      <c r="B254" s="765" t="s">
        <v>1403</v>
      </c>
      <c r="C254" s="46" t="s">
        <v>10</v>
      </c>
      <c r="D254" s="207"/>
      <c r="E254" s="2"/>
      <c r="F254" s="2"/>
      <c r="G254" s="2"/>
      <c r="H254" s="2"/>
      <c r="I254" s="2"/>
      <c r="J254" s="3" t="s">
        <v>453</v>
      </c>
      <c r="K254" s="3"/>
      <c r="L254" s="3"/>
      <c r="M254" s="3">
        <v>2</v>
      </c>
      <c r="N254" s="3" t="s">
        <v>44</v>
      </c>
      <c r="O254" s="2">
        <v>1</v>
      </c>
      <c r="P254" s="3"/>
      <c r="Q254" s="3" t="s">
        <v>47</v>
      </c>
      <c r="R254" s="7" t="s">
        <v>599</v>
      </c>
      <c r="S254" t="str">
        <f t="shared" si="8"/>
        <v/>
      </c>
      <c r="T254">
        <f t="shared" si="9"/>
        <v>0.125</v>
      </c>
    </row>
    <row r="255" spans="1:20" x14ac:dyDescent="0.25">
      <c r="A255" s="765">
        <v>307</v>
      </c>
      <c r="B255" s="765" t="s">
        <v>1403</v>
      </c>
      <c r="C255" s="46" t="s">
        <v>774</v>
      </c>
      <c r="D255" s="207"/>
      <c r="E255" s="2" t="s">
        <v>724</v>
      </c>
      <c r="F255" s="2"/>
      <c r="G255" s="2" t="s">
        <v>724</v>
      </c>
      <c r="H255" s="2" t="s">
        <v>724</v>
      </c>
      <c r="I255" s="2"/>
      <c r="J255" s="3" t="s">
        <v>453</v>
      </c>
      <c r="K255" s="3" t="s">
        <v>1130</v>
      </c>
      <c r="L255" s="3"/>
      <c r="M255" s="3">
        <v>2</v>
      </c>
      <c r="N255" s="3" t="s">
        <v>44</v>
      </c>
      <c r="O255" s="18">
        <v>1</v>
      </c>
      <c r="P255" s="3"/>
      <c r="Q255" s="3" t="s">
        <v>47</v>
      </c>
      <c r="R255" s="7" t="s">
        <v>599</v>
      </c>
      <c r="S255">
        <f t="shared" si="8"/>
        <v>50</v>
      </c>
      <c r="T255">
        <f t="shared" si="9"/>
        <v>0.125</v>
      </c>
    </row>
    <row r="256" spans="1:20" x14ac:dyDescent="0.25">
      <c r="A256" s="765"/>
      <c r="B256" s="765" t="s">
        <v>1403</v>
      </c>
      <c r="C256" s="46" t="s">
        <v>452</v>
      </c>
      <c r="D256" s="207"/>
      <c r="E256" s="2"/>
      <c r="F256" s="2"/>
      <c r="G256" s="2"/>
      <c r="H256" s="2"/>
      <c r="I256" s="2"/>
      <c r="J256" s="3" t="s">
        <v>453</v>
      </c>
      <c r="K256" s="3"/>
      <c r="L256" s="3"/>
      <c r="M256" s="3">
        <v>2</v>
      </c>
      <c r="N256" s="8" t="s">
        <v>454</v>
      </c>
      <c r="O256" s="9">
        <v>1</v>
      </c>
      <c r="P256" s="3"/>
      <c r="Q256" s="10" t="s">
        <v>455</v>
      </c>
      <c r="R256" s="7" t="s">
        <v>599</v>
      </c>
      <c r="S256" t="str">
        <f t="shared" si="8"/>
        <v/>
      </c>
      <c r="T256">
        <f t="shared" si="9"/>
        <v>0.125</v>
      </c>
    </row>
    <row r="257" spans="1:20" x14ac:dyDescent="0.25">
      <c r="A257" s="765">
        <v>298</v>
      </c>
      <c r="B257" s="765" t="s">
        <v>1403</v>
      </c>
      <c r="C257" s="47" t="s">
        <v>456</v>
      </c>
      <c r="D257" s="208"/>
      <c r="E257" s="5"/>
      <c r="F257" s="5"/>
      <c r="G257" s="5"/>
      <c r="H257" s="5"/>
      <c r="I257" s="5"/>
      <c r="J257" s="6" t="s">
        <v>453</v>
      </c>
      <c r="K257" s="6"/>
      <c r="L257" s="6"/>
      <c r="M257" s="6">
        <v>2</v>
      </c>
      <c r="N257" s="11" t="s">
        <v>457</v>
      </c>
      <c r="O257" s="12">
        <v>1</v>
      </c>
      <c r="P257" s="6"/>
      <c r="Q257" s="13" t="s">
        <v>458</v>
      </c>
      <c r="R257" s="7" t="s">
        <v>599</v>
      </c>
      <c r="S257" t="str">
        <f t="shared" si="8"/>
        <v/>
      </c>
      <c r="T257">
        <f t="shared" si="9"/>
        <v>0.125</v>
      </c>
    </row>
    <row r="258" spans="1:20" x14ac:dyDescent="0.25">
      <c r="A258" s="765">
        <v>235</v>
      </c>
      <c r="B258" s="765" t="s">
        <v>1403</v>
      </c>
      <c r="C258" s="47" t="s">
        <v>990</v>
      </c>
      <c r="D258" s="208"/>
      <c r="E258" s="5"/>
      <c r="F258" s="5"/>
      <c r="G258" s="5"/>
      <c r="H258" s="5"/>
      <c r="I258" s="5"/>
      <c r="J258" s="6" t="s">
        <v>453</v>
      </c>
      <c r="K258" s="6" t="s">
        <v>1130</v>
      </c>
      <c r="L258" s="6"/>
      <c r="M258" s="6">
        <v>2</v>
      </c>
      <c r="N258" s="17" t="s">
        <v>460</v>
      </c>
      <c r="O258" s="12">
        <v>1</v>
      </c>
      <c r="P258" s="6"/>
      <c r="Q258" s="13" t="s">
        <v>913</v>
      </c>
      <c r="R258" s="7" t="s">
        <v>599</v>
      </c>
      <c r="S258">
        <f t="shared" si="8"/>
        <v>50</v>
      </c>
      <c r="T258">
        <f t="shared" si="9"/>
        <v>0.125</v>
      </c>
    </row>
    <row r="259" spans="1:20" x14ac:dyDescent="0.25">
      <c r="A259" s="765">
        <v>378</v>
      </c>
      <c r="B259" s="765" t="s">
        <v>1403</v>
      </c>
      <c r="C259" s="47" t="s">
        <v>1325</v>
      </c>
      <c r="D259" s="208"/>
      <c r="E259" s="5"/>
      <c r="F259" s="5"/>
      <c r="G259" s="5"/>
      <c r="H259" s="5"/>
      <c r="I259" s="5"/>
      <c r="J259" s="6" t="s">
        <v>453</v>
      </c>
      <c r="K259" s="6" t="s">
        <v>1130</v>
      </c>
      <c r="L259" s="6"/>
      <c r="M259" s="6">
        <v>2</v>
      </c>
      <c r="N259" s="17" t="s">
        <v>460</v>
      </c>
      <c r="O259" s="12">
        <v>1</v>
      </c>
      <c r="P259" s="6"/>
      <c r="Q259" s="13" t="s">
        <v>1329</v>
      </c>
      <c r="R259" s="7" t="s">
        <v>599</v>
      </c>
      <c r="S259">
        <f t="shared" si="8"/>
        <v>50</v>
      </c>
      <c r="T259">
        <f t="shared" si="9"/>
        <v>0.125</v>
      </c>
    </row>
    <row r="260" spans="1:20" x14ac:dyDescent="0.25">
      <c r="A260" s="765">
        <v>427</v>
      </c>
      <c r="B260" s="765" t="s">
        <v>1403</v>
      </c>
      <c r="C260" s="47" t="s">
        <v>1324</v>
      </c>
      <c r="D260" s="208"/>
      <c r="E260" s="5"/>
      <c r="F260" s="5"/>
      <c r="G260" s="5"/>
      <c r="H260" s="5"/>
      <c r="I260" s="5"/>
      <c r="J260" s="6" t="s">
        <v>453</v>
      </c>
      <c r="K260" s="6" t="s">
        <v>1130</v>
      </c>
      <c r="L260" s="6"/>
      <c r="M260" s="6">
        <v>2</v>
      </c>
      <c r="N260" s="17" t="s">
        <v>460</v>
      </c>
      <c r="O260" s="12">
        <v>1</v>
      </c>
      <c r="P260" s="6"/>
      <c r="Q260" s="7" t="s">
        <v>1330</v>
      </c>
      <c r="R260" s="7" t="s">
        <v>599</v>
      </c>
      <c r="S260">
        <f t="shared" si="8"/>
        <v>50</v>
      </c>
      <c r="T260">
        <f t="shared" si="9"/>
        <v>0.125</v>
      </c>
    </row>
    <row r="261" spans="1:20" x14ac:dyDescent="0.25">
      <c r="B261" s="765" t="s">
        <v>1403</v>
      </c>
      <c r="C261" s="47" t="s">
        <v>1326</v>
      </c>
      <c r="D261" s="208"/>
      <c r="E261" s="5"/>
      <c r="F261" s="5"/>
      <c r="G261" s="5"/>
      <c r="H261" s="5"/>
      <c r="I261" s="5"/>
      <c r="J261" s="6" t="s">
        <v>453</v>
      </c>
      <c r="K261" s="6" t="s">
        <v>1130</v>
      </c>
      <c r="L261" s="6"/>
      <c r="M261" s="6">
        <v>2</v>
      </c>
      <c r="N261" s="17" t="s">
        <v>460</v>
      </c>
      <c r="O261" s="12">
        <v>1</v>
      </c>
      <c r="P261" s="6"/>
      <c r="Q261" s="7" t="s">
        <v>1331</v>
      </c>
      <c r="R261" s="7" t="s">
        <v>599</v>
      </c>
      <c r="S261">
        <f t="shared" si="8"/>
        <v>50</v>
      </c>
      <c r="T261">
        <f t="shared" si="9"/>
        <v>0.125</v>
      </c>
    </row>
    <row r="262" spans="1:20" x14ac:dyDescent="0.25">
      <c r="A262" s="765">
        <v>381</v>
      </c>
      <c r="B262" s="765" t="s">
        <v>1403</v>
      </c>
      <c r="C262" s="46" t="s">
        <v>459</v>
      </c>
      <c r="D262" s="207"/>
      <c r="E262" s="2"/>
      <c r="F262" s="2"/>
      <c r="G262" s="2"/>
      <c r="H262" s="2"/>
      <c r="I262" s="2"/>
      <c r="J262" s="3" t="s">
        <v>453</v>
      </c>
      <c r="K262" s="3" t="s">
        <v>1132</v>
      </c>
      <c r="L262" s="3"/>
      <c r="M262" s="3">
        <v>2</v>
      </c>
      <c r="N262" s="17" t="s">
        <v>460</v>
      </c>
      <c r="O262" s="18">
        <v>1</v>
      </c>
      <c r="P262" s="3"/>
      <c r="Q262" s="19" t="s">
        <v>461</v>
      </c>
      <c r="R262" s="7" t="s">
        <v>599</v>
      </c>
      <c r="S262">
        <f t="shared" si="8"/>
        <v>65</v>
      </c>
      <c r="T262">
        <f t="shared" si="9"/>
        <v>0.125</v>
      </c>
    </row>
    <row r="263" spans="1:20" x14ac:dyDescent="0.25">
      <c r="B263" s="765" t="s">
        <v>1403</v>
      </c>
      <c r="C263" s="47" t="s">
        <v>462</v>
      </c>
      <c r="D263" s="208"/>
      <c r="E263" s="5"/>
      <c r="F263" s="5"/>
      <c r="G263" s="5"/>
      <c r="H263" s="5"/>
      <c r="I263" s="5"/>
      <c r="J263" s="6" t="s">
        <v>453</v>
      </c>
      <c r="K263" s="6"/>
      <c r="L263" s="6"/>
      <c r="M263" s="6">
        <v>2</v>
      </c>
      <c r="N263" s="20" t="s">
        <v>460</v>
      </c>
      <c r="O263" s="21">
        <v>1</v>
      </c>
      <c r="P263" s="6"/>
      <c r="Q263" s="22" t="s">
        <v>463</v>
      </c>
      <c r="R263" s="7" t="s">
        <v>599</v>
      </c>
      <c r="S263" t="str">
        <f t="shared" si="8"/>
        <v/>
      </c>
      <c r="T263">
        <f t="shared" si="9"/>
        <v>0.125</v>
      </c>
    </row>
    <row r="264" spans="1:20" x14ac:dyDescent="0.25">
      <c r="A264" s="765">
        <v>429</v>
      </c>
      <c r="B264" s="765" t="s">
        <v>1403</v>
      </c>
      <c r="C264" s="46" t="s">
        <v>464</v>
      </c>
      <c r="D264" s="207"/>
      <c r="E264" s="2"/>
      <c r="F264" s="2"/>
      <c r="G264" s="2"/>
      <c r="H264" s="2"/>
      <c r="I264" s="2"/>
      <c r="J264" s="3" t="s">
        <v>453</v>
      </c>
      <c r="K264" s="3"/>
      <c r="L264" s="3"/>
      <c r="M264" s="3">
        <v>2</v>
      </c>
      <c r="N264" s="23" t="s">
        <v>460</v>
      </c>
      <c r="O264" s="24">
        <v>1</v>
      </c>
      <c r="P264" s="3"/>
      <c r="Q264" s="25" t="s">
        <v>465</v>
      </c>
      <c r="R264" s="7" t="s">
        <v>599</v>
      </c>
      <c r="S264" t="str">
        <f t="shared" si="8"/>
        <v/>
      </c>
      <c r="T264">
        <f t="shared" si="9"/>
        <v>0.125</v>
      </c>
    </row>
    <row r="265" spans="1:20" x14ac:dyDescent="0.25">
      <c r="A265" s="765">
        <v>382</v>
      </c>
      <c r="B265" s="765" t="s">
        <v>1403</v>
      </c>
      <c r="C265" s="47" t="s">
        <v>466</v>
      </c>
      <c r="D265" s="208"/>
      <c r="E265" s="5"/>
      <c r="F265" s="5"/>
      <c r="G265" s="5"/>
      <c r="H265" s="5"/>
      <c r="I265" s="5"/>
      <c r="J265" s="6" t="s">
        <v>453</v>
      </c>
      <c r="K265" s="6" t="s">
        <v>1130</v>
      </c>
      <c r="L265" s="6"/>
      <c r="M265" s="6">
        <v>2</v>
      </c>
      <c r="N265" s="20" t="s">
        <v>460</v>
      </c>
      <c r="O265" s="21">
        <v>1</v>
      </c>
      <c r="P265" s="6"/>
      <c r="Q265" s="22" t="s">
        <v>467</v>
      </c>
      <c r="R265" s="7" t="s">
        <v>599</v>
      </c>
      <c r="S265">
        <f t="shared" si="8"/>
        <v>50</v>
      </c>
      <c r="T265">
        <f t="shared" si="9"/>
        <v>0.125</v>
      </c>
    </row>
    <row r="266" spans="1:20" x14ac:dyDescent="0.25">
      <c r="A266" s="765">
        <v>299</v>
      </c>
      <c r="B266" s="765" t="s">
        <v>1403</v>
      </c>
      <c r="C266" s="46" t="s">
        <v>468</v>
      </c>
      <c r="D266" s="207"/>
      <c r="E266" s="2"/>
      <c r="F266" s="2"/>
      <c r="G266" s="2"/>
      <c r="H266" s="2"/>
      <c r="I266" s="2"/>
      <c r="J266" s="3" t="s">
        <v>453</v>
      </c>
      <c r="K266" s="3"/>
      <c r="L266" s="3"/>
      <c r="M266" s="3">
        <v>1</v>
      </c>
      <c r="N266" s="3" t="s">
        <v>469</v>
      </c>
      <c r="O266" s="2">
        <v>1</v>
      </c>
      <c r="P266" s="3" t="s">
        <v>50</v>
      </c>
      <c r="Q266" s="3" t="s">
        <v>470</v>
      </c>
      <c r="R266" s="7" t="s">
        <v>599</v>
      </c>
      <c r="S266" t="str">
        <f t="shared" si="8"/>
        <v/>
      </c>
      <c r="T266">
        <f t="shared" si="9"/>
        <v>0.125</v>
      </c>
    </row>
    <row r="267" spans="1:20" x14ac:dyDescent="0.25">
      <c r="B267" s="765" t="s">
        <v>1403</v>
      </c>
      <c r="C267" s="47" t="s">
        <v>471</v>
      </c>
      <c r="D267" s="208"/>
      <c r="E267" s="5"/>
      <c r="F267" s="5"/>
      <c r="G267" s="5"/>
      <c r="H267" s="5"/>
      <c r="I267" s="5"/>
      <c r="J267" s="6" t="s">
        <v>453</v>
      </c>
      <c r="K267" s="6"/>
      <c r="L267" s="6"/>
      <c r="M267" s="6">
        <v>1</v>
      </c>
      <c r="N267" s="6" t="s">
        <v>472</v>
      </c>
      <c r="O267" s="5">
        <v>1</v>
      </c>
      <c r="P267" s="6"/>
      <c r="Q267" s="6" t="s">
        <v>473</v>
      </c>
      <c r="R267" s="7" t="s">
        <v>599</v>
      </c>
      <c r="S267" t="str">
        <f t="shared" si="8"/>
        <v/>
      </c>
      <c r="T267">
        <f t="shared" si="9"/>
        <v>0.125</v>
      </c>
    </row>
    <row r="268" spans="1:20" x14ac:dyDescent="0.25">
      <c r="A268" s="765">
        <v>301</v>
      </c>
      <c r="B268" s="765" t="s">
        <v>1403</v>
      </c>
      <c r="C268" s="46" t="s">
        <v>474</v>
      </c>
      <c r="D268" s="207"/>
      <c r="E268" s="2"/>
      <c r="F268" s="2"/>
      <c r="G268" s="2"/>
      <c r="H268" s="2"/>
      <c r="I268" s="2"/>
      <c r="J268" s="3" t="s">
        <v>453</v>
      </c>
      <c r="K268" s="3"/>
      <c r="L268" s="3"/>
      <c r="M268" s="3">
        <v>1</v>
      </c>
      <c r="N268" s="23" t="s">
        <v>475</v>
      </c>
      <c r="O268" s="24">
        <v>1</v>
      </c>
      <c r="P268" s="3"/>
      <c r="Q268" s="25" t="s">
        <v>476</v>
      </c>
      <c r="R268" s="7" t="s">
        <v>599</v>
      </c>
      <c r="S268" t="str">
        <f t="shared" si="8"/>
        <v/>
      </c>
      <c r="T268">
        <f t="shared" si="9"/>
        <v>0.125</v>
      </c>
    </row>
    <row r="269" spans="1:20" x14ac:dyDescent="0.25">
      <c r="A269" s="765">
        <v>302</v>
      </c>
      <c r="B269" s="765" t="s">
        <v>1403</v>
      </c>
      <c r="C269" s="47" t="s">
        <v>477</v>
      </c>
      <c r="D269" s="208"/>
      <c r="E269" s="5"/>
      <c r="F269" s="5"/>
      <c r="G269" s="5"/>
      <c r="H269" s="5"/>
      <c r="I269" s="5"/>
      <c r="J269" s="6" t="s">
        <v>453</v>
      </c>
      <c r="K269" s="6"/>
      <c r="L269" s="6"/>
      <c r="M269" s="6">
        <v>1</v>
      </c>
      <c r="N269" s="11" t="s">
        <v>478</v>
      </c>
      <c r="O269" s="12">
        <v>1</v>
      </c>
      <c r="P269" s="6" t="s">
        <v>1259</v>
      </c>
      <c r="Q269" s="13" t="s">
        <v>479</v>
      </c>
      <c r="R269" s="7" t="s">
        <v>599</v>
      </c>
      <c r="S269" t="str">
        <f t="shared" si="8"/>
        <v/>
      </c>
      <c r="T269">
        <f t="shared" si="9"/>
        <v>0.125</v>
      </c>
    </row>
    <row r="270" spans="1:20" x14ac:dyDescent="0.25">
      <c r="A270" s="765">
        <v>286</v>
      </c>
      <c r="B270" s="765" t="s">
        <v>1403</v>
      </c>
      <c r="C270" s="46" t="s">
        <v>989</v>
      </c>
      <c r="D270" s="207"/>
      <c r="E270" s="2" t="s">
        <v>724</v>
      </c>
      <c r="F270" s="2"/>
      <c r="G270" s="2" t="s">
        <v>724</v>
      </c>
      <c r="H270" s="2" t="s">
        <v>724</v>
      </c>
      <c r="I270" s="2" t="s">
        <v>724</v>
      </c>
      <c r="J270" s="3" t="s">
        <v>453</v>
      </c>
      <c r="K270" s="3" t="s">
        <v>1130</v>
      </c>
      <c r="L270" s="3"/>
      <c r="M270" s="3">
        <v>1</v>
      </c>
      <c r="N270" s="23" t="s">
        <v>480</v>
      </c>
      <c r="O270" s="24">
        <v>1</v>
      </c>
      <c r="P270" s="3"/>
      <c r="Q270" s="25" t="s">
        <v>966</v>
      </c>
      <c r="R270" s="7" t="s">
        <v>599</v>
      </c>
      <c r="S270">
        <f t="shared" si="8"/>
        <v>50</v>
      </c>
      <c r="T270">
        <f t="shared" si="9"/>
        <v>0.125</v>
      </c>
    </row>
    <row r="271" spans="1:20" x14ac:dyDescent="0.25">
      <c r="B271" s="765" t="s">
        <v>1403</v>
      </c>
      <c r="C271" s="47" t="s">
        <v>482</v>
      </c>
      <c r="D271" s="208"/>
      <c r="E271" s="5"/>
      <c r="F271" s="5"/>
      <c r="G271" s="5"/>
      <c r="H271" s="5"/>
      <c r="I271" s="5"/>
      <c r="J271" s="6" t="s">
        <v>453</v>
      </c>
      <c r="K271" s="6"/>
      <c r="L271" s="6"/>
      <c r="M271" s="6">
        <v>1</v>
      </c>
      <c r="N271" s="26" t="s">
        <v>480</v>
      </c>
      <c r="O271" s="27">
        <v>1</v>
      </c>
      <c r="P271" s="6"/>
      <c r="Q271" s="28" t="s">
        <v>483</v>
      </c>
      <c r="R271" s="7" t="s">
        <v>599</v>
      </c>
      <c r="S271" t="str">
        <f t="shared" si="8"/>
        <v/>
      </c>
      <c r="T271">
        <f t="shared" si="9"/>
        <v>0.125</v>
      </c>
    </row>
    <row r="272" spans="1:20" x14ac:dyDescent="0.25">
      <c r="A272" s="765">
        <v>239</v>
      </c>
      <c r="B272" s="765" t="s">
        <v>1403</v>
      </c>
      <c r="C272" s="46" t="s">
        <v>484</v>
      </c>
      <c r="D272" s="207"/>
      <c r="E272" s="2"/>
      <c r="F272" s="2"/>
      <c r="G272" s="2"/>
      <c r="H272" s="2"/>
      <c r="I272" s="2"/>
      <c r="J272" s="3" t="s">
        <v>453</v>
      </c>
      <c r="K272" s="3"/>
      <c r="L272" s="3"/>
      <c r="M272" s="3">
        <v>1</v>
      </c>
      <c r="N272" s="23" t="s">
        <v>480</v>
      </c>
      <c r="O272" s="24">
        <v>1</v>
      </c>
      <c r="P272" s="3"/>
      <c r="Q272" s="25" t="s">
        <v>481</v>
      </c>
      <c r="R272" s="7" t="s">
        <v>599</v>
      </c>
      <c r="S272" t="str">
        <f t="shared" si="8"/>
        <v/>
      </c>
      <c r="T272">
        <f t="shared" si="9"/>
        <v>0.125</v>
      </c>
    </row>
    <row r="273" spans="1:20" x14ac:dyDescent="0.25">
      <c r="A273" s="765">
        <v>129</v>
      </c>
      <c r="B273" s="765" t="s">
        <v>1403</v>
      </c>
      <c r="C273" s="47" t="s">
        <v>485</v>
      </c>
      <c r="D273" s="208"/>
      <c r="E273" s="2"/>
      <c r="F273" s="2"/>
      <c r="G273" s="2"/>
      <c r="H273" s="2"/>
      <c r="I273" s="5"/>
      <c r="J273" s="6" t="s">
        <v>453</v>
      </c>
      <c r="K273" s="3" t="s">
        <v>1130</v>
      </c>
      <c r="L273" s="6"/>
      <c r="M273" s="6">
        <v>1</v>
      </c>
      <c r="N273" s="26" t="s">
        <v>480</v>
      </c>
      <c r="O273" s="27">
        <v>1</v>
      </c>
      <c r="P273" s="6"/>
      <c r="Q273" s="28" t="s">
        <v>486</v>
      </c>
      <c r="R273" s="7" t="s">
        <v>599</v>
      </c>
      <c r="S273">
        <f t="shared" si="8"/>
        <v>50</v>
      </c>
      <c r="T273">
        <f t="shared" si="9"/>
        <v>0.125</v>
      </c>
    </row>
    <row r="274" spans="1:20" x14ac:dyDescent="0.25">
      <c r="A274" s="765">
        <v>289</v>
      </c>
      <c r="B274" s="765" t="s">
        <v>1403</v>
      </c>
      <c r="C274" s="47" t="s">
        <v>1389</v>
      </c>
      <c r="D274" s="208">
        <v>500</v>
      </c>
      <c r="E274" s="2" t="s">
        <v>724</v>
      </c>
      <c r="F274" s="2"/>
      <c r="G274" s="2" t="s">
        <v>724</v>
      </c>
      <c r="H274" s="2" t="s">
        <v>724</v>
      </c>
      <c r="I274" s="5" t="s">
        <v>1178</v>
      </c>
      <c r="J274" s="6" t="s">
        <v>453</v>
      </c>
      <c r="K274" s="3" t="s">
        <v>1130</v>
      </c>
      <c r="L274" s="6"/>
      <c r="M274" s="6">
        <v>1</v>
      </c>
      <c r="N274" s="26" t="s">
        <v>480</v>
      </c>
      <c r="O274" s="27">
        <v>1</v>
      </c>
      <c r="P274" s="6"/>
      <c r="Q274" s="28" t="s">
        <v>1390</v>
      </c>
      <c r="R274" s="7" t="s">
        <v>599</v>
      </c>
      <c r="S274">
        <f t="shared" si="8"/>
        <v>50</v>
      </c>
      <c r="T274">
        <f t="shared" si="9"/>
        <v>0.125</v>
      </c>
    </row>
    <row r="275" spans="1:20" x14ac:dyDescent="0.25">
      <c r="A275" s="765">
        <v>290</v>
      </c>
      <c r="B275" s="765" t="s">
        <v>1403</v>
      </c>
      <c r="C275" s="47" t="s">
        <v>1369</v>
      </c>
      <c r="D275" s="208">
        <v>500</v>
      </c>
      <c r="E275" s="2" t="s">
        <v>724</v>
      </c>
      <c r="F275" s="2"/>
      <c r="G275" s="2" t="s">
        <v>724</v>
      </c>
      <c r="H275" s="2" t="s">
        <v>724</v>
      </c>
      <c r="I275" s="5" t="s">
        <v>1178</v>
      </c>
      <c r="J275" s="6" t="s">
        <v>453</v>
      </c>
      <c r="K275" s="3" t="s">
        <v>1130</v>
      </c>
      <c r="L275" s="6"/>
      <c r="M275" s="6">
        <v>1</v>
      </c>
      <c r="N275" s="26" t="s">
        <v>480</v>
      </c>
      <c r="O275" s="27">
        <v>1</v>
      </c>
      <c r="P275" s="6"/>
      <c r="Q275" s="28" t="s">
        <v>1373</v>
      </c>
      <c r="R275" s="7" t="s">
        <v>599</v>
      </c>
      <c r="S275">
        <f t="shared" ref="S275:S279" si="10">IF(K275="S",30,IF(K275="M",50,IF(K275="L",65,"")))</f>
        <v>50</v>
      </c>
      <c r="T275">
        <f t="shared" si="9"/>
        <v>0.125</v>
      </c>
    </row>
    <row r="276" spans="1:20" x14ac:dyDescent="0.25">
      <c r="A276" s="765">
        <v>291</v>
      </c>
      <c r="B276" s="765" t="s">
        <v>1403</v>
      </c>
      <c r="C276" s="47" t="s">
        <v>1371</v>
      </c>
      <c r="D276" s="208">
        <v>500</v>
      </c>
      <c r="E276" s="2" t="s">
        <v>724</v>
      </c>
      <c r="F276" s="2"/>
      <c r="G276" s="2" t="s">
        <v>724</v>
      </c>
      <c r="H276" s="2" t="s">
        <v>724</v>
      </c>
      <c r="I276" s="5" t="s">
        <v>1178</v>
      </c>
      <c r="J276" s="6" t="s">
        <v>453</v>
      </c>
      <c r="K276" s="3" t="s">
        <v>1130</v>
      </c>
      <c r="L276" s="6"/>
      <c r="M276" s="6">
        <v>1</v>
      </c>
      <c r="N276" s="26" t="s">
        <v>480</v>
      </c>
      <c r="O276" s="27">
        <v>1</v>
      </c>
      <c r="P276" s="6"/>
      <c r="Q276" s="28" t="s">
        <v>1374</v>
      </c>
      <c r="R276" s="7" t="s">
        <v>599</v>
      </c>
      <c r="S276">
        <f t="shared" si="10"/>
        <v>50</v>
      </c>
      <c r="T276">
        <f t="shared" si="9"/>
        <v>0.125</v>
      </c>
    </row>
    <row r="277" spans="1:20" x14ac:dyDescent="0.25">
      <c r="A277" s="765">
        <v>294</v>
      </c>
      <c r="B277" s="765" t="s">
        <v>1403</v>
      </c>
      <c r="C277" s="47" t="s">
        <v>1370</v>
      </c>
      <c r="D277" s="208">
        <v>500</v>
      </c>
      <c r="E277" s="2" t="s">
        <v>724</v>
      </c>
      <c r="F277" s="2"/>
      <c r="G277" s="2" t="s">
        <v>724</v>
      </c>
      <c r="H277" s="2" t="s">
        <v>724</v>
      </c>
      <c r="I277" s="5" t="s">
        <v>1178</v>
      </c>
      <c r="J277" s="6" t="s">
        <v>453</v>
      </c>
      <c r="K277" s="3" t="s">
        <v>1130</v>
      </c>
      <c r="L277" s="6"/>
      <c r="M277" s="6">
        <v>1</v>
      </c>
      <c r="N277" s="26" t="s">
        <v>480</v>
      </c>
      <c r="O277" s="27">
        <v>1</v>
      </c>
      <c r="P277" s="6"/>
      <c r="Q277" s="28" t="s">
        <v>1375</v>
      </c>
      <c r="R277" s="7" t="s">
        <v>599</v>
      </c>
      <c r="S277">
        <f t="shared" si="10"/>
        <v>50</v>
      </c>
      <c r="T277">
        <f t="shared" si="9"/>
        <v>0.125</v>
      </c>
    </row>
    <row r="278" spans="1:20" x14ac:dyDescent="0.25">
      <c r="A278" s="765">
        <v>292</v>
      </c>
      <c r="B278" s="765" t="s">
        <v>1403</v>
      </c>
      <c r="C278" s="47" t="s">
        <v>1372</v>
      </c>
      <c r="D278" s="208">
        <v>500</v>
      </c>
      <c r="E278" s="2" t="s">
        <v>724</v>
      </c>
      <c r="F278" s="2"/>
      <c r="G278" s="2" t="s">
        <v>724</v>
      </c>
      <c r="H278" s="2" t="s">
        <v>724</v>
      </c>
      <c r="I278" s="5" t="s">
        <v>1178</v>
      </c>
      <c r="J278" s="6" t="s">
        <v>453</v>
      </c>
      <c r="K278" s="3" t="s">
        <v>1130</v>
      </c>
      <c r="L278" s="6"/>
      <c r="M278" s="6">
        <v>1</v>
      </c>
      <c r="N278" s="26" t="s">
        <v>480</v>
      </c>
      <c r="O278" s="27">
        <v>1</v>
      </c>
      <c r="P278" s="6"/>
      <c r="Q278" s="28" t="s">
        <v>1376</v>
      </c>
      <c r="R278" s="7" t="s">
        <v>599</v>
      </c>
      <c r="S278">
        <f t="shared" si="10"/>
        <v>50</v>
      </c>
      <c r="T278">
        <f t="shared" si="9"/>
        <v>0.125</v>
      </c>
    </row>
    <row r="279" spans="1:20" x14ac:dyDescent="0.25">
      <c r="A279" s="765">
        <v>293</v>
      </c>
      <c r="B279" s="765" t="s">
        <v>1403</v>
      </c>
      <c r="C279" s="47" t="s">
        <v>1368</v>
      </c>
      <c r="D279" s="208">
        <v>500</v>
      </c>
      <c r="E279" s="2" t="s">
        <v>724</v>
      </c>
      <c r="F279" s="2"/>
      <c r="G279" s="2" t="s">
        <v>724</v>
      </c>
      <c r="H279" s="2" t="s">
        <v>724</v>
      </c>
      <c r="I279" s="5" t="s">
        <v>1178</v>
      </c>
      <c r="J279" s="6" t="s">
        <v>453</v>
      </c>
      <c r="K279" s="3" t="s">
        <v>1130</v>
      </c>
      <c r="L279" s="6"/>
      <c r="M279" s="6">
        <v>1</v>
      </c>
      <c r="N279" s="26" t="s">
        <v>480</v>
      </c>
      <c r="O279" s="27">
        <v>1</v>
      </c>
      <c r="P279" s="6"/>
      <c r="Q279" s="28" t="s">
        <v>1377</v>
      </c>
      <c r="R279" s="7" t="s">
        <v>599</v>
      </c>
      <c r="S279">
        <f t="shared" si="10"/>
        <v>50</v>
      </c>
      <c r="T279">
        <f t="shared" si="9"/>
        <v>0.125</v>
      </c>
    </row>
    <row r="280" spans="1:20" x14ac:dyDescent="0.25">
      <c r="A280" s="765">
        <v>303</v>
      </c>
      <c r="B280" s="765" t="s">
        <v>1403</v>
      </c>
      <c r="C280" s="46" t="s">
        <v>487</v>
      </c>
      <c r="D280" s="207"/>
      <c r="E280" s="2"/>
      <c r="F280" s="2"/>
      <c r="G280" s="2"/>
      <c r="H280" s="2"/>
      <c r="I280" s="2"/>
      <c r="J280" s="3" t="s">
        <v>453</v>
      </c>
      <c r="K280" s="3"/>
      <c r="L280" s="3"/>
      <c r="M280" s="3">
        <v>2</v>
      </c>
      <c r="N280" s="23" t="s">
        <v>488</v>
      </c>
      <c r="O280" s="24">
        <v>1</v>
      </c>
      <c r="P280" s="3" t="s">
        <v>1259</v>
      </c>
      <c r="Q280" s="25" t="s">
        <v>489</v>
      </c>
      <c r="R280" s="7" t="s">
        <v>599</v>
      </c>
      <c r="S280" t="str">
        <f t="shared" si="8"/>
        <v/>
      </c>
      <c r="T280">
        <f t="shared" si="9"/>
        <v>0.125</v>
      </c>
    </row>
    <row r="281" spans="1:20" x14ac:dyDescent="0.25">
      <c r="A281" s="765">
        <v>305</v>
      </c>
      <c r="B281" s="765" t="s">
        <v>1403</v>
      </c>
      <c r="C281" s="47" t="s">
        <v>490</v>
      </c>
      <c r="D281" s="208"/>
      <c r="E281" s="5"/>
      <c r="F281" s="5"/>
      <c r="G281" s="5"/>
      <c r="H281" s="5"/>
      <c r="I281" s="5"/>
      <c r="J281" s="6" t="s">
        <v>453</v>
      </c>
      <c r="K281" s="6"/>
      <c r="L281" s="6"/>
      <c r="M281" s="6">
        <v>2</v>
      </c>
      <c r="N281" s="6" t="s">
        <v>491</v>
      </c>
      <c r="O281" s="5">
        <v>1</v>
      </c>
      <c r="P281" s="6"/>
      <c r="Q281" s="6" t="s">
        <v>492</v>
      </c>
      <c r="R281" s="7" t="s">
        <v>599</v>
      </c>
      <c r="S281" t="str">
        <f t="shared" si="8"/>
        <v/>
      </c>
      <c r="T281">
        <f t="shared" si="9"/>
        <v>0.125</v>
      </c>
    </row>
    <row r="282" spans="1:20" x14ac:dyDescent="0.25">
      <c r="A282" s="765">
        <v>306</v>
      </c>
      <c r="B282" s="765" t="s">
        <v>1403</v>
      </c>
      <c r="C282" s="46" t="s">
        <v>493</v>
      </c>
      <c r="D282" s="207"/>
      <c r="E282" s="2"/>
      <c r="F282" s="2"/>
      <c r="G282" s="2"/>
      <c r="H282" s="2"/>
      <c r="I282" s="2"/>
      <c r="J282" s="3" t="s">
        <v>453</v>
      </c>
      <c r="K282" s="3"/>
      <c r="L282" s="3"/>
      <c r="M282" s="3">
        <v>2</v>
      </c>
      <c r="N282" s="8" t="s">
        <v>494</v>
      </c>
      <c r="O282" s="9">
        <v>1</v>
      </c>
      <c r="P282" s="3" t="s">
        <v>50</v>
      </c>
      <c r="Q282" s="10" t="s">
        <v>495</v>
      </c>
      <c r="R282" s="7" t="s">
        <v>599</v>
      </c>
      <c r="S282" t="str">
        <f t="shared" si="8"/>
        <v/>
      </c>
      <c r="T282">
        <f t="shared" si="9"/>
        <v>0.125</v>
      </c>
    </row>
    <row r="283" spans="1:20" x14ac:dyDescent="0.25">
      <c r="A283" s="765">
        <v>130</v>
      </c>
      <c r="B283" s="765" t="s">
        <v>1403</v>
      </c>
      <c r="C283" s="47" t="s">
        <v>161</v>
      </c>
      <c r="D283" s="208">
        <v>100</v>
      </c>
      <c r="E283" s="5" t="s">
        <v>724</v>
      </c>
      <c r="F283" s="5"/>
      <c r="G283" s="5" t="s">
        <v>724</v>
      </c>
      <c r="H283" s="5"/>
      <c r="I283" s="5"/>
      <c r="J283" s="6" t="s">
        <v>453</v>
      </c>
      <c r="K283" s="6" t="s">
        <v>1130</v>
      </c>
      <c r="L283" s="6"/>
      <c r="M283" s="6">
        <v>1</v>
      </c>
      <c r="N283" s="6" t="s">
        <v>162</v>
      </c>
      <c r="O283" s="5">
        <v>1</v>
      </c>
      <c r="P283" s="6"/>
      <c r="Q283" s="6" t="s">
        <v>163</v>
      </c>
      <c r="R283" s="7" t="s">
        <v>599</v>
      </c>
      <c r="S283">
        <f t="shared" si="8"/>
        <v>50</v>
      </c>
      <c r="T283">
        <f t="shared" si="9"/>
        <v>0.125</v>
      </c>
    </row>
    <row r="284" spans="1:20" x14ac:dyDescent="0.25">
      <c r="B284" s="765" t="s">
        <v>1403</v>
      </c>
      <c r="C284" s="47" t="s">
        <v>944</v>
      </c>
      <c r="D284" s="208"/>
      <c r="E284" s="5"/>
      <c r="F284" s="5"/>
      <c r="G284" s="5"/>
      <c r="H284" s="5"/>
      <c r="I284" s="5"/>
      <c r="J284" s="6" t="s">
        <v>453</v>
      </c>
      <c r="K284" s="6" t="s">
        <v>1130</v>
      </c>
      <c r="L284" s="6"/>
      <c r="M284" s="6">
        <v>2</v>
      </c>
      <c r="N284" s="6" t="s">
        <v>945</v>
      </c>
      <c r="O284" s="5">
        <v>1</v>
      </c>
      <c r="P284" s="6"/>
      <c r="Q284" s="6" t="s">
        <v>951</v>
      </c>
      <c r="R284" s="7" t="s">
        <v>599</v>
      </c>
      <c r="S284">
        <f t="shared" si="8"/>
        <v>50</v>
      </c>
      <c r="T284">
        <f t="shared" si="9"/>
        <v>0.125</v>
      </c>
    </row>
    <row r="285" spans="1:20" x14ac:dyDescent="0.25">
      <c r="A285" s="765">
        <v>413</v>
      </c>
      <c r="B285" s="765" t="s">
        <v>1403</v>
      </c>
      <c r="C285" s="46" t="s">
        <v>777</v>
      </c>
      <c r="D285" s="207">
        <v>200</v>
      </c>
      <c r="E285" s="2" t="s">
        <v>724</v>
      </c>
      <c r="F285" s="2"/>
      <c r="G285" s="2" t="s">
        <v>724</v>
      </c>
      <c r="H285" s="2" t="s">
        <v>724</v>
      </c>
      <c r="I285" s="2" t="s">
        <v>724</v>
      </c>
      <c r="J285" s="3" t="s">
        <v>453</v>
      </c>
      <c r="K285" s="3" t="s">
        <v>1130</v>
      </c>
      <c r="L285" s="3"/>
      <c r="M285" s="3">
        <v>2</v>
      </c>
      <c r="N285" s="8" t="s">
        <v>497</v>
      </c>
      <c r="O285" s="29">
        <v>1</v>
      </c>
      <c r="P285" s="3"/>
      <c r="Q285" s="30" t="s">
        <v>859</v>
      </c>
      <c r="R285" s="7" t="s">
        <v>599</v>
      </c>
      <c r="S285">
        <f t="shared" si="8"/>
        <v>50</v>
      </c>
      <c r="T285">
        <f t="shared" si="9"/>
        <v>0.125</v>
      </c>
    </row>
    <row r="286" spans="1:20" x14ac:dyDescent="0.25">
      <c r="A286" s="765">
        <v>361</v>
      </c>
      <c r="B286" s="765" t="s">
        <v>1403</v>
      </c>
      <c r="C286" s="46" t="s">
        <v>496</v>
      </c>
      <c r="D286" s="207"/>
      <c r="E286" s="2"/>
      <c r="F286" s="2"/>
      <c r="G286" s="2"/>
      <c r="H286" s="2"/>
      <c r="I286" s="2"/>
      <c r="J286" s="3" t="s">
        <v>453</v>
      </c>
      <c r="K286" s="3"/>
      <c r="L286" s="3"/>
      <c r="M286" s="3">
        <v>2</v>
      </c>
      <c r="N286" s="8" t="s">
        <v>497</v>
      </c>
      <c r="O286" s="29">
        <v>1</v>
      </c>
      <c r="P286" s="3"/>
      <c r="Q286" s="30" t="s">
        <v>498</v>
      </c>
      <c r="R286" s="7" t="s">
        <v>599</v>
      </c>
      <c r="S286" t="str">
        <f t="shared" si="8"/>
        <v/>
      </c>
      <c r="T286">
        <f t="shared" si="9"/>
        <v>0.125</v>
      </c>
    </row>
    <row r="287" spans="1:20" x14ac:dyDescent="0.25">
      <c r="A287" s="765">
        <v>363</v>
      </c>
      <c r="B287" s="765" t="s">
        <v>1403</v>
      </c>
      <c r="C287" s="47" t="s">
        <v>499</v>
      </c>
      <c r="D287" s="208"/>
      <c r="E287" s="5"/>
      <c r="F287" s="5"/>
      <c r="G287" s="5"/>
      <c r="H287" s="5"/>
      <c r="I287" s="5"/>
      <c r="J287" s="6" t="s">
        <v>453</v>
      </c>
      <c r="K287" s="6"/>
      <c r="L287" s="6"/>
      <c r="M287" s="6">
        <v>2</v>
      </c>
      <c r="N287" s="11" t="s">
        <v>497</v>
      </c>
      <c r="O287" s="15">
        <v>1</v>
      </c>
      <c r="P287" s="6"/>
      <c r="Q287" s="31" t="s">
        <v>500</v>
      </c>
      <c r="R287" s="7" t="s">
        <v>599</v>
      </c>
      <c r="S287" t="str">
        <f t="shared" si="8"/>
        <v/>
      </c>
      <c r="T287">
        <f t="shared" si="9"/>
        <v>0.125</v>
      </c>
    </row>
    <row r="288" spans="1:20" x14ac:dyDescent="0.25">
      <c r="A288" s="765">
        <v>366</v>
      </c>
      <c r="B288" s="765" t="s">
        <v>1403</v>
      </c>
      <c r="C288" s="47" t="s">
        <v>1043</v>
      </c>
      <c r="D288" s="208"/>
      <c r="E288" s="5"/>
      <c r="F288" s="5"/>
      <c r="G288" s="5"/>
      <c r="H288" s="5"/>
      <c r="I288" s="5"/>
      <c r="J288" s="6" t="s">
        <v>453</v>
      </c>
      <c r="K288" s="6"/>
      <c r="L288" s="6"/>
      <c r="M288" s="6">
        <v>2</v>
      </c>
      <c r="N288" s="11" t="s">
        <v>497</v>
      </c>
      <c r="O288" s="15">
        <v>1</v>
      </c>
      <c r="P288" s="6"/>
      <c r="Q288" s="31" t="s">
        <v>1063</v>
      </c>
      <c r="R288" s="7" t="s">
        <v>599</v>
      </c>
      <c r="S288" t="str">
        <f t="shared" si="8"/>
        <v/>
      </c>
      <c r="T288">
        <f t="shared" si="9"/>
        <v>0.125</v>
      </c>
    </row>
    <row r="289" spans="1:20" x14ac:dyDescent="0.25">
      <c r="A289" s="765">
        <v>367</v>
      </c>
      <c r="B289" s="765" t="s">
        <v>1403</v>
      </c>
      <c r="C289" s="46" t="s">
        <v>501</v>
      </c>
      <c r="D289" s="207"/>
      <c r="E289" s="2"/>
      <c r="F289" s="2"/>
      <c r="G289" s="2"/>
      <c r="H289" s="2"/>
      <c r="I289" s="2"/>
      <c r="J289" s="3" t="s">
        <v>453</v>
      </c>
      <c r="K289" s="3"/>
      <c r="L289" s="3"/>
      <c r="M289" s="3">
        <v>2</v>
      </c>
      <c r="N289" s="8" t="s">
        <v>497</v>
      </c>
      <c r="O289" s="29">
        <v>1</v>
      </c>
      <c r="P289" s="3"/>
      <c r="Q289" s="30" t="s">
        <v>502</v>
      </c>
      <c r="R289" s="7" t="s">
        <v>599</v>
      </c>
      <c r="S289" t="str">
        <f t="shared" si="8"/>
        <v/>
      </c>
      <c r="T289">
        <f t="shared" si="9"/>
        <v>0.125</v>
      </c>
    </row>
    <row r="290" spans="1:20" x14ac:dyDescent="0.25">
      <c r="B290" s="765" t="s">
        <v>1403</v>
      </c>
      <c r="C290" s="46" t="s">
        <v>1041</v>
      </c>
      <c r="D290" s="207"/>
      <c r="E290" s="2"/>
      <c r="F290" s="2"/>
      <c r="G290" s="2"/>
      <c r="H290" s="2"/>
      <c r="I290" s="2"/>
      <c r="J290" s="6" t="s">
        <v>453</v>
      </c>
      <c r="K290" s="6"/>
      <c r="L290" s="3"/>
      <c r="M290" s="3">
        <v>2</v>
      </c>
      <c r="N290" s="14" t="s">
        <v>497</v>
      </c>
      <c r="O290" s="29">
        <v>1</v>
      </c>
      <c r="P290" s="3"/>
      <c r="Q290" s="30" t="s">
        <v>1066</v>
      </c>
      <c r="R290" s="7" t="s">
        <v>599</v>
      </c>
      <c r="S290" t="str">
        <f t="shared" si="8"/>
        <v/>
      </c>
      <c r="T290">
        <f t="shared" si="9"/>
        <v>0.125</v>
      </c>
    </row>
    <row r="291" spans="1:20" x14ac:dyDescent="0.25">
      <c r="A291" s="765">
        <v>244</v>
      </c>
      <c r="B291" s="765" t="s">
        <v>1403</v>
      </c>
      <c r="C291" s="47" t="s">
        <v>503</v>
      </c>
      <c r="D291" s="208"/>
      <c r="E291" s="5"/>
      <c r="F291" s="5"/>
      <c r="G291" s="5"/>
      <c r="H291" s="5"/>
      <c r="I291" s="5"/>
      <c r="J291" s="6" t="s">
        <v>453</v>
      </c>
      <c r="K291" s="6"/>
      <c r="L291" s="6"/>
      <c r="M291" s="6">
        <v>2</v>
      </c>
      <c r="N291" s="14" t="s">
        <v>497</v>
      </c>
      <c r="O291" s="15">
        <v>1</v>
      </c>
      <c r="P291" s="6"/>
      <c r="Q291" s="16" t="s">
        <v>504</v>
      </c>
      <c r="R291" s="7" t="s">
        <v>599</v>
      </c>
      <c r="S291" t="str">
        <f t="shared" ref="S291:S348" si="11">IF(K291="S",30,IF(K291="M",50,IF(K291="L",65,"")))</f>
        <v/>
      </c>
      <c r="T291">
        <f t="shared" si="9"/>
        <v>0.125</v>
      </c>
    </row>
    <row r="292" spans="1:20" x14ac:dyDescent="0.25">
      <c r="B292" s="765" t="s">
        <v>1403</v>
      </c>
      <c r="C292" s="47" t="s">
        <v>1042</v>
      </c>
      <c r="D292" s="208"/>
      <c r="E292" s="5"/>
      <c r="F292" s="5"/>
      <c r="G292" s="5"/>
      <c r="H292" s="5"/>
      <c r="I292" s="5"/>
      <c r="J292" s="6" t="s">
        <v>453</v>
      </c>
      <c r="K292" s="6"/>
      <c r="L292" s="6"/>
      <c r="M292" s="6">
        <v>2</v>
      </c>
      <c r="N292" s="14" t="s">
        <v>497</v>
      </c>
      <c r="O292" s="15">
        <v>1</v>
      </c>
      <c r="P292" s="6"/>
      <c r="Q292" s="16" t="s">
        <v>1064</v>
      </c>
      <c r="R292" s="7" t="s">
        <v>599</v>
      </c>
      <c r="S292" t="str">
        <f t="shared" si="11"/>
        <v/>
      </c>
      <c r="T292">
        <f t="shared" si="9"/>
        <v>0.125</v>
      </c>
    </row>
    <row r="293" spans="1:20" x14ac:dyDescent="0.25">
      <c r="A293" s="765">
        <v>369</v>
      </c>
      <c r="B293" s="765" t="s">
        <v>1403</v>
      </c>
      <c r="C293" s="46" t="s">
        <v>505</v>
      </c>
      <c r="D293" s="207"/>
      <c r="E293" s="2"/>
      <c r="F293" s="2"/>
      <c r="G293" s="2"/>
      <c r="H293" s="2"/>
      <c r="I293" s="2"/>
      <c r="J293" s="3" t="s">
        <v>453</v>
      </c>
      <c r="K293" s="3"/>
      <c r="L293" s="3"/>
      <c r="M293" s="3">
        <v>2</v>
      </c>
      <c r="N293" s="23" t="s">
        <v>497</v>
      </c>
      <c r="O293" s="24">
        <v>1</v>
      </c>
      <c r="P293" s="3"/>
      <c r="Q293" s="25" t="s">
        <v>506</v>
      </c>
      <c r="R293" s="7" t="s">
        <v>599</v>
      </c>
      <c r="S293" t="str">
        <f t="shared" si="11"/>
        <v/>
      </c>
      <c r="T293">
        <f t="shared" si="9"/>
        <v>0.125</v>
      </c>
    </row>
    <row r="294" spans="1:20" x14ac:dyDescent="0.25">
      <c r="A294" s="765">
        <v>246</v>
      </c>
      <c r="B294" s="765" t="s">
        <v>1403</v>
      </c>
      <c r="C294" s="47" t="s">
        <v>507</v>
      </c>
      <c r="D294" s="208"/>
      <c r="E294" s="5"/>
      <c r="F294" s="5"/>
      <c r="G294" s="5"/>
      <c r="H294" s="5"/>
      <c r="I294" s="5"/>
      <c r="J294" s="6" t="s">
        <v>453</v>
      </c>
      <c r="K294" s="6"/>
      <c r="L294" s="6"/>
      <c r="M294" s="6">
        <v>2</v>
      </c>
      <c r="N294" s="20" t="s">
        <v>497</v>
      </c>
      <c r="O294" s="21">
        <v>1</v>
      </c>
      <c r="P294" s="6"/>
      <c r="Q294" s="22" t="s">
        <v>508</v>
      </c>
      <c r="R294" s="7" t="s">
        <v>599</v>
      </c>
      <c r="S294" t="str">
        <f t="shared" si="11"/>
        <v/>
      </c>
      <c r="T294">
        <f t="shared" si="9"/>
        <v>0.125</v>
      </c>
    </row>
    <row r="295" spans="1:20" x14ac:dyDescent="0.25">
      <c r="A295" s="765">
        <v>371</v>
      </c>
      <c r="B295" s="765" t="s">
        <v>1403</v>
      </c>
      <c r="C295" s="46" t="s">
        <v>509</v>
      </c>
      <c r="D295" s="207"/>
      <c r="E295" s="2"/>
      <c r="F295" s="2"/>
      <c r="G295" s="2"/>
      <c r="H295" s="2"/>
      <c r="I295" s="2"/>
      <c r="J295" s="3" t="s">
        <v>453</v>
      </c>
      <c r="K295" s="3"/>
      <c r="L295" s="3"/>
      <c r="M295" s="3">
        <v>2</v>
      </c>
      <c r="N295" s="32" t="s">
        <v>497</v>
      </c>
      <c r="O295" s="9">
        <v>1</v>
      </c>
      <c r="P295" s="3"/>
      <c r="Q295" s="10" t="s">
        <v>510</v>
      </c>
      <c r="R295" s="7" t="s">
        <v>599</v>
      </c>
      <c r="S295" t="str">
        <f t="shared" si="11"/>
        <v/>
      </c>
      <c r="T295">
        <f t="shared" si="9"/>
        <v>0.125</v>
      </c>
    </row>
    <row r="296" spans="1:20" x14ac:dyDescent="0.25">
      <c r="A296" s="765">
        <v>373</v>
      </c>
      <c r="B296" s="765" t="s">
        <v>1403</v>
      </c>
      <c r="C296" s="47" t="s">
        <v>511</v>
      </c>
      <c r="D296" s="208"/>
      <c r="E296" s="5"/>
      <c r="F296" s="5"/>
      <c r="G296" s="5"/>
      <c r="H296" s="5"/>
      <c r="I296" s="5"/>
      <c r="J296" s="6" t="s">
        <v>453</v>
      </c>
      <c r="K296" s="6" t="s">
        <v>1309</v>
      </c>
      <c r="L296" s="6"/>
      <c r="M296" s="6">
        <v>2</v>
      </c>
      <c r="N296" s="11" t="s">
        <v>497</v>
      </c>
      <c r="O296" s="15">
        <v>1</v>
      </c>
      <c r="P296" s="6"/>
      <c r="Q296" s="31" t="s">
        <v>512</v>
      </c>
      <c r="R296" s="7" t="s">
        <v>599</v>
      </c>
      <c r="S296">
        <f t="shared" si="11"/>
        <v>50</v>
      </c>
      <c r="T296">
        <f t="shared" si="9"/>
        <v>0.125</v>
      </c>
    </row>
    <row r="297" spans="1:20" x14ac:dyDescent="0.25">
      <c r="A297" s="765">
        <v>374</v>
      </c>
      <c r="B297" s="765" t="s">
        <v>1403</v>
      </c>
      <c r="C297" s="46" t="s">
        <v>513</v>
      </c>
      <c r="D297" s="207"/>
      <c r="E297" s="2"/>
      <c r="F297" s="2"/>
      <c r="G297" s="2"/>
      <c r="H297" s="2"/>
      <c r="I297" s="2"/>
      <c r="J297" s="3" t="s">
        <v>453</v>
      </c>
      <c r="K297" s="3" t="s">
        <v>1309</v>
      </c>
      <c r="L297" s="3"/>
      <c r="M297" s="3">
        <v>2</v>
      </c>
      <c r="N297" s="32" t="s">
        <v>497</v>
      </c>
      <c r="O297" s="29">
        <v>1</v>
      </c>
      <c r="P297" s="3"/>
      <c r="Q297" s="33" t="s">
        <v>514</v>
      </c>
      <c r="R297" s="7" t="s">
        <v>599</v>
      </c>
      <c r="S297">
        <f t="shared" si="11"/>
        <v>50</v>
      </c>
      <c r="T297">
        <f t="shared" si="9"/>
        <v>0.125</v>
      </c>
    </row>
    <row r="298" spans="1:20" x14ac:dyDescent="0.25">
      <c r="A298" s="765">
        <v>375</v>
      </c>
      <c r="B298" s="765" t="s">
        <v>1403</v>
      </c>
      <c r="C298" s="47" t="s">
        <v>515</v>
      </c>
      <c r="D298" s="208"/>
      <c r="E298" s="5"/>
      <c r="F298" s="5"/>
      <c r="G298" s="5"/>
      <c r="H298" s="5"/>
      <c r="I298" s="5"/>
      <c r="J298" s="6" t="s">
        <v>453</v>
      </c>
      <c r="K298" s="6"/>
      <c r="L298" s="6"/>
      <c r="M298" s="6">
        <v>2</v>
      </c>
      <c r="N298" s="11" t="s">
        <v>497</v>
      </c>
      <c r="O298" s="15">
        <v>1</v>
      </c>
      <c r="P298" s="6"/>
      <c r="Q298" s="31" t="s">
        <v>516</v>
      </c>
      <c r="R298" s="7" t="s">
        <v>599</v>
      </c>
      <c r="S298" t="str">
        <f t="shared" si="11"/>
        <v/>
      </c>
      <c r="T298">
        <f t="shared" si="9"/>
        <v>0.125</v>
      </c>
    </row>
    <row r="299" spans="1:20" x14ac:dyDescent="0.25">
      <c r="A299" s="765">
        <v>416</v>
      </c>
      <c r="B299" s="765" t="s">
        <v>1403</v>
      </c>
      <c r="C299" s="47" t="s">
        <v>1044</v>
      </c>
      <c r="D299" s="208"/>
      <c r="E299" s="5"/>
      <c r="F299" s="5"/>
      <c r="G299" s="5"/>
      <c r="H299" s="5"/>
      <c r="I299" s="5"/>
      <c r="J299" s="6" t="s">
        <v>453</v>
      </c>
      <c r="K299" s="6"/>
      <c r="L299" s="6"/>
      <c r="M299" s="6">
        <v>2</v>
      </c>
      <c r="N299" s="11" t="s">
        <v>497</v>
      </c>
      <c r="O299" s="15">
        <v>1</v>
      </c>
      <c r="P299" s="6"/>
      <c r="Q299" s="31" t="s">
        <v>1065</v>
      </c>
      <c r="R299" s="7" t="s">
        <v>599</v>
      </c>
      <c r="S299" t="str">
        <f t="shared" si="11"/>
        <v/>
      </c>
      <c r="T299">
        <f t="shared" ref="T299:T329" si="12">1/8</f>
        <v>0.125</v>
      </c>
    </row>
    <row r="300" spans="1:20" x14ac:dyDescent="0.25">
      <c r="A300" s="765">
        <v>418</v>
      </c>
      <c r="B300" s="765" t="s">
        <v>1403</v>
      </c>
      <c r="C300" s="46" t="s">
        <v>517</v>
      </c>
      <c r="D300" s="207"/>
      <c r="E300" s="2"/>
      <c r="F300" s="2"/>
      <c r="G300" s="2"/>
      <c r="H300" s="2"/>
      <c r="I300" s="2"/>
      <c r="J300" s="3" t="s">
        <v>453</v>
      </c>
      <c r="K300" s="3"/>
      <c r="L300" s="3"/>
      <c r="M300" s="3">
        <v>2</v>
      </c>
      <c r="N300" s="8" t="s">
        <v>497</v>
      </c>
      <c r="O300" s="29">
        <v>1</v>
      </c>
      <c r="P300" s="3"/>
      <c r="Q300" s="30" t="s">
        <v>518</v>
      </c>
      <c r="R300" s="7" t="s">
        <v>599</v>
      </c>
      <c r="S300" t="str">
        <f t="shared" si="11"/>
        <v/>
      </c>
      <c r="T300">
        <f t="shared" si="12"/>
        <v>0.125</v>
      </c>
    </row>
    <row r="301" spans="1:20" x14ac:dyDescent="0.25">
      <c r="A301" s="765">
        <v>420</v>
      </c>
      <c r="B301" s="765" t="s">
        <v>1403</v>
      </c>
      <c r="C301" s="47" t="s">
        <v>519</v>
      </c>
      <c r="D301" s="208"/>
      <c r="E301" s="5"/>
      <c r="F301" s="5"/>
      <c r="G301" s="5"/>
      <c r="H301" s="5"/>
      <c r="I301" s="5"/>
      <c r="J301" s="6" t="s">
        <v>453</v>
      </c>
      <c r="K301" s="6" t="s">
        <v>1309</v>
      </c>
      <c r="L301" s="6"/>
      <c r="M301" s="6">
        <v>2</v>
      </c>
      <c r="N301" s="11" t="s">
        <v>497</v>
      </c>
      <c r="O301" s="15">
        <v>1</v>
      </c>
      <c r="P301" s="6"/>
      <c r="Q301" s="31" t="s">
        <v>520</v>
      </c>
      <c r="R301" s="7" t="s">
        <v>599</v>
      </c>
      <c r="S301">
        <f t="shared" si="11"/>
        <v>50</v>
      </c>
      <c r="T301">
        <f t="shared" si="12"/>
        <v>0.125</v>
      </c>
    </row>
    <row r="302" spans="1:20" x14ac:dyDescent="0.25">
      <c r="B302" s="765" t="s">
        <v>1403</v>
      </c>
      <c r="C302" s="46" t="s">
        <v>280</v>
      </c>
      <c r="D302" s="207"/>
      <c r="E302" s="2"/>
      <c r="F302" s="2"/>
      <c r="G302" s="2"/>
      <c r="H302" s="2"/>
      <c r="I302" s="2"/>
      <c r="J302" s="3" t="s">
        <v>453</v>
      </c>
      <c r="K302" s="3" t="s">
        <v>1130</v>
      </c>
      <c r="L302" s="3"/>
      <c r="M302" s="3">
        <v>1</v>
      </c>
      <c r="N302" s="3" t="s">
        <v>176</v>
      </c>
      <c r="O302" s="2">
        <v>1</v>
      </c>
      <c r="P302" s="3"/>
      <c r="Q302" s="3" t="s">
        <v>281</v>
      </c>
      <c r="R302" s="7" t="s">
        <v>599</v>
      </c>
      <c r="S302">
        <f t="shared" si="11"/>
        <v>50</v>
      </c>
      <c r="T302">
        <f t="shared" si="12"/>
        <v>0.125</v>
      </c>
    </row>
    <row r="303" spans="1:20" x14ac:dyDescent="0.25">
      <c r="B303" s="765" t="s">
        <v>1403</v>
      </c>
      <c r="C303" s="46" t="s">
        <v>1008</v>
      </c>
      <c r="D303" s="207"/>
      <c r="E303" s="2"/>
      <c r="F303" s="2"/>
      <c r="G303" s="2"/>
      <c r="H303" s="2"/>
      <c r="I303" s="2"/>
      <c r="J303" s="3" t="s">
        <v>453</v>
      </c>
      <c r="K303" s="3"/>
      <c r="L303" s="3"/>
      <c r="M303" s="3">
        <v>1</v>
      </c>
      <c r="N303" s="3" t="s">
        <v>176</v>
      </c>
      <c r="O303" s="2">
        <v>1</v>
      </c>
      <c r="P303" s="3"/>
      <c r="Q303" s="3" t="s">
        <v>1009</v>
      </c>
      <c r="R303" s="7" t="s">
        <v>599</v>
      </c>
      <c r="S303" t="str">
        <f t="shared" si="11"/>
        <v/>
      </c>
      <c r="T303">
        <f t="shared" si="12"/>
        <v>0.125</v>
      </c>
    </row>
    <row r="304" spans="1:20" x14ac:dyDescent="0.25">
      <c r="A304" s="765">
        <v>471</v>
      </c>
      <c r="B304" s="765" t="s">
        <v>1403</v>
      </c>
      <c r="C304" s="47" t="s">
        <v>282</v>
      </c>
      <c r="D304" s="208"/>
      <c r="E304" s="5"/>
      <c r="F304" s="5"/>
      <c r="G304" s="5"/>
      <c r="H304" s="5"/>
      <c r="I304" s="5"/>
      <c r="J304" s="6" t="s">
        <v>453</v>
      </c>
      <c r="K304" s="6"/>
      <c r="L304" s="6"/>
      <c r="M304" s="6">
        <v>1</v>
      </c>
      <c r="N304" s="6" t="s">
        <v>176</v>
      </c>
      <c r="O304" s="5">
        <v>1</v>
      </c>
      <c r="P304" s="6"/>
      <c r="Q304" s="6" t="s">
        <v>283</v>
      </c>
      <c r="R304" s="7" t="s">
        <v>599</v>
      </c>
      <c r="S304" t="str">
        <f t="shared" si="11"/>
        <v/>
      </c>
      <c r="T304">
        <f t="shared" si="12"/>
        <v>0.125</v>
      </c>
    </row>
    <row r="305" spans="1:20" x14ac:dyDescent="0.25">
      <c r="A305" s="765">
        <v>472</v>
      </c>
      <c r="B305" s="765" t="s">
        <v>1403</v>
      </c>
      <c r="C305" s="46" t="s">
        <v>284</v>
      </c>
      <c r="D305" s="207">
        <v>200</v>
      </c>
      <c r="E305" s="2"/>
      <c r="F305" s="2"/>
      <c r="G305" s="2"/>
      <c r="H305" s="2"/>
      <c r="I305" s="2"/>
      <c r="J305" s="6" t="s">
        <v>453</v>
      </c>
      <c r="K305" s="3" t="s">
        <v>1130</v>
      </c>
      <c r="L305" s="3"/>
      <c r="M305" s="3">
        <v>2</v>
      </c>
      <c r="N305" s="3" t="s">
        <v>176</v>
      </c>
      <c r="O305" s="2">
        <v>1</v>
      </c>
      <c r="P305" s="3"/>
      <c r="Q305" s="3" t="s">
        <v>285</v>
      </c>
      <c r="R305" s="7" t="s">
        <v>599</v>
      </c>
      <c r="S305">
        <f t="shared" ref="S305" si="13">IF(K305="S",25,IF(K305="M",35,IF(K305="L",55,"")))</f>
        <v>35</v>
      </c>
      <c r="T305">
        <f t="shared" si="12"/>
        <v>0.125</v>
      </c>
    </row>
    <row r="306" spans="1:20" x14ac:dyDescent="0.25">
      <c r="B306" s="765" t="s">
        <v>1403</v>
      </c>
      <c r="C306" s="47" t="s">
        <v>1126</v>
      </c>
      <c r="D306" s="208"/>
      <c r="E306" s="5"/>
      <c r="F306" s="5"/>
      <c r="G306" s="5"/>
      <c r="H306" s="5"/>
      <c r="I306" s="5"/>
      <c r="J306" s="6" t="s">
        <v>453</v>
      </c>
      <c r="K306" s="6"/>
      <c r="L306" s="6"/>
      <c r="M306" s="6">
        <v>2</v>
      </c>
      <c r="N306" s="6" t="s">
        <v>176</v>
      </c>
      <c r="O306" s="5">
        <v>1</v>
      </c>
      <c r="P306" s="6"/>
      <c r="Q306" s="6" t="s">
        <v>1125</v>
      </c>
      <c r="R306" s="7" t="s">
        <v>599</v>
      </c>
      <c r="S306" t="str">
        <f t="shared" si="11"/>
        <v/>
      </c>
      <c r="T306">
        <f t="shared" si="12"/>
        <v>0.125</v>
      </c>
    </row>
    <row r="307" spans="1:20" x14ac:dyDescent="0.25">
      <c r="A307" s="765">
        <v>473</v>
      </c>
      <c r="B307" s="765" t="s">
        <v>1403</v>
      </c>
      <c r="C307" s="46" t="s">
        <v>521</v>
      </c>
      <c r="D307" s="207"/>
      <c r="E307" s="2"/>
      <c r="F307" s="2"/>
      <c r="G307" s="2"/>
      <c r="H307" s="2"/>
      <c r="I307" s="2"/>
      <c r="J307" s="3" t="s">
        <v>453</v>
      </c>
      <c r="K307" s="3"/>
      <c r="L307" s="3"/>
      <c r="M307" s="3">
        <v>1</v>
      </c>
      <c r="N307" s="3" t="s">
        <v>176</v>
      </c>
      <c r="O307" s="2">
        <v>1</v>
      </c>
      <c r="P307" s="3"/>
      <c r="Q307" s="3" t="s">
        <v>522</v>
      </c>
      <c r="R307" s="7" t="s">
        <v>599</v>
      </c>
      <c r="S307" t="str">
        <f t="shared" si="11"/>
        <v/>
      </c>
      <c r="T307">
        <f t="shared" si="12"/>
        <v>0.125</v>
      </c>
    </row>
    <row r="308" spans="1:20" x14ac:dyDescent="0.25">
      <c r="A308" s="765">
        <v>475</v>
      </c>
      <c r="B308" s="765" t="s">
        <v>1403</v>
      </c>
      <c r="C308" s="47" t="s">
        <v>523</v>
      </c>
      <c r="D308" s="208"/>
      <c r="E308" s="5"/>
      <c r="F308" s="5"/>
      <c r="G308" s="5"/>
      <c r="H308" s="5"/>
      <c r="I308" s="5"/>
      <c r="J308" s="6" t="s">
        <v>453</v>
      </c>
      <c r="K308" s="6"/>
      <c r="L308" s="6"/>
      <c r="M308" s="6">
        <v>1</v>
      </c>
      <c r="N308" s="6" t="s">
        <v>176</v>
      </c>
      <c r="O308" s="5">
        <v>1</v>
      </c>
      <c r="P308" s="6"/>
      <c r="Q308" s="6" t="s">
        <v>524</v>
      </c>
      <c r="R308" s="7" t="s">
        <v>599</v>
      </c>
      <c r="S308" t="str">
        <f t="shared" si="11"/>
        <v/>
      </c>
      <c r="T308">
        <f t="shared" si="12"/>
        <v>0.125</v>
      </c>
    </row>
    <row r="309" spans="1:20" x14ac:dyDescent="0.25">
      <c r="A309" s="765">
        <v>476</v>
      </c>
      <c r="B309" s="765" t="s">
        <v>1403</v>
      </c>
      <c r="C309" s="47" t="s">
        <v>1010</v>
      </c>
      <c r="D309" s="208"/>
      <c r="E309" s="5"/>
      <c r="F309" s="5"/>
      <c r="G309" s="5"/>
      <c r="H309" s="5"/>
      <c r="I309" s="5"/>
      <c r="J309" s="6" t="s">
        <v>453</v>
      </c>
      <c r="K309" s="6"/>
      <c r="L309" s="6"/>
      <c r="M309" s="6">
        <v>1</v>
      </c>
      <c r="N309" s="6" t="s">
        <v>176</v>
      </c>
      <c r="O309" s="5">
        <v>1</v>
      </c>
      <c r="P309" s="6"/>
      <c r="Q309" s="6" t="s">
        <v>1011</v>
      </c>
      <c r="R309" s="7" t="s">
        <v>599</v>
      </c>
      <c r="S309" t="str">
        <f t="shared" si="11"/>
        <v/>
      </c>
      <c r="T309">
        <f t="shared" si="12"/>
        <v>0.125</v>
      </c>
    </row>
    <row r="310" spans="1:20" x14ac:dyDescent="0.25">
      <c r="A310" s="765">
        <v>477</v>
      </c>
      <c r="B310" s="765" t="s">
        <v>1403</v>
      </c>
      <c r="C310" s="46" t="s">
        <v>175</v>
      </c>
      <c r="D310" s="207"/>
      <c r="E310" s="2"/>
      <c r="F310" s="2"/>
      <c r="G310" s="2"/>
      <c r="H310" s="2"/>
      <c r="I310" s="2"/>
      <c r="J310" s="3" t="s">
        <v>453</v>
      </c>
      <c r="K310" s="3"/>
      <c r="L310" s="3"/>
      <c r="M310" s="3">
        <v>1</v>
      </c>
      <c r="N310" s="3" t="s">
        <v>176</v>
      </c>
      <c r="O310" s="2">
        <v>1</v>
      </c>
      <c r="P310" s="3"/>
      <c r="Q310" s="3" t="s">
        <v>177</v>
      </c>
      <c r="R310" s="7" t="s">
        <v>599</v>
      </c>
      <c r="S310" t="str">
        <f t="shared" si="11"/>
        <v/>
      </c>
      <c r="T310">
        <f t="shared" si="12"/>
        <v>0.125</v>
      </c>
    </row>
    <row r="311" spans="1:20" x14ac:dyDescent="0.25">
      <c r="B311" s="765" t="s">
        <v>1403</v>
      </c>
      <c r="C311" s="47" t="s">
        <v>286</v>
      </c>
      <c r="D311" s="208"/>
      <c r="E311" s="5"/>
      <c r="F311" s="5"/>
      <c r="G311" s="5"/>
      <c r="H311" s="5"/>
      <c r="I311" s="5"/>
      <c r="J311" s="6" t="s">
        <v>453</v>
      </c>
      <c r="K311" s="6"/>
      <c r="L311" s="6"/>
      <c r="M311" s="6">
        <v>1</v>
      </c>
      <c r="N311" s="6" t="s">
        <v>176</v>
      </c>
      <c r="O311" s="5">
        <v>1</v>
      </c>
      <c r="P311" s="6"/>
      <c r="Q311" s="6" t="s">
        <v>287</v>
      </c>
      <c r="R311" s="7" t="s">
        <v>599</v>
      </c>
      <c r="S311" t="str">
        <f t="shared" si="11"/>
        <v/>
      </c>
      <c r="T311">
        <f t="shared" si="12"/>
        <v>0.125</v>
      </c>
    </row>
    <row r="312" spans="1:20" x14ac:dyDescent="0.25">
      <c r="A312" s="765">
        <v>132</v>
      </c>
      <c r="B312" s="765" t="s">
        <v>1403</v>
      </c>
      <c r="C312" s="46" t="s">
        <v>525</v>
      </c>
      <c r="D312" s="207"/>
      <c r="E312" s="2"/>
      <c r="F312" s="2"/>
      <c r="G312" s="2"/>
      <c r="H312" s="2"/>
      <c r="I312" s="2"/>
      <c r="J312" s="3" t="s">
        <v>453</v>
      </c>
      <c r="K312" s="3"/>
      <c r="L312" s="3"/>
      <c r="M312" s="3">
        <v>1</v>
      </c>
      <c r="N312" s="3" t="s">
        <v>176</v>
      </c>
      <c r="O312" s="2">
        <v>1</v>
      </c>
      <c r="P312" s="3"/>
      <c r="Q312" s="3" t="s">
        <v>526</v>
      </c>
      <c r="R312" s="7" t="s">
        <v>599</v>
      </c>
      <c r="S312" t="str">
        <f t="shared" si="11"/>
        <v/>
      </c>
      <c r="T312">
        <f t="shared" si="12"/>
        <v>0.125</v>
      </c>
    </row>
    <row r="313" spans="1:20" x14ac:dyDescent="0.25">
      <c r="B313" s="765" t="s">
        <v>1403</v>
      </c>
      <c r="C313" s="47" t="s">
        <v>1007</v>
      </c>
      <c r="D313" s="208"/>
      <c r="E313" s="5"/>
      <c r="F313" s="5"/>
      <c r="G313" s="5"/>
      <c r="H313" s="5"/>
      <c r="I313" s="5"/>
      <c r="J313" s="6" t="s">
        <v>453</v>
      </c>
      <c r="K313" s="6"/>
      <c r="L313" s="6"/>
      <c r="M313" s="6">
        <v>2</v>
      </c>
      <c r="N313" s="20" t="s">
        <v>527</v>
      </c>
      <c r="O313" s="21">
        <v>1</v>
      </c>
      <c r="P313" s="6"/>
      <c r="Q313" s="22" t="s">
        <v>528</v>
      </c>
      <c r="R313" s="7" t="s">
        <v>599</v>
      </c>
      <c r="S313" t="str">
        <f t="shared" si="11"/>
        <v/>
      </c>
      <c r="T313">
        <f t="shared" si="12"/>
        <v>0.125</v>
      </c>
    </row>
    <row r="314" spans="1:20" x14ac:dyDescent="0.25">
      <c r="B314" s="765" t="s">
        <v>1403</v>
      </c>
      <c r="C314" s="46" t="s">
        <v>1399</v>
      </c>
      <c r="D314" s="207"/>
      <c r="E314" s="2"/>
      <c r="F314" s="2"/>
      <c r="G314" s="2"/>
      <c r="H314" s="2"/>
      <c r="I314" s="2"/>
      <c r="J314" s="6" t="s">
        <v>453</v>
      </c>
      <c r="K314" s="3" t="s">
        <v>1130</v>
      </c>
      <c r="L314" s="3"/>
      <c r="M314" s="6">
        <v>1</v>
      </c>
      <c r="N314" s="3" t="s">
        <v>82</v>
      </c>
      <c r="O314" s="5">
        <v>1</v>
      </c>
      <c r="P314" s="3"/>
      <c r="Q314" s="3" t="s">
        <v>1387</v>
      </c>
      <c r="R314" s="7" t="s">
        <v>599</v>
      </c>
      <c r="S314">
        <v>50</v>
      </c>
      <c r="T314">
        <f t="shared" si="12"/>
        <v>0.125</v>
      </c>
    </row>
    <row r="315" spans="1:20" x14ac:dyDescent="0.25">
      <c r="B315" s="765" t="s">
        <v>1403</v>
      </c>
      <c r="C315" s="46" t="s">
        <v>529</v>
      </c>
      <c r="D315" s="207"/>
      <c r="E315" s="2"/>
      <c r="F315" s="2"/>
      <c r="G315" s="2"/>
      <c r="H315" s="2"/>
      <c r="I315" s="2"/>
      <c r="J315" s="3" t="s">
        <v>453</v>
      </c>
      <c r="K315" s="3"/>
      <c r="L315" s="3"/>
      <c r="M315" s="3">
        <v>2</v>
      </c>
      <c r="N315" s="3" t="s">
        <v>530</v>
      </c>
      <c r="O315" s="2">
        <v>1</v>
      </c>
      <c r="P315" s="3"/>
      <c r="Q315" s="3" t="s">
        <v>531</v>
      </c>
      <c r="R315" s="7" t="s">
        <v>599</v>
      </c>
      <c r="S315" t="str">
        <f t="shared" si="11"/>
        <v/>
      </c>
      <c r="T315">
        <f t="shared" si="12"/>
        <v>0.125</v>
      </c>
    </row>
    <row r="316" spans="1:20" x14ac:dyDescent="0.25">
      <c r="B316" s="765" t="s">
        <v>1403</v>
      </c>
      <c r="C316" s="47" t="s">
        <v>532</v>
      </c>
      <c r="D316" s="208"/>
      <c r="E316" s="5"/>
      <c r="F316" s="5"/>
      <c r="G316" s="5"/>
      <c r="H316" s="5"/>
      <c r="I316" s="5"/>
      <c r="J316" s="6" t="s">
        <v>453</v>
      </c>
      <c r="K316" s="6"/>
      <c r="L316" s="6"/>
      <c r="M316" s="6">
        <v>2</v>
      </c>
      <c r="N316" s="6" t="s">
        <v>533</v>
      </c>
      <c r="O316" s="5">
        <v>1</v>
      </c>
      <c r="P316" s="6"/>
      <c r="Q316" s="6" t="s">
        <v>534</v>
      </c>
      <c r="R316" s="7" t="s">
        <v>599</v>
      </c>
      <c r="S316" t="str">
        <f t="shared" si="11"/>
        <v/>
      </c>
      <c r="T316">
        <f t="shared" si="12"/>
        <v>0.125</v>
      </c>
    </row>
    <row r="317" spans="1:20" x14ac:dyDescent="0.25">
      <c r="A317" s="765">
        <v>310</v>
      </c>
      <c r="B317" s="765" t="s">
        <v>1403</v>
      </c>
      <c r="C317" s="46" t="s">
        <v>535</v>
      </c>
      <c r="D317" s="207"/>
      <c r="E317" s="2"/>
      <c r="F317" s="2"/>
      <c r="G317" s="2"/>
      <c r="H317" s="2"/>
      <c r="I317" s="2"/>
      <c r="J317" s="3" t="s">
        <v>453</v>
      </c>
      <c r="K317" s="3"/>
      <c r="L317" s="3"/>
      <c r="M317" s="3">
        <v>2</v>
      </c>
      <c r="N317" s="23" t="s">
        <v>536</v>
      </c>
      <c r="O317" s="24">
        <v>1</v>
      </c>
      <c r="P317" s="3" t="s">
        <v>1259</v>
      </c>
      <c r="Q317" s="25" t="s">
        <v>537</v>
      </c>
      <c r="R317" s="7" t="s">
        <v>599</v>
      </c>
      <c r="S317" t="str">
        <f t="shared" si="11"/>
        <v/>
      </c>
      <c r="T317">
        <f t="shared" si="12"/>
        <v>0.125</v>
      </c>
    </row>
    <row r="318" spans="1:20" x14ac:dyDescent="0.25">
      <c r="A318" s="765">
        <v>314</v>
      </c>
      <c r="B318" s="765" t="s">
        <v>1403</v>
      </c>
      <c r="C318" s="47" t="s">
        <v>538</v>
      </c>
      <c r="D318" s="208"/>
      <c r="E318" s="5"/>
      <c r="F318" s="5"/>
      <c r="G318" s="5"/>
      <c r="H318" s="5"/>
      <c r="I318" s="5"/>
      <c r="J318" s="6" t="s">
        <v>453</v>
      </c>
      <c r="K318" s="6"/>
      <c r="L318" s="6"/>
      <c r="M318" s="6">
        <v>2</v>
      </c>
      <c r="N318" s="34" t="s">
        <v>539</v>
      </c>
      <c r="O318" s="21">
        <v>1</v>
      </c>
      <c r="P318" s="6"/>
      <c r="Q318" s="22" t="s">
        <v>540</v>
      </c>
      <c r="R318" s="7" t="s">
        <v>599</v>
      </c>
      <c r="S318" t="str">
        <f t="shared" si="11"/>
        <v/>
      </c>
      <c r="T318">
        <f t="shared" si="12"/>
        <v>0.125</v>
      </c>
    </row>
    <row r="319" spans="1:20" x14ac:dyDescent="0.25">
      <c r="A319" s="765">
        <v>313</v>
      </c>
      <c r="B319" s="765" t="s">
        <v>1403</v>
      </c>
      <c r="C319" s="46" t="s">
        <v>541</v>
      </c>
      <c r="D319" s="207"/>
      <c r="E319" s="2"/>
      <c r="F319" s="2"/>
      <c r="G319" s="2"/>
      <c r="H319" s="2"/>
      <c r="I319" s="2"/>
      <c r="J319" s="3" t="s">
        <v>453</v>
      </c>
      <c r="K319" s="3"/>
      <c r="L319" s="3"/>
      <c r="M319" s="3">
        <v>2</v>
      </c>
      <c r="N319" s="3" t="s">
        <v>539</v>
      </c>
      <c r="O319" s="2">
        <v>1</v>
      </c>
      <c r="P319" s="3" t="s">
        <v>50</v>
      </c>
      <c r="Q319" s="3" t="s">
        <v>542</v>
      </c>
      <c r="R319" s="7" t="s">
        <v>599</v>
      </c>
      <c r="S319" t="str">
        <f t="shared" si="11"/>
        <v/>
      </c>
      <c r="T319">
        <f t="shared" si="12"/>
        <v>0.125</v>
      </c>
    </row>
    <row r="320" spans="1:20" x14ac:dyDescent="0.25">
      <c r="A320" s="765">
        <v>133</v>
      </c>
      <c r="B320" s="765" t="s">
        <v>1403</v>
      </c>
      <c r="C320" s="47" t="s">
        <v>543</v>
      </c>
      <c r="D320" s="208"/>
      <c r="E320" s="5"/>
      <c r="F320" s="5"/>
      <c r="G320" s="5"/>
      <c r="H320" s="5"/>
      <c r="I320" s="5"/>
      <c r="J320" s="6" t="s">
        <v>453</v>
      </c>
      <c r="K320" s="6"/>
      <c r="L320" s="6"/>
      <c r="M320" s="6">
        <v>1</v>
      </c>
      <c r="N320" s="6" t="s">
        <v>98</v>
      </c>
      <c r="O320" s="5">
        <v>1</v>
      </c>
      <c r="P320" s="6"/>
      <c r="Q320" s="6" t="s">
        <v>99</v>
      </c>
      <c r="R320" s="7" t="s">
        <v>599</v>
      </c>
      <c r="S320" t="str">
        <f t="shared" si="11"/>
        <v/>
      </c>
      <c r="T320">
        <f t="shared" si="12"/>
        <v>0.125</v>
      </c>
    </row>
    <row r="321" spans="1:20" x14ac:dyDescent="0.25">
      <c r="A321" s="765">
        <v>134</v>
      </c>
      <c r="B321" s="765" t="s">
        <v>1403</v>
      </c>
      <c r="C321" s="46" t="s">
        <v>544</v>
      </c>
      <c r="D321" s="207">
        <v>200</v>
      </c>
      <c r="E321" s="2" t="s">
        <v>724</v>
      </c>
      <c r="F321" s="2"/>
      <c r="G321" s="2" t="s">
        <v>724</v>
      </c>
      <c r="H321" s="2"/>
      <c r="I321" s="2"/>
      <c r="J321" s="3" t="s">
        <v>453</v>
      </c>
      <c r="K321" s="3" t="s">
        <v>1130</v>
      </c>
      <c r="L321" s="3"/>
      <c r="M321" s="3">
        <v>2</v>
      </c>
      <c r="N321" s="3" t="s">
        <v>545</v>
      </c>
      <c r="O321" s="2">
        <v>1</v>
      </c>
      <c r="P321" s="3"/>
      <c r="Q321" s="3" t="s">
        <v>546</v>
      </c>
      <c r="R321" s="7" t="s">
        <v>599</v>
      </c>
      <c r="S321">
        <f t="shared" si="11"/>
        <v>50</v>
      </c>
      <c r="T321">
        <f t="shared" si="12"/>
        <v>0.125</v>
      </c>
    </row>
    <row r="322" spans="1:20" x14ac:dyDescent="0.25">
      <c r="A322" s="765">
        <v>135</v>
      </c>
      <c r="B322" s="765" t="s">
        <v>1403</v>
      </c>
      <c r="C322" s="47" t="s">
        <v>189</v>
      </c>
      <c r="D322" s="208"/>
      <c r="E322" s="5"/>
      <c r="F322" s="5"/>
      <c r="G322" s="5"/>
      <c r="H322" s="5"/>
      <c r="I322" s="5"/>
      <c r="J322" s="6" t="s">
        <v>453</v>
      </c>
      <c r="K322" s="6"/>
      <c r="L322" s="6"/>
      <c r="M322" s="6">
        <v>1</v>
      </c>
      <c r="N322" s="6" t="s">
        <v>190</v>
      </c>
      <c r="O322" s="5">
        <v>1</v>
      </c>
      <c r="P322" s="6"/>
      <c r="Q322" s="6" t="s">
        <v>191</v>
      </c>
      <c r="R322" s="7" t="s">
        <v>599</v>
      </c>
      <c r="S322" t="str">
        <f t="shared" si="11"/>
        <v/>
      </c>
      <c r="T322">
        <f t="shared" si="12"/>
        <v>0.125</v>
      </c>
    </row>
    <row r="323" spans="1:20" x14ac:dyDescent="0.25">
      <c r="A323" s="765"/>
      <c r="C323" s="47" t="s">
        <v>1440</v>
      </c>
      <c r="D323" s="208"/>
      <c r="E323" s="5" t="s">
        <v>724</v>
      </c>
      <c r="F323" s="5" t="s">
        <v>724</v>
      </c>
      <c r="G323" s="5" t="s">
        <v>724</v>
      </c>
      <c r="H323" s="5"/>
      <c r="I323" s="5"/>
      <c r="J323" s="6" t="s">
        <v>453</v>
      </c>
      <c r="K323" s="6" t="s">
        <v>1309</v>
      </c>
      <c r="L323" s="6"/>
      <c r="M323" s="6">
        <v>1</v>
      </c>
      <c r="N323" s="6" t="s">
        <v>382</v>
      </c>
      <c r="O323" s="5">
        <v>1</v>
      </c>
      <c r="P323" s="6"/>
      <c r="Q323" s="6" t="s">
        <v>1441</v>
      </c>
      <c r="R323" s="7" t="s">
        <v>599</v>
      </c>
      <c r="S323">
        <v>50</v>
      </c>
      <c r="T323">
        <f t="shared" si="12"/>
        <v>0.125</v>
      </c>
    </row>
    <row r="324" spans="1:20" x14ac:dyDescent="0.25">
      <c r="A324" s="765">
        <v>489</v>
      </c>
      <c r="B324" s="765" t="s">
        <v>1403</v>
      </c>
      <c r="C324" s="46" t="s">
        <v>378</v>
      </c>
      <c r="D324" s="207"/>
      <c r="E324" s="2" t="s">
        <v>724</v>
      </c>
      <c r="F324" s="2"/>
      <c r="G324" s="2" t="s">
        <v>724</v>
      </c>
      <c r="H324" s="2"/>
      <c r="I324" s="2"/>
      <c r="J324" s="3" t="s">
        <v>453</v>
      </c>
      <c r="K324" s="3" t="s">
        <v>1130</v>
      </c>
      <c r="L324" s="3"/>
      <c r="M324" s="3">
        <v>1</v>
      </c>
      <c r="N324" s="3" t="s">
        <v>379</v>
      </c>
      <c r="O324" s="2">
        <v>1</v>
      </c>
      <c r="P324" s="3"/>
      <c r="Q324" s="3" t="s">
        <v>380</v>
      </c>
      <c r="R324" s="7" t="s">
        <v>599</v>
      </c>
      <c r="S324">
        <f t="shared" si="11"/>
        <v>50</v>
      </c>
      <c r="T324">
        <f t="shared" si="12"/>
        <v>0.125</v>
      </c>
    </row>
    <row r="325" spans="1:20" x14ac:dyDescent="0.25">
      <c r="A325" s="765">
        <v>490</v>
      </c>
      <c r="B325" s="765" t="s">
        <v>1403</v>
      </c>
      <c r="C325" s="47" t="s">
        <v>381</v>
      </c>
      <c r="D325" s="208"/>
      <c r="E325" s="5"/>
      <c r="F325" s="5"/>
      <c r="G325" s="5"/>
      <c r="H325" s="5"/>
      <c r="I325" s="5"/>
      <c r="J325" s="6" t="s">
        <v>453</v>
      </c>
      <c r="K325" s="6"/>
      <c r="L325" s="6"/>
      <c r="M325" s="6">
        <v>1</v>
      </c>
      <c r="N325" s="6" t="s">
        <v>382</v>
      </c>
      <c r="O325" s="5">
        <v>1</v>
      </c>
      <c r="P325" s="6"/>
      <c r="Q325" s="6" t="s">
        <v>383</v>
      </c>
      <c r="R325" s="7" t="s">
        <v>599</v>
      </c>
      <c r="S325" t="str">
        <f t="shared" si="11"/>
        <v/>
      </c>
      <c r="T325">
        <f t="shared" si="12"/>
        <v>0.125</v>
      </c>
    </row>
    <row r="326" spans="1:20" x14ac:dyDescent="0.25">
      <c r="A326" s="765">
        <v>468</v>
      </c>
      <c r="B326" s="765" t="s">
        <v>1403</v>
      </c>
      <c r="C326" s="46" t="s">
        <v>391</v>
      </c>
      <c r="D326" s="207"/>
      <c r="E326" s="2"/>
      <c r="F326" s="2"/>
      <c r="G326" s="2"/>
      <c r="H326" s="2"/>
      <c r="I326" s="2"/>
      <c r="J326" s="3" t="s">
        <v>453</v>
      </c>
      <c r="K326" s="3" t="s">
        <v>1309</v>
      </c>
      <c r="L326" s="3"/>
      <c r="M326" s="3">
        <v>2</v>
      </c>
      <c r="N326" s="3" t="s">
        <v>392</v>
      </c>
      <c r="O326" s="2">
        <v>1</v>
      </c>
      <c r="P326" s="3"/>
      <c r="Q326" s="3" t="s">
        <v>393</v>
      </c>
      <c r="R326" s="7" t="s">
        <v>599</v>
      </c>
      <c r="S326">
        <f t="shared" si="11"/>
        <v>50</v>
      </c>
      <c r="T326">
        <f t="shared" si="12"/>
        <v>0.125</v>
      </c>
    </row>
    <row r="327" spans="1:20" x14ac:dyDescent="0.25">
      <c r="A327" s="765">
        <v>286</v>
      </c>
      <c r="B327" s="765" t="s">
        <v>1403</v>
      </c>
      <c r="C327" s="46" t="s">
        <v>958</v>
      </c>
      <c r="D327" s="207"/>
      <c r="E327" s="2"/>
      <c r="F327" s="2"/>
      <c r="G327" s="2"/>
      <c r="H327" s="2"/>
      <c r="I327" s="2"/>
      <c r="J327" s="3" t="s">
        <v>453</v>
      </c>
      <c r="K327" s="3"/>
      <c r="L327" s="3"/>
      <c r="M327" s="3">
        <v>1</v>
      </c>
      <c r="N327" s="3"/>
      <c r="O327" s="2">
        <v>1</v>
      </c>
      <c r="P327" s="3"/>
      <c r="Q327" s="3"/>
      <c r="R327" s="7" t="s">
        <v>599</v>
      </c>
      <c r="S327" t="str">
        <f t="shared" si="11"/>
        <v/>
      </c>
      <c r="T327">
        <f t="shared" si="12"/>
        <v>0.125</v>
      </c>
    </row>
    <row r="328" spans="1:20" x14ac:dyDescent="0.25">
      <c r="C328" s="47"/>
      <c r="D328" s="208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5">
        <v>1</v>
      </c>
      <c r="P328" s="6"/>
      <c r="Q328" s="6"/>
      <c r="R328" s="7" t="s">
        <v>599</v>
      </c>
      <c r="S328" t="str">
        <f t="shared" si="11"/>
        <v/>
      </c>
      <c r="T328">
        <f t="shared" si="12"/>
        <v>0.125</v>
      </c>
    </row>
    <row r="329" spans="1:20" x14ac:dyDescent="0.25">
      <c r="C329" s="47"/>
      <c r="D329" s="208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5">
        <v>1</v>
      </c>
      <c r="P329" s="6"/>
      <c r="Q329" s="6"/>
      <c r="R329" s="7" t="s">
        <v>599</v>
      </c>
      <c r="S329" t="str">
        <f t="shared" si="11"/>
        <v/>
      </c>
      <c r="T329">
        <f t="shared" si="12"/>
        <v>0.125</v>
      </c>
    </row>
    <row r="330" spans="1:20" x14ac:dyDescent="0.25">
      <c r="A330" s="766">
        <v>516</v>
      </c>
      <c r="B330" s="765" t="s">
        <v>1404</v>
      </c>
      <c r="C330" s="46" t="s">
        <v>551</v>
      </c>
      <c r="D330" s="207"/>
      <c r="E330" s="2" t="s">
        <v>724</v>
      </c>
      <c r="F330" s="2"/>
      <c r="G330" s="2" t="s">
        <v>724</v>
      </c>
      <c r="H330" s="2" t="s">
        <v>724</v>
      </c>
      <c r="I330" s="2"/>
      <c r="J330" s="3" t="s">
        <v>782</v>
      </c>
      <c r="K330" s="3" t="s">
        <v>1131</v>
      </c>
      <c r="L330" s="3"/>
      <c r="M330" s="3">
        <v>1</v>
      </c>
      <c r="N330" s="3" t="s">
        <v>787</v>
      </c>
      <c r="O330" s="2" t="s">
        <v>1391</v>
      </c>
      <c r="P330" s="3"/>
      <c r="Q330" s="3" t="s">
        <v>922</v>
      </c>
      <c r="R330" s="4" t="s">
        <v>1142</v>
      </c>
      <c r="S330">
        <f t="shared" si="11"/>
        <v>30</v>
      </c>
      <c r="T330">
        <v>0.25</v>
      </c>
    </row>
    <row r="331" spans="1:20" x14ac:dyDescent="0.25">
      <c r="B331" s="765" t="s">
        <v>1404</v>
      </c>
      <c r="C331" s="46" t="s">
        <v>1317</v>
      </c>
      <c r="D331" s="207"/>
      <c r="E331" s="2" t="s">
        <v>724</v>
      </c>
      <c r="F331" s="2" t="s">
        <v>724</v>
      </c>
      <c r="G331" s="2" t="s">
        <v>724</v>
      </c>
      <c r="H331" s="2" t="s">
        <v>724</v>
      </c>
      <c r="I331" s="2"/>
      <c r="J331" s="3" t="s">
        <v>782</v>
      </c>
      <c r="K331" s="3" t="s">
        <v>1309</v>
      </c>
      <c r="L331" s="3"/>
      <c r="M331" s="3">
        <v>1</v>
      </c>
      <c r="N331" s="3" t="s">
        <v>787</v>
      </c>
      <c r="O331" s="2" t="s">
        <v>1391</v>
      </c>
      <c r="P331" s="3"/>
      <c r="Q331" s="3" t="s">
        <v>1314</v>
      </c>
      <c r="R331" s="4" t="s">
        <v>1142</v>
      </c>
      <c r="S331">
        <f t="shared" si="11"/>
        <v>50</v>
      </c>
      <c r="T331">
        <v>0.25</v>
      </c>
    </row>
    <row r="332" spans="1:20" x14ac:dyDescent="0.25">
      <c r="B332" s="765" t="s">
        <v>1404</v>
      </c>
      <c r="C332" s="46" t="s">
        <v>15</v>
      </c>
      <c r="D332" s="207"/>
      <c r="E332" s="2"/>
      <c r="F332" s="2"/>
      <c r="G332" s="2"/>
      <c r="H332" s="2"/>
      <c r="I332" s="2"/>
      <c r="J332" s="3" t="s">
        <v>782</v>
      </c>
      <c r="K332" s="3" t="s">
        <v>1130</v>
      </c>
      <c r="L332" s="3"/>
      <c r="M332" s="3">
        <v>1</v>
      </c>
      <c r="N332" s="3" t="s">
        <v>59</v>
      </c>
      <c r="O332" s="2" t="s">
        <v>55</v>
      </c>
      <c r="P332" s="3" t="s">
        <v>50</v>
      </c>
      <c r="Q332" s="3" t="s">
        <v>60</v>
      </c>
      <c r="R332" s="4" t="s">
        <v>1142</v>
      </c>
      <c r="S332">
        <f t="shared" si="11"/>
        <v>50</v>
      </c>
      <c r="T332">
        <v>0.25</v>
      </c>
    </row>
    <row r="333" spans="1:20" x14ac:dyDescent="0.25">
      <c r="B333" s="765" t="s">
        <v>1404</v>
      </c>
      <c r="C333" s="46" t="s">
        <v>783</v>
      </c>
      <c r="D333" s="207"/>
      <c r="E333" s="2"/>
      <c r="F333" s="2"/>
      <c r="G333" s="2"/>
      <c r="H333" s="2"/>
      <c r="I333" s="2"/>
      <c r="J333" s="3" t="s">
        <v>782</v>
      </c>
      <c r="K333" s="3" t="s">
        <v>1131</v>
      </c>
      <c r="L333" s="3"/>
      <c r="M333" s="3">
        <v>1</v>
      </c>
      <c r="N333" s="3" t="s">
        <v>246</v>
      </c>
      <c r="O333" s="2" t="s">
        <v>55</v>
      </c>
      <c r="P333" s="3"/>
      <c r="Q333" s="3" t="s">
        <v>247</v>
      </c>
      <c r="R333" s="4" t="s">
        <v>1142</v>
      </c>
      <c r="S333">
        <f t="shared" si="11"/>
        <v>30</v>
      </c>
      <c r="T333">
        <v>0.25</v>
      </c>
    </row>
    <row r="334" spans="1:20" x14ac:dyDescent="0.25">
      <c r="B334" s="765" t="s">
        <v>1404</v>
      </c>
      <c r="C334" s="47" t="s">
        <v>167</v>
      </c>
      <c r="D334" s="208"/>
      <c r="E334" s="5"/>
      <c r="F334" s="5"/>
      <c r="G334" s="5"/>
      <c r="H334" s="5"/>
      <c r="I334" s="5"/>
      <c r="J334" s="6" t="s">
        <v>782</v>
      </c>
      <c r="K334" s="6" t="s">
        <v>1130</v>
      </c>
      <c r="L334" s="6"/>
      <c r="M334" s="6">
        <v>1</v>
      </c>
      <c r="N334" s="6" t="s">
        <v>165</v>
      </c>
      <c r="O334" s="5" t="s">
        <v>55</v>
      </c>
      <c r="P334" s="6"/>
      <c r="Q334" s="6" t="s">
        <v>168</v>
      </c>
      <c r="R334" s="7" t="s">
        <v>1142</v>
      </c>
      <c r="S334">
        <f t="shared" si="11"/>
        <v>50</v>
      </c>
      <c r="T334">
        <v>0.25</v>
      </c>
    </row>
    <row r="335" spans="1:20" x14ac:dyDescent="0.25">
      <c r="B335" s="765" t="s">
        <v>1404</v>
      </c>
      <c r="C335" s="47" t="s">
        <v>276</v>
      </c>
      <c r="D335" s="208"/>
      <c r="E335" s="5"/>
      <c r="F335" s="5"/>
      <c r="G335" s="5"/>
      <c r="H335" s="5"/>
      <c r="I335" s="5"/>
      <c r="J335" s="6" t="s">
        <v>782</v>
      </c>
      <c r="K335" s="6" t="s">
        <v>1131</v>
      </c>
      <c r="L335" s="6"/>
      <c r="M335" s="6">
        <v>1</v>
      </c>
      <c r="N335" s="6" t="s">
        <v>1258</v>
      </c>
      <c r="O335" s="5" t="s">
        <v>55</v>
      </c>
      <c r="P335" s="6" t="s">
        <v>50</v>
      </c>
      <c r="Q335" s="6" t="s">
        <v>277</v>
      </c>
      <c r="R335" s="7" t="s">
        <v>1142</v>
      </c>
      <c r="S335">
        <f t="shared" si="11"/>
        <v>30</v>
      </c>
      <c r="T335">
        <v>0.25</v>
      </c>
    </row>
    <row r="336" spans="1:20" x14ac:dyDescent="0.25">
      <c r="B336" s="765" t="s">
        <v>1404</v>
      </c>
      <c r="C336" s="46" t="s">
        <v>803</v>
      </c>
      <c r="D336" s="207"/>
      <c r="E336" s="2"/>
      <c r="F336" s="2"/>
      <c r="G336" s="2"/>
      <c r="H336" s="2"/>
      <c r="I336" s="2"/>
      <c r="J336" s="3" t="s">
        <v>782</v>
      </c>
      <c r="K336" s="3" t="s">
        <v>1309</v>
      </c>
      <c r="L336" s="3"/>
      <c r="M336" s="3">
        <v>1</v>
      </c>
      <c r="N336" s="3" t="s">
        <v>82</v>
      </c>
      <c r="O336" s="2" t="s">
        <v>55</v>
      </c>
      <c r="P336" s="3" t="s">
        <v>50</v>
      </c>
      <c r="Q336" s="3" t="s">
        <v>89</v>
      </c>
      <c r="R336" s="4" t="s">
        <v>1142</v>
      </c>
      <c r="S336">
        <f t="shared" si="11"/>
        <v>50</v>
      </c>
      <c r="T336">
        <v>0.25</v>
      </c>
    </row>
    <row r="337" spans="1:20" x14ac:dyDescent="0.25">
      <c r="B337" s="765" t="s">
        <v>1404</v>
      </c>
      <c r="C337" s="47" t="s">
        <v>305</v>
      </c>
      <c r="D337" s="208"/>
      <c r="E337" s="5"/>
      <c r="F337" s="5"/>
      <c r="G337" s="5"/>
      <c r="H337" s="5"/>
      <c r="I337" s="5"/>
      <c r="J337" s="6" t="s">
        <v>782</v>
      </c>
      <c r="K337" s="6"/>
      <c r="L337" s="6"/>
      <c r="M337" s="6">
        <v>2</v>
      </c>
      <c r="N337" s="6" t="s">
        <v>306</v>
      </c>
      <c r="O337" s="5" t="s">
        <v>55</v>
      </c>
      <c r="P337" s="6" t="s">
        <v>50</v>
      </c>
      <c r="Q337" s="6" t="s">
        <v>307</v>
      </c>
      <c r="R337" s="7" t="s">
        <v>1142</v>
      </c>
      <c r="S337" t="str">
        <f t="shared" si="11"/>
        <v/>
      </c>
      <c r="T337">
        <v>0.25</v>
      </c>
    </row>
    <row r="338" spans="1:20" x14ac:dyDescent="0.25">
      <c r="B338" s="765" t="s">
        <v>1404</v>
      </c>
      <c r="C338" s="46" t="s">
        <v>1022</v>
      </c>
      <c r="D338" s="207"/>
      <c r="E338" s="2"/>
      <c r="F338" s="2"/>
      <c r="G338" s="2"/>
      <c r="H338" s="2"/>
      <c r="I338" s="2"/>
      <c r="J338" s="3" t="s">
        <v>782</v>
      </c>
      <c r="K338" s="3"/>
      <c r="L338" s="3"/>
      <c r="M338" s="3">
        <v>1</v>
      </c>
      <c r="N338" s="3" t="s">
        <v>309</v>
      </c>
      <c r="O338" s="2" t="s">
        <v>55</v>
      </c>
      <c r="P338" s="3"/>
      <c r="Q338" s="3" t="s">
        <v>310</v>
      </c>
      <c r="R338" s="4" t="s">
        <v>1142</v>
      </c>
      <c r="S338" t="str">
        <f t="shared" si="11"/>
        <v/>
      </c>
      <c r="T338">
        <v>0.25</v>
      </c>
    </row>
    <row r="339" spans="1:20" x14ac:dyDescent="0.25">
      <c r="B339" s="765" t="s">
        <v>1404</v>
      </c>
      <c r="C339" s="46" t="s">
        <v>29</v>
      </c>
      <c r="D339" s="207"/>
      <c r="E339" s="2"/>
      <c r="F339" s="2"/>
      <c r="G339" s="2"/>
      <c r="H339" s="2"/>
      <c r="I339" s="2"/>
      <c r="J339" s="3" t="s">
        <v>782</v>
      </c>
      <c r="K339" s="3"/>
      <c r="L339" s="3"/>
      <c r="M339" s="3">
        <v>1</v>
      </c>
      <c r="N339" s="3" t="s">
        <v>86</v>
      </c>
      <c r="O339" s="2" t="s">
        <v>55</v>
      </c>
      <c r="P339" s="3" t="s">
        <v>50</v>
      </c>
      <c r="Q339" s="3" t="s">
        <v>87</v>
      </c>
      <c r="R339" s="4" t="s">
        <v>1142</v>
      </c>
      <c r="S339" t="str">
        <f t="shared" si="11"/>
        <v/>
      </c>
      <c r="T339">
        <v>0.25</v>
      </c>
    </row>
    <row r="340" spans="1:20" x14ac:dyDescent="0.25">
      <c r="B340" s="765" t="s">
        <v>1404</v>
      </c>
      <c r="C340" s="46" t="s">
        <v>30</v>
      </c>
      <c r="D340" s="207"/>
      <c r="E340" s="2"/>
      <c r="F340" s="2"/>
      <c r="G340" s="2"/>
      <c r="H340" s="2"/>
      <c r="I340" s="2"/>
      <c r="J340" s="3" t="s">
        <v>782</v>
      </c>
      <c r="K340" s="3" t="s">
        <v>1131</v>
      </c>
      <c r="L340" s="3"/>
      <c r="M340" s="3">
        <v>1</v>
      </c>
      <c r="N340" s="3" t="s">
        <v>88</v>
      </c>
      <c r="O340" s="2" t="s">
        <v>55</v>
      </c>
      <c r="P340" s="3" t="s">
        <v>1259</v>
      </c>
      <c r="Q340" s="3" t="s">
        <v>89</v>
      </c>
      <c r="R340" s="4" t="s">
        <v>1142</v>
      </c>
      <c r="S340">
        <f t="shared" si="11"/>
        <v>30</v>
      </c>
      <c r="T340">
        <v>0.25</v>
      </c>
    </row>
    <row r="341" spans="1:20" x14ac:dyDescent="0.25">
      <c r="B341" s="765" t="s">
        <v>1404</v>
      </c>
      <c r="C341" s="46" t="s">
        <v>31</v>
      </c>
      <c r="D341" s="207"/>
      <c r="E341" s="2"/>
      <c r="F341" s="2"/>
      <c r="G341" s="2"/>
      <c r="H341" s="2"/>
      <c r="I341" s="2"/>
      <c r="J341" s="3" t="s">
        <v>782</v>
      </c>
      <c r="K341" s="3" t="s">
        <v>1131</v>
      </c>
      <c r="L341" s="3"/>
      <c r="M341" s="3">
        <v>1</v>
      </c>
      <c r="N341" s="3" t="s">
        <v>90</v>
      </c>
      <c r="O341" s="2" t="s">
        <v>55</v>
      </c>
      <c r="P341" s="3" t="s">
        <v>1259</v>
      </c>
      <c r="Q341" s="3" t="s">
        <v>91</v>
      </c>
      <c r="R341" s="4" t="s">
        <v>1142</v>
      </c>
      <c r="S341">
        <f t="shared" si="11"/>
        <v>30</v>
      </c>
      <c r="T341">
        <v>0.25</v>
      </c>
    </row>
    <row r="342" spans="1:20" x14ac:dyDescent="0.25">
      <c r="B342" s="765" t="s">
        <v>1404</v>
      </c>
      <c r="C342" s="46" t="s">
        <v>322</v>
      </c>
      <c r="D342" s="207"/>
      <c r="E342" s="2"/>
      <c r="F342" s="2"/>
      <c r="G342" s="2"/>
      <c r="H342" s="2"/>
      <c r="I342" s="2"/>
      <c r="J342" s="3" t="s">
        <v>782</v>
      </c>
      <c r="K342" s="3"/>
      <c r="L342" s="3"/>
      <c r="M342" s="3">
        <v>1</v>
      </c>
      <c r="N342" s="3" t="s">
        <v>323</v>
      </c>
      <c r="O342" s="2">
        <v>2</v>
      </c>
      <c r="P342" s="3" t="s">
        <v>50</v>
      </c>
      <c r="Q342" s="3" t="s">
        <v>324</v>
      </c>
      <c r="R342" s="4" t="s">
        <v>1142</v>
      </c>
      <c r="S342" t="str">
        <f t="shared" si="11"/>
        <v/>
      </c>
      <c r="T342">
        <v>0.25</v>
      </c>
    </row>
    <row r="343" spans="1:20" x14ac:dyDescent="0.25">
      <c r="B343" s="765" t="s">
        <v>1404</v>
      </c>
      <c r="C343" s="46" t="s">
        <v>784</v>
      </c>
      <c r="D343" s="207"/>
      <c r="E343" s="2"/>
      <c r="F343" s="2"/>
      <c r="G343" s="2"/>
      <c r="H343" s="2"/>
      <c r="I343" s="2"/>
      <c r="J343" s="3" t="s">
        <v>782</v>
      </c>
      <c r="K343" s="3"/>
      <c r="L343" s="3"/>
      <c r="M343" s="3">
        <v>1</v>
      </c>
      <c r="N343" s="3" t="s">
        <v>326</v>
      </c>
      <c r="O343" s="2" t="s">
        <v>55</v>
      </c>
      <c r="P343" s="3"/>
      <c r="Q343" s="3" t="s">
        <v>327</v>
      </c>
      <c r="R343" s="4" t="s">
        <v>1142</v>
      </c>
      <c r="S343" t="str">
        <f t="shared" si="11"/>
        <v/>
      </c>
      <c r="T343">
        <v>0.25</v>
      </c>
    </row>
    <row r="344" spans="1:20" x14ac:dyDescent="0.25">
      <c r="B344" s="765" t="s">
        <v>1404</v>
      </c>
      <c r="C344" s="47" t="s">
        <v>785</v>
      </c>
      <c r="D344" s="208"/>
      <c r="E344" s="5"/>
      <c r="F344" s="5"/>
      <c r="G344" s="5"/>
      <c r="H344" s="5"/>
      <c r="I344" s="5"/>
      <c r="J344" s="6" t="s">
        <v>782</v>
      </c>
      <c r="K344" s="6"/>
      <c r="L344" s="6"/>
      <c r="M344" s="6">
        <v>1</v>
      </c>
      <c r="N344" s="6" t="s">
        <v>131</v>
      </c>
      <c r="O344" s="5" t="s">
        <v>49</v>
      </c>
      <c r="P344" s="6"/>
      <c r="Q344" s="6" t="s">
        <v>132</v>
      </c>
      <c r="R344" s="7" t="s">
        <v>1142</v>
      </c>
      <c r="S344" t="str">
        <f t="shared" si="11"/>
        <v/>
      </c>
      <c r="T344">
        <v>0.25</v>
      </c>
    </row>
    <row r="345" spans="1:20" x14ac:dyDescent="0.25">
      <c r="B345" s="765" t="s">
        <v>1404</v>
      </c>
      <c r="C345" s="47" t="s">
        <v>779</v>
      </c>
      <c r="D345" s="208"/>
      <c r="E345" s="5"/>
      <c r="F345" s="5"/>
      <c r="G345" s="5"/>
      <c r="H345" s="5"/>
      <c r="I345" s="5"/>
      <c r="J345" s="6" t="s">
        <v>782</v>
      </c>
      <c r="K345" s="6" t="s">
        <v>1131</v>
      </c>
      <c r="L345" s="6"/>
      <c r="M345" s="6">
        <v>1</v>
      </c>
      <c r="N345" s="6" t="s">
        <v>331</v>
      </c>
      <c r="O345" s="5">
        <v>2</v>
      </c>
      <c r="P345" s="6" t="s">
        <v>50</v>
      </c>
      <c r="Q345" s="6" t="s">
        <v>332</v>
      </c>
      <c r="R345" s="7" t="s">
        <v>1142</v>
      </c>
      <c r="S345">
        <f t="shared" si="11"/>
        <v>30</v>
      </c>
      <c r="T345">
        <v>0.25</v>
      </c>
    </row>
    <row r="346" spans="1:20" x14ac:dyDescent="0.25">
      <c r="B346" s="765" t="s">
        <v>1404</v>
      </c>
      <c r="C346" s="47" t="s">
        <v>334</v>
      </c>
      <c r="D346" s="208"/>
      <c r="E346" s="5"/>
      <c r="F346" s="5"/>
      <c r="G346" s="5"/>
      <c r="H346" s="5"/>
      <c r="I346" s="5"/>
      <c r="J346" s="6" t="s">
        <v>782</v>
      </c>
      <c r="K346" s="6" t="s">
        <v>1130</v>
      </c>
      <c r="L346" s="6"/>
      <c r="M346" s="6">
        <v>1</v>
      </c>
      <c r="N346" s="6" t="s">
        <v>335</v>
      </c>
      <c r="O346" s="5" t="s">
        <v>55</v>
      </c>
      <c r="P346" s="6"/>
      <c r="Q346" s="6" t="s">
        <v>336</v>
      </c>
      <c r="R346" s="7" t="s">
        <v>1142</v>
      </c>
      <c r="S346">
        <f t="shared" si="11"/>
        <v>50</v>
      </c>
      <c r="T346">
        <v>0.25</v>
      </c>
    </row>
    <row r="347" spans="1:20" x14ac:dyDescent="0.25">
      <c r="B347" s="765" t="s">
        <v>1404</v>
      </c>
      <c r="C347" s="47" t="s">
        <v>397</v>
      </c>
      <c r="D347" s="208"/>
      <c r="E347" s="5"/>
      <c r="F347" s="5"/>
      <c r="G347" s="5"/>
      <c r="H347" s="5"/>
      <c r="I347" s="5"/>
      <c r="J347" s="6" t="s">
        <v>782</v>
      </c>
      <c r="K347" s="6"/>
      <c r="L347" s="6"/>
      <c r="M347" s="6">
        <v>1</v>
      </c>
      <c r="N347" s="6" t="s">
        <v>398</v>
      </c>
      <c r="O347" s="5" t="s">
        <v>55</v>
      </c>
      <c r="P347" s="6" t="s">
        <v>50</v>
      </c>
      <c r="Q347" s="6" t="s">
        <v>399</v>
      </c>
      <c r="R347" s="7" t="s">
        <v>1142</v>
      </c>
      <c r="S347" t="str">
        <f t="shared" si="11"/>
        <v/>
      </c>
      <c r="T347">
        <v>0.25</v>
      </c>
    </row>
    <row r="348" spans="1:20" x14ac:dyDescent="0.25">
      <c r="B348" s="765" t="s">
        <v>1404</v>
      </c>
      <c r="C348" s="46" t="s">
        <v>1037</v>
      </c>
      <c r="D348" s="207"/>
      <c r="E348" s="2"/>
      <c r="F348" s="2"/>
      <c r="G348" s="2"/>
      <c r="H348" s="2"/>
      <c r="I348" s="2"/>
      <c r="J348" s="3" t="s">
        <v>782</v>
      </c>
      <c r="K348" s="3"/>
      <c r="L348" s="3"/>
      <c r="M348" s="3">
        <v>1</v>
      </c>
      <c r="N348" s="3" t="s">
        <v>1038</v>
      </c>
      <c r="O348" s="2" t="s">
        <v>55</v>
      </c>
      <c r="P348" s="3"/>
      <c r="Q348" s="3" t="s">
        <v>1050</v>
      </c>
      <c r="R348" s="4" t="s">
        <v>548</v>
      </c>
      <c r="S348" t="str">
        <f t="shared" si="11"/>
        <v/>
      </c>
      <c r="T348">
        <v>0.25</v>
      </c>
    </row>
    <row r="349" spans="1:20" x14ac:dyDescent="0.25">
      <c r="B349" s="765" t="s">
        <v>1405</v>
      </c>
      <c r="C349" s="46" t="s">
        <v>814</v>
      </c>
      <c r="D349" s="207"/>
      <c r="E349" s="2"/>
      <c r="F349" s="2"/>
      <c r="G349" s="2"/>
      <c r="H349" s="2"/>
      <c r="I349" s="2"/>
      <c r="J349" s="1" t="s">
        <v>814</v>
      </c>
      <c r="K349" s="3"/>
      <c r="L349" s="3"/>
      <c r="M349" s="3">
        <v>1</v>
      </c>
      <c r="N349" s="3" t="s">
        <v>797</v>
      </c>
      <c r="O349" s="2">
        <v>2</v>
      </c>
      <c r="P349" s="3"/>
      <c r="Q349" s="3" t="s">
        <v>914</v>
      </c>
      <c r="R349" s="4" t="s">
        <v>548</v>
      </c>
    </row>
    <row r="350" spans="1:20" x14ac:dyDescent="0.25">
      <c r="A350" s="766">
        <v>41</v>
      </c>
      <c r="B350" s="765" t="s">
        <v>1406</v>
      </c>
      <c r="C350" s="47" t="s">
        <v>551</v>
      </c>
      <c r="D350" s="208"/>
      <c r="E350" s="5" t="s">
        <v>724</v>
      </c>
      <c r="F350" s="5"/>
      <c r="G350" s="5" t="s">
        <v>724</v>
      </c>
      <c r="H350" s="5" t="s">
        <v>724</v>
      </c>
      <c r="I350" s="5"/>
      <c r="J350" s="6" t="s">
        <v>550</v>
      </c>
      <c r="K350" s="6" t="s">
        <v>1130</v>
      </c>
      <c r="L350" s="6"/>
      <c r="M350" s="6">
        <v>2</v>
      </c>
      <c r="N350" s="6" t="s">
        <v>552</v>
      </c>
      <c r="O350" s="5" t="s">
        <v>55</v>
      </c>
      <c r="P350" s="6"/>
      <c r="Q350" s="6" t="s">
        <v>47</v>
      </c>
      <c r="R350" s="7" t="s">
        <v>548</v>
      </c>
      <c r="S350">
        <f>IF(K350="S",30,IF(K350="M",45,IF(K350="L",60,"")))</f>
        <v>45</v>
      </c>
      <c r="T350">
        <f>1/12</f>
        <v>8.3333333333333329E-2</v>
      </c>
    </row>
    <row r="351" spans="1:20" x14ac:dyDescent="0.25">
      <c r="B351" s="765" t="s">
        <v>1406</v>
      </c>
      <c r="C351" s="47" t="s">
        <v>778</v>
      </c>
      <c r="D351" s="208"/>
      <c r="E351" s="5"/>
      <c r="F351" s="5"/>
      <c r="G351" s="5"/>
      <c r="H351" s="5"/>
      <c r="I351" s="5"/>
      <c r="J351" s="6" t="s">
        <v>550</v>
      </c>
      <c r="K351" s="6"/>
      <c r="L351" s="6"/>
      <c r="M351" s="6">
        <v>1</v>
      </c>
      <c r="N351" s="6" t="s">
        <v>800</v>
      </c>
      <c r="O351" s="5" t="s">
        <v>55</v>
      </c>
      <c r="P351" s="6"/>
      <c r="Q351" s="6" t="s">
        <v>771</v>
      </c>
      <c r="R351" s="7" t="s">
        <v>548</v>
      </c>
      <c r="S351" t="str">
        <f t="shared" ref="S351:S422" si="14">IF(K351="S",30,IF(K351="M",45,IF(K351="L",60,"")))</f>
        <v/>
      </c>
      <c r="T351">
        <f t="shared" ref="T351:T422" si="15">1/12</f>
        <v>8.3333333333333329E-2</v>
      </c>
    </row>
    <row r="352" spans="1:20" x14ac:dyDescent="0.25">
      <c r="A352" s="765">
        <v>34</v>
      </c>
      <c r="B352" s="765" t="s">
        <v>1406</v>
      </c>
      <c r="C352" s="47" t="s">
        <v>549</v>
      </c>
      <c r="D352" s="208"/>
      <c r="E352" s="5"/>
      <c r="F352" s="5"/>
      <c r="G352" s="5"/>
      <c r="H352" s="5"/>
      <c r="I352" s="5"/>
      <c r="J352" s="6" t="s">
        <v>550</v>
      </c>
      <c r="K352" s="6"/>
      <c r="L352" s="6"/>
      <c r="M352" s="6">
        <v>1</v>
      </c>
      <c r="N352" s="6" t="s">
        <v>147</v>
      </c>
      <c r="O352" s="5" t="s">
        <v>55</v>
      </c>
      <c r="P352" s="6"/>
      <c r="Q352" s="6" t="s">
        <v>148</v>
      </c>
      <c r="R352" s="4" t="s">
        <v>548</v>
      </c>
      <c r="S352" t="str">
        <f t="shared" si="14"/>
        <v/>
      </c>
      <c r="T352">
        <f t="shared" si="15"/>
        <v>8.3333333333333329E-2</v>
      </c>
    </row>
    <row r="353" spans="1:20" x14ac:dyDescent="0.25">
      <c r="A353" s="765">
        <v>35</v>
      </c>
      <c r="B353" s="765" t="s">
        <v>1406</v>
      </c>
      <c r="C353" s="46" t="s">
        <v>149</v>
      </c>
      <c r="D353" s="207"/>
      <c r="E353" s="2"/>
      <c r="F353" s="2"/>
      <c r="G353" s="2"/>
      <c r="H353" s="2"/>
      <c r="I353" s="2"/>
      <c r="J353" s="3" t="s">
        <v>550</v>
      </c>
      <c r="K353" s="3"/>
      <c r="L353" s="3"/>
      <c r="M353" s="3">
        <v>2</v>
      </c>
      <c r="N353" s="3" t="s">
        <v>150</v>
      </c>
      <c r="O353" s="2" t="s">
        <v>55</v>
      </c>
      <c r="P353" s="3"/>
      <c r="Q353" s="3" t="s">
        <v>151</v>
      </c>
      <c r="R353" s="4" t="s">
        <v>548</v>
      </c>
      <c r="S353" t="str">
        <f t="shared" si="14"/>
        <v/>
      </c>
      <c r="T353">
        <f t="shared" si="15"/>
        <v>8.3333333333333329E-2</v>
      </c>
    </row>
    <row r="354" spans="1:20" x14ac:dyDescent="0.25">
      <c r="A354" s="765">
        <v>42</v>
      </c>
      <c r="B354" s="765" t="s">
        <v>1406</v>
      </c>
      <c r="C354" s="46" t="s">
        <v>14</v>
      </c>
      <c r="D354" s="207"/>
      <c r="E354" s="2" t="s">
        <v>724</v>
      </c>
      <c r="F354" s="2"/>
      <c r="G354" s="2" t="s">
        <v>724</v>
      </c>
      <c r="H354" s="2" t="s">
        <v>724</v>
      </c>
      <c r="I354" s="2"/>
      <c r="J354" s="3" t="s">
        <v>550</v>
      </c>
      <c r="K354" s="3" t="s">
        <v>1132</v>
      </c>
      <c r="L354" s="3"/>
      <c r="M354" s="3">
        <v>1</v>
      </c>
      <c r="N354" s="3" t="s">
        <v>57</v>
      </c>
      <c r="O354" s="2" t="s">
        <v>49</v>
      </c>
      <c r="P354" s="3" t="s">
        <v>50</v>
      </c>
      <c r="Q354" s="3" t="s">
        <v>58</v>
      </c>
      <c r="R354" s="4" t="s">
        <v>548</v>
      </c>
      <c r="S354">
        <f t="shared" si="14"/>
        <v>60</v>
      </c>
      <c r="T354">
        <f t="shared" si="15"/>
        <v>8.3333333333333329E-2</v>
      </c>
    </row>
    <row r="355" spans="1:20" x14ac:dyDescent="0.25">
      <c r="A355" s="765">
        <v>44</v>
      </c>
      <c r="B355" s="765" t="s">
        <v>1406</v>
      </c>
      <c r="C355" s="46" t="s">
        <v>15</v>
      </c>
      <c r="D355" s="207"/>
      <c r="E355" s="2"/>
      <c r="F355" s="2"/>
      <c r="G355" s="2"/>
      <c r="H355" s="2"/>
      <c r="I355" s="2"/>
      <c r="J355" s="3" t="s">
        <v>550</v>
      </c>
      <c r="K355" s="3"/>
      <c r="L355" s="3"/>
      <c r="M355" s="3">
        <v>1</v>
      </c>
      <c r="N355" s="3" t="s">
        <v>59</v>
      </c>
      <c r="O355" s="2" t="s">
        <v>55</v>
      </c>
      <c r="P355" s="3" t="s">
        <v>50</v>
      </c>
      <c r="Q355" s="3" t="s">
        <v>60</v>
      </c>
      <c r="R355" s="7" t="s">
        <v>548</v>
      </c>
      <c r="S355" t="str">
        <f t="shared" si="14"/>
        <v/>
      </c>
      <c r="T355">
        <f t="shared" si="15"/>
        <v>8.3333333333333329E-2</v>
      </c>
    </row>
    <row r="356" spans="1:20" x14ac:dyDescent="0.25">
      <c r="A356" s="765">
        <v>46</v>
      </c>
      <c r="B356" s="765" t="s">
        <v>1406</v>
      </c>
      <c r="C356" s="47" t="s">
        <v>233</v>
      </c>
      <c r="D356" s="208"/>
      <c r="E356" s="5"/>
      <c r="F356" s="5"/>
      <c r="G356" s="5"/>
      <c r="H356" s="5"/>
      <c r="I356" s="5"/>
      <c r="J356" s="6" t="s">
        <v>550</v>
      </c>
      <c r="K356" s="6"/>
      <c r="L356" s="6"/>
      <c r="M356" s="6">
        <v>1</v>
      </c>
      <c r="N356" s="6" t="s">
        <v>234</v>
      </c>
      <c r="O356" s="5" t="s">
        <v>55</v>
      </c>
      <c r="P356" s="6"/>
      <c r="Q356" s="6" t="s">
        <v>235</v>
      </c>
      <c r="R356" s="4" t="s">
        <v>548</v>
      </c>
      <c r="S356" t="str">
        <f t="shared" si="14"/>
        <v/>
      </c>
      <c r="T356">
        <f t="shared" si="15"/>
        <v>8.3333333333333329E-2</v>
      </c>
    </row>
    <row r="357" spans="1:20" x14ac:dyDescent="0.25">
      <c r="A357" s="765">
        <v>47</v>
      </c>
      <c r="B357" s="765" t="s">
        <v>1406</v>
      </c>
      <c r="C357" s="46" t="s">
        <v>236</v>
      </c>
      <c r="D357" s="207"/>
      <c r="E357" s="2"/>
      <c r="F357" s="2"/>
      <c r="G357" s="2"/>
      <c r="H357" s="2"/>
      <c r="I357" s="2"/>
      <c r="J357" s="3" t="s">
        <v>550</v>
      </c>
      <c r="K357" s="3"/>
      <c r="L357" s="3"/>
      <c r="M357" s="3">
        <v>1</v>
      </c>
      <c r="N357" s="3" t="s">
        <v>237</v>
      </c>
      <c r="O357" s="2" t="s">
        <v>55</v>
      </c>
      <c r="P357" s="3"/>
      <c r="Q357" s="3" t="s">
        <v>238</v>
      </c>
      <c r="R357" s="7" t="s">
        <v>548</v>
      </c>
      <c r="S357" t="str">
        <f t="shared" si="14"/>
        <v/>
      </c>
      <c r="T357">
        <f t="shared" si="15"/>
        <v>8.3333333333333329E-2</v>
      </c>
    </row>
    <row r="358" spans="1:20" x14ac:dyDescent="0.25">
      <c r="A358" s="765">
        <v>286</v>
      </c>
      <c r="B358" s="765" t="s">
        <v>1406</v>
      </c>
      <c r="C358" s="46" t="s">
        <v>965</v>
      </c>
      <c r="D358" s="207"/>
      <c r="E358" s="2" t="s">
        <v>724</v>
      </c>
      <c r="F358" s="2"/>
      <c r="G358" s="2" t="s">
        <v>724</v>
      </c>
      <c r="H358" s="2" t="s">
        <v>724</v>
      </c>
      <c r="I358" s="2" t="s">
        <v>724</v>
      </c>
      <c r="J358" s="3" t="s">
        <v>550</v>
      </c>
      <c r="K358" s="3" t="s">
        <v>1130</v>
      </c>
      <c r="L358" s="3"/>
      <c r="M358" s="3">
        <v>1</v>
      </c>
      <c r="N358" s="23" t="s">
        <v>480</v>
      </c>
      <c r="O358" s="24">
        <v>1</v>
      </c>
      <c r="P358" s="3"/>
      <c r="Q358" s="25" t="s">
        <v>966</v>
      </c>
      <c r="R358" s="7" t="s">
        <v>548</v>
      </c>
      <c r="S358">
        <f t="shared" si="14"/>
        <v>45</v>
      </c>
      <c r="T358">
        <f t="shared" si="15"/>
        <v>8.3333333333333329E-2</v>
      </c>
    </row>
    <row r="359" spans="1:20" x14ac:dyDescent="0.25">
      <c r="A359" s="765">
        <v>289</v>
      </c>
      <c r="B359" s="765" t="s">
        <v>1406</v>
      </c>
      <c r="C359" s="47" t="s">
        <v>1389</v>
      </c>
      <c r="D359" s="208">
        <v>500</v>
      </c>
      <c r="E359" s="2"/>
      <c r="F359" s="2"/>
      <c r="G359" s="2"/>
      <c r="H359" s="2"/>
      <c r="I359" s="5"/>
      <c r="J359" s="3" t="s">
        <v>550</v>
      </c>
      <c r="K359" s="3" t="s">
        <v>1130</v>
      </c>
      <c r="L359" s="6"/>
      <c r="M359" s="6">
        <v>1</v>
      </c>
      <c r="N359" s="26" t="s">
        <v>480</v>
      </c>
      <c r="O359" s="27">
        <v>1</v>
      </c>
      <c r="P359" s="6"/>
      <c r="Q359" s="28" t="s">
        <v>1390</v>
      </c>
      <c r="R359" s="7" t="s">
        <v>548</v>
      </c>
      <c r="S359">
        <f t="shared" si="14"/>
        <v>45</v>
      </c>
      <c r="T359">
        <f t="shared" si="15"/>
        <v>8.3333333333333329E-2</v>
      </c>
    </row>
    <row r="360" spans="1:20" x14ac:dyDescent="0.25">
      <c r="A360" s="765">
        <v>290</v>
      </c>
      <c r="B360" s="765" t="s">
        <v>1406</v>
      </c>
      <c r="C360" s="47" t="s">
        <v>1369</v>
      </c>
      <c r="D360" s="208">
        <v>500</v>
      </c>
      <c r="E360" s="2"/>
      <c r="F360" s="2"/>
      <c r="G360" s="2"/>
      <c r="H360" s="2"/>
      <c r="I360" s="5"/>
      <c r="J360" s="3" t="s">
        <v>550</v>
      </c>
      <c r="K360" s="3" t="s">
        <v>1130</v>
      </c>
      <c r="L360" s="6"/>
      <c r="M360" s="6">
        <v>1</v>
      </c>
      <c r="N360" s="26" t="s">
        <v>480</v>
      </c>
      <c r="O360" s="27">
        <v>1</v>
      </c>
      <c r="P360" s="6"/>
      <c r="Q360" s="28" t="s">
        <v>1373</v>
      </c>
      <c r="R360" s="7" t="s">
        <v>548</v>
      </c>
      <c r="S360">
        <f t="shared" si="14"/>
        <v>45</v>
      </c>
      <c r="T360">
        <f t="shared" si="15"/>
        <v>8.3333333333333329E-2</v>
      </c>
    </row>
    <row r="361" spans="1:20" x14ac:dyDescent="0.25">
      <c r="A361" s="765">
        <v>291</v>
      </c>
      <c r="B361" s="765" t="s">
        <v>1406</v>
      </c>
      <c r="C361" s="47" t="s">
        <v>1371</v>
      </c>
      <c r="D361" s="208">
        <v>500</v>
      </c>
      <c r="E361" s="2"/>
      <c r="F361" s="2"/>
      <c r="G361" s="2"/>
      <c r="H361" s="2"/>
      <c r="I361" s="5"/>
      <c r="J361" s="3" t="s">
        <v>550</v>
      </c>
      <c r="K361" s="3" t="s">
        <v>1130</v>
      </c>
      <c r="L361" s="6"/>
      <c r="M361" s="6">
        <v>1</v>
      </c>
      <c r="N361" s="26" t="s">
        <v>480</v>
      </c>
      <c r="O361" s="27">
        <v>1</v>
      </c>
      <c r="P361" s="6"/>
      <c r="Q361" s="28" t="s">
        <v>1374</v>
      </c>
      <c r="R361" s="7" t="s">
        <v>548</v>
      </c>
      <c r="S361">
        <f t="shared" si="14"/>
        <v>45</v>
      </c>
      <c r="T361">
        <f t="shared" si="15"/>
        <v>8.3333333333333329E-2</v>
      </c>
    </row>
    <row r="362" spans="1:20" x14ac:dyDescent="0.25">
      <c r="A362" s="765">
        <v>294</v>
      </c>
      <c r="B362" s="765" t="s">
        <v>1406</v>
      </c>
      <c r="C362" s="47" t="s">
        <v>1370</v>
      </c>
      <c r="D362" s="208">
        <v>500</v>
      </c>
      <c r="E362" s="2"/>
      <c r="F362" s="2"/>
      <c r="G362" s="2"/>
      <c r="H362" s="2"/>
      <c r="I362" s="5"/>
      <c r="J362" s="3" t="s">
        <v>550</v>
      </c>
      <c r="K362" s="3" t="s">
        <v>1130</v>
      </c>
      <c r="L362" s="6"/>
      <c r="M362" s="6">
        <v>1</v>
      </c>
      <c r="N362" s="26" t="s">
        <v>480</v>
      </c>
      <c r="O362" s="27">
        <v>1</v>
      </c>
      <c r="P362" s="6"/>
      <c r="Q362" s="28" t="s">
        <v>1375</v>
      </c>
      <c r="R362" s="7" t="s">
        <v>548</v>
      </c>
      <c r="S362">
        <f t="shared" si="14"/>
        <v>45</v>
      </c>
      <c r="T362">
        <f t="shared" si="15"/>
        <v>8.3333333333333329E-2</v>
      </c>
    </row>
    <row r="363" spans="1:20" x14ac:dyDescent="0.25">
      <c r="A363" s="765">
        <v>292</v>
      </c>
      <c r="B363" s="765" t="s">
        <v>1406</v>
      </c>
      <c r="C363" s="47" t="s">
        <v>1372</v>
      </c>
      <c r="D363" s="208">
        <v>500</v>
      </c>
      <c r="E363" s="2"/>
      <c r="F363" s="2"/>
      <c r="G363" s="2"/>
      <c r="H363" s="2"/>
      <c r="I363" s="5"/>
      <c r="J363" s="3" t="s">
        <v>550</v>
      </c>
      <c r="K363" s="3" t="s">
        <v>1130</v>
      </c>
      <c r="L363" s="6"/>
      <c r="M363" s="6">
        <v>1</v>
      </c>
      <c r="N363" s="26" t="s">
        <v>480</v>
      </c>
      <c r="O363" s="27">
        <v>1</v>
      </c>
      <c r="P363" s="6"/>
      <c r="Q363" s="28" t="s">
        <v>1376</v>
      </c>
      <c r="R363" s="7" t="s">
        <v>548</v>
      </c>
      <c r="S363">
        <f t="shared" si="14"/>
        <v>45</v>
      </c>
      <c r="T363">
        <f t="shared" si="15"/>
        <v>8.3333333333333329E-2</v>
      </c>
    </row>
    <row r="364" spans="1:20" x14ac:dyDescent="0.25">
      <c r="A364" s="765">
        <v>293</v>
      </c>
      <c r="B364" s="765" t="s">
        <v>1406</v>
      </c>
      <c r="C364" s="47" t="s">
        <v>1368</v>
      </c>
      <c r="D364" s="208">
        <v>500</v>
      </c>
      <c r="E364" s="2"/>
      <c r="F364" s="2"/>
      <c r="G364" s="2"/>
      <c r="H364" s="2"/>
      <c r="I364" s="5"/>
      <c r="J364" s="3" t="s">
        <v>550</v>
      </c>
      <c r="K364" s="3" t="s">
        <v>1130</v>
      </c>
      <c r="L364" s="6"/>
      <c r="M364" s="6">
        <v>1</v>
      </c>
      <c r="N364" s="26" t="s">
        <v>480</v>
      </c>
      <c r="O364" s="27">
        <v>1</v>
      </c>
      <c r="P364" s="6"/>
      <c r="Q364" s="28" t="s">
        <v>1377</v>
      </c>
      <c r="R364" s="7" t="s">
        <v>548</v>
      </c>
      <c r="S364">
        <f t="shared" si="14"/>
        <v>45</v>
      </c>
      <c r="T364">
        <f t="shared" si="15"/>
        <v>8.3333333333333329E-2</v>
      </c>
    </row>
    <row r="365" spans="1:20" x14ac:dyDescent="0.25">
      <c r="A365" s="765">
        <v>51</v>
      </c>
      <c r="B365" s="765" t="s">
        <v>1406</v>
      </c>
      <c r="C365" s="46" t="s">
        <v>1040</v>
      </c>
      <c r="D365" s="207"/>
      <c r="E365" s="2"/>
      <c r="F365" s="2"/>
      <c r="G365" s="2"/>
      <c r="H365" s="2"/>
      <c r="I365" s="2"/>
      <c r="J365" s="3" t="s">
        <v>550</v>
      </c>
      <c r="K365" s="3"/>
      <c r="L365" s="3"/>
      <c r="M365" s="3">
        <v>2</v>
      </c>
      <c r="N365" s="23" t="s">
        <v>243</v>
      </c>
      <c r="O365" s="24" t="s">
        <v>55</v>
      </c>
      <c r="P365" s="3"/>
      <c r="Q365" s="25" t="s">
        <v>244</v>
      </c>
      <c r="R365" s="7" t="s">
        <v>548</v>
      </c>
      <c r="S365" t="str">
        <f t="shared" si="14"/>
        <v/>
      </c>
      <c r="T365">
        <f t="shared" si="15"/>
        <v>8.3333333333333329E-2</v>
      </c>
    </row>
    <row r="366" spans="1:20" x14ac:dyDescent="0.25">
      <c r="A366" s="765">
        <v>53</v>
      </c>
      <c r="B366" s="765" t="s">
        <v>1406</v>
      </c>
      <c r="C366" s="47" t="s">
        <v>245</v>
      </c>
      <c r="D366" s="208">
        <v>50</v>
      </c>
      <c r="E366" s="5" t="s">
        <v>724</v>
      </c>
      <c r="F366" s="5"/>
      <c r="G366" s="5" t="s">
        <v>724</v>
      </c>
      <c r="H366" s="5" t="s">
        <v>724</v>
      </c>
      <c r="I366" s="5"/>
      <c r="J366" s="3" t="s">
        <v>550</v>
      </c>
      <c r="K366" s="3" t="s">
        <v>1131</v>
      </c>
      <c r="L366" s="6"/>
      <c r="M366" s="6">
        <v>1</v>
      </c>
      <c r="N366" s="6" t="s">
        <v>246</v>
      </c>
      <c r="O366" s="5" t="s">
        <v>55</v>
      </c>
      <c r="P366" s="6"/>
      <c r="Q366" s="6" t="s">
        <v>247</v>
      </c>
      <c r="R366" s="7" t="s">
        <v>548</v>
      </c>
      <c r="S366">
        <f t="shared" si="14"/>
        <v>30</v>
      </c>
      <c r="T366">
        <f t="shared" si="15"/>
        <v>8.3333333333333329E-2</v>
      </c>
    </row>
    <row r="367" spans="1:20" x14ac:dyDescent="0.25">
      <c r="A367" s="765">
        <v>54</v>
      </c>
      <c r="B367" s="765" t="s">
        <v>1406</v>
      </c>
      <c r="C367" s="47" t="s">
        <v>158</v>
      </c>
      <c r="D367" s="208"/>
      <c r="E367" s="5"/>
      <c r="F367" s="5"/>
      <c r="G367" s="5"/>
      <c r="H367" s="5"/>
      <c r="I367" s="5"/>
      <c r="J367" s="6" t="s">
        <v>550</v>
      </c>
      <c r="K367" s="6"/>
      <c r="L367" s="6"/>
      <c r="M367" s="6">
        <v>1</v>
      </c>
      <c r="N367" s="6" t="s">
        <v>159</v>
      </c>
      <c r="O367" s="5" t="s">
        <v>49</v>
      </c>
      <c r="P367" s="6"/>
      <c r="Q367" s="6" t="s">
        <v>160</v>
      </c>
      <c r="R367" s="4" t="s">
        <v>548</v>
      </c>
      <c r="S367" t="str">
        <f t="shared" si="14"/>
        <v/>
      </c>
      <c r="T367">
        <f t="shared" si="15"/>
        <v>8.3333333333333329E-2</v>
      </c>
    </row>
    <row r="368" spans="1:20" x14ac:dyDescent="0.25">
      <c r="A368" s="765">
        <v>57</v>
      </c>
      <c r="B368" s="765" t="s">
        <v>1406</v>
      </c>
      <c r="C368" s="46" t="s">
        <v>253</v>
      </c>
      <c r="D368" s="207">
        <v>100</v>
      </c>
      <c r="E368" s="2" t="s">
        <v>724</v>
      </c>
      <c r="F368" s="2"/>
      <c r="G368" s="2" t="s">
        <v>724</v>
      </c>
      <c r="H368" s="2" t="s">
        <v>724</v>
      </c>
      <c r="I368" s="2" t="s">
        <v>724</v>
      </c>
      <c r="J368" s="3" t="s">
        <v>550</v>
      </c>
      <c r="K368" s="3" t="s">
        <v>1132</v>
      </c>
      <c r="L368" s="3"/>
      <c r="M368" s="3">
        <v>1</v>
      </c>
      <c r="N368" s="3" t="s">
        <v>254</v>
      </c>
      <c r="O368" s="2" t="s">
        <v>49</v>
      </c>
      <c r="P368" s="3"/>
      <c r="Q368" s="3" t="s">
        <v>255</v>
      </c>
      <c r="R368" s="7" t="s">
        <v>548</v>
      </c>
      <c r="S368">
        <f t="shared" si="14"/>
        <v>60</v>
      </c>
      <c r="T368">
        <f t="shared" si="15"/>
        <v>8.3333333333333329E-2</v>
      </c>
    </row>
    <row r="369" spans="1:20" x14ac:dyDescent="0.25">
      <c r="A369" s="765">
        <v>58</v>
      </c>
      <c r="B369" s="765" t="s">
        <v>1406</v>
      </c>
      <c r="C369" s="47" t="s">
        <v>17</v>
      </c>
      <c r="D369" s="208"/>
      <c r="E369" s="5" t="s">
        <v>1178</v>
      </c>
      <c r="F369" s="5"/>
      <c r="G369" s="5" t="s">
        <v>1178</v>
      </c>
      <c r="H369" s="5" t="s">
        <v>724</v>
      </c>
      <c r="I369" s="5"/>
      <c r="J369" s="6" t="s">
        <v>550</v>
      </c>
      <c r="K369" s="6" t="s">
        <v>1132</v>
      </c>
      <c r="L369" s="6"/>
      <c r="M369" s="6">
        <v>1</v>
      </c>
      <c r="N369" s="6" t="s">
        <v>63</v>
      </c>
      <c r="O369" s="5" t="s">
        <v>55</v>
      </c>
      <c r="P369" s="6"/>
      <c r="Q369" s="6" t="s">
        <v>64</v>
      </c>
      <c r="R369" s="4" t="s">
        <v>548</v>
      </c>
      <c r="S369">
        <f t="shared" si="14"/>
        <v>60</v>
      </c>
      <c r="T369">
        <f t="shared" si="15"/>
        <v>8.3333333333333329E-2</v>
      </c>
    </row>
    <row r="370" spans="1:20" x14ac:dyDescent="0.25">
      <c r="A370" s="765">
        <v>62</v>
      </c>
      <c r="B370" s="765" t="s">
        <v>1406</v>
      </c>
      <c r="C370" s="46" t="s">
        <v>19</v>
      </c>
      <c r="D370" s="207"/>
      <c r="E370" s="2"/>
      <c r="F370" s="2"/>
      <c r="G370" s="2"/>
      <c r="H370" s="2"/>
      <c r="I370" s="2"/>
      <c r="J370" s="3" t="s">
        <v>550</v>
      </c>
      <c r="K370" s="3"/>
      <c r="L370" s="3"/>
      <c r="M370" s="3">
        <v>2</v>
      </c>
      <c r="N370" s="3" t="s">
        <v>67</v>
      </c>
      <c r="O370" s="2">
        <v>2</v>
      </c>
      <c r="P370" s="3"/>
      <c r="Q370" s="3" t="s">
        <v>68</v>
      </c>
      <c r="R370" s="7" t="s">
        <v>548</v>
      </c>
      <c r="S370" t="str">
        <f t="shared" si="14"/>
        <v/>
      </c>
      <c r="T370">
        <f t="shared" si="15"/>
        <v>8.3333333333333329E-2</v>
      </c>
    </row>
    <row r="371" spans="1:20" x14ac:dyDescent="0.25">
      <c r="A371" s="765">
        <v>413</v>
      </c>
      <c r="B371" s="765" t="s">
        <v>1406</v>
      </c>
      <c r="C371" s="46" t="s">
        <v>777</v>
      </c>
      <c r="D371" s="207"/>
      <c r="E371" s="2" t="s">
        <v>1178</v>
      </c>
      <c r="F371" s="2"/>
      <c r="G371" s="2" t="s">
        <v>724</v>
      </c>
      <c r="H371" s="2" t="s">
        <v>724</v>
      </c>
      <c r="I371" s="2"/>
      <c r="J371" s="3" t="s">
        <v>550</v>
      </c>
      <c r="K371" s="3" t="s">
        <v>1130</v>
      </c>
      <c r="L371" s="3"/>
      <c r="M371" s="3">
        <v>2</v>
      </c>
      <c r="N371" s="8" t="s">
        <v>497</v>
      </c>
      <c r="O371" s="29">
        <v>1</v>
      </c>
      <c r="P371" s="3"/>
      <c r="Q371" s="30" t="s">
        <v>859</v>
      </c>
      <c r="R371" s="7" t="s">
        <v>548</v>
      </c>
      <c r="S371">
        <f t="shared" si="14"/>
        <v>45</v>
      </c>
      <c r="T371">
        <f t="shared" si="15"/>
        <v>8.3333333333333329E-2</v>
      </c>
    </row>
    <row r="372" spans="1:20" x14ac:dyDescent="0.25">
      <c r="A372" s="765">
        <v>64</v>
      </c>
      <c r="B372" s="765" t="s">
        <v>1406</v>
      </c>
      <c r="C372" s="46" t="s">
        <v>272</v>
      </c>
      <c r="D372" s="207">
        <v>30</v>
      </c>
      <c r="E372" s="2" t="s">
        <v>724</v>
      </c>
      <c r="F372" s="2"/>
      <c r="G372" s="2" t="s">
        <v>724</v>
      </c>
      <c r="H372" s="2" t="s">
        <v>724</v>
      </c>
      <c r="I372" s="2"/>
      <c r="J372" s="3" t="s">
        <v>550</v>
      </c>
      <c r="K372" s="3" t="s">
        <v>1131</v>
      </c>
      <c r="L372" s="3"/>
      <c r="M372" s="3">
        <v>1</v>
      </c>
      <c r="N372" s="3" t="s">
        <v>165</v>
      </c>
      <c r="O372" s="2" t="s">
        <v>55</v>
      </c>
      <c r="P372" s="3"/>
      <c r="Q372" s="3" t="s">
        <v>273</v>
      </c>
      <c r="R372" s="7" t="s">
        <v>548</v>
      </c>
      <c r="S372">
        <f t="shared" ref="S372" si="16">IF(K372="S",25,IF(K372="M",35,IF(K372="L",55,"")))</f>
        <v>25</v>
      </c>
      <c r="T372">
        <f t="shared" si="15"/>
        <v>8.3333333333333329E-2</v>
      </c>
    </row>
    <row r="373" spans="1:20" x14ac:dyDescent="0.25">
      <c r="A373" s="765">
        <v>67</v>
      </c>
      <c r="B373" s="765" t="s">
        <v>1406</v>
      </c>
      <c r="C373" s="47" t="s">
        <v>167</v>
      </c>
      <c r="D373" s="208">
        <v>30</v>
      </c>
      <c r="E373" s="5" t="s">
        <v>724</v>
      </c>
      <c r="F373" s="5"/>
      <c r="G373" s="5" t="s">
        <v>724</v>
      </c>
      <c r="H373" s="5" t="s">
        <v>1178</v>
      </c>
      <c r="I373" s="5"/>
      <c r="J373" s="6" t="s">
        <v>550</v>
      </c>
      <c r="K373" s="6" t="s">
        <v>1130</v>
      </c>
      <c r="L373" s="6"/>
      <c r="M373" s="6">
        <v>1</v>
      </c>
      <c r="N373" s="6" t="s">
        <v>165</v>
      </c>
      <c r="O373" s="5" t="s">
        <v>55</v>
      </c>
      <c r="P373" s="6"/>
      <c r="Q373" s="6" t="s">
        <v>168</v>
      </c>
      <c r="R373" s="4" t="s">
        <v>548</v>
      </c>
      <c r="S373">
        <f t="shared" si="14"/>
        <v>45</v>
      </c>
      <c r="T373">
        <f t="shared" si="15"/>
        <v>8.3333333333333329E-2</v>
      </c>
    </row>
    <row r="374" spans="1:20" x14ac:dyDescent="0.25">
      <c r="A374" s="765">
        <v>68</v>
      </c>
      <c r="B374" s="765" t="s">
        <v>1406</v>
      </c>
      <c r="C374" s="46" t="s">
        <v>808</v>
      </c>
      <c r="D374" s="207"/>
      <c r="E374" s="2"/>
      <c r="F374" s="2"/>
      <c r="G374" s="2"/>
      <c r="H374" s="2"/>
      <c r="I374" s="2"/>
      <c r="J374" s="3" t="s">
        <v>550</v>
      </c>
      <c r="K374" s="3"/>
      <c r="L374" s="3"/>
      <c r="M374" s="3">
        <v>2</v>
      </c>
      <c r="N374" s="3" t="s">
        <v>732</v>
      </c>
      <c r="O374" s="2" t="s">
        <v>55</v>
      </c>
      <c r="P374" s="3" t="s">
        <v>50</v>
      </c>
      <c r="Q374" s="3" t="s">
        <v>277</v>
      </c>
      <c r="R374" s="7" t="s">
        <v>548</v>
      </c>
      <c r="S374" t="str">
        <f t="shared" si="14"/>
        <v/>
      </c>
      <c r="T374">
        <f t="shared" si="15"/>
        <v>8.3333333333333329E-2</v>
      </c>
    </row>
    <row r="375" spans="1:20" x14ac:dyDescent="0.25">
      <c r="A375" s="765">
        <v>69</v>
      </c>
      <c r="B375" s="765" t="s">
        <v>1406</v>
      </c>
      <c r="C375" s="46" t="s">
        <v>20</v>
      </c>
      <c r="D375" s="207">
        <v>30</v>
      </c>
      <c r="E375" s="2" t="s">
        <v>724</v>
      </c>
      <c r="F375" s="2"/>
      <c r="G375" s="2" t="s">
        <v>724</v>
      </c>
      <c r="H375" s="2"/>
      <c r="I375" s="2"/>
      <c r="J375" s="3" t="s">
        <v>550</v>
      </c>
      <c r="K375" s="3" t="s">
        <v>1132</v>
      </c>
      <c r="L375" s="3"/>
      <c r="M375" s="3">
        <v>1</v>
      </c>
      <c r="N375" s="3" t="s">
        <v>69</v>
      </c>
      <c r="O375" s="2" t="s">
        <v>55</v>
      </c>
      <c r="P375" s="3"/>
      <c r="Q375" s="3" t="s">
        <v>70</v>
      </c>
      <c r="R375" s="7" t="s">
        <v>548</v>
      </c>
      <c r="S375">
        <f t="shared" si="14"/>
        <v>60</v>
      </c>
      <c r="T375">
        <f t="shared" si="15"/>
        <v>8.3333333333333329E-2</v>
      </c>
    </row>
    <row r="376" spans="1:20" x14ac:dyDescent="0.25">
      <c r="B376" s="765" t="s">
        <v>1406</v>
      </c>
      <c r="C376" s="46" t="s">
        <v>21</v>
      </c>
      <c r="D376" s="207"/>
      <c r="E376" s="2"/>
      <c r="F376" s="2"/>
      <c r="G376" s="2"/>
      <c r="H376" s="2"/>
      <c r="I376" s="2"/>
      <c r="J376" s="3" t="s">
        <v>550</v>
      </c>
      <c r="K376" s="3" t="s">
        <v>1132</v>
      </c>
      <c r="L376" s="3"/>
      <c r="M376" s="3">
        <v>1</v>
      </c>
      <c r="N376" s="3" t="s">
        <v>73</v>
      </c>
      <c r="O376" s="2" t="s">
        <v>55</v>
      </c>
      <c r="P376" s="3"/>
      <c r="Q376" s="3" t="s">
        <v>72</v>
      </c>
      <c r="R376" s="4" t="s">
        <v>548</v>
      </c>
      <c r="S376">
        <f t="shared" si="14"/>
        <v>60</v>
      </c>
      <c r="T376">
        <f t="shared" si="15"/>
        <v>8.3333333333333329E-2</v>
      </c>
    </row>
    <row r="377" spans="1:20" x14ac:dyDescent="0.25">
      <c r="A377" s="765">
        <v>72</v>
      </c>
      <c r="B377" s="765" t="s">
        <v>1406</v>
      </c>
      <c r="C377" s="47" t="s">
        <v>23</v>
      </c>
      <c r="D377" s="208">
        <v>50</v>
      </c>
      <c r="E377" s="5" t="s">
        <v>724</v>
      </c>
      <c r="F377" s="5"/>
      <c r="G377" s="5" t="s">
        <v>724</v>
      </c>
      <c r="H377" s="5" t="s">
        <v>724</v>
      </c>
      <c r="I377" s="5"/>
      <c r="J377" s="6" t="s">
        <v>550</v>
      </c>
      <c r="K377" s="6" t="s">
        <v>1132</v>
      </c>
      <c r="L377" s="6"/>
      <c r="M377" s="6">
        <v>1</v>
      </c>
      <c r="N377" s="6" t="s">
        <v>75</v>
      </c>
      <c r="O377" s="5" t="s">
        <v>49</v>
      </c>
      <c r="P377" s="6" t="s">
        <v>50</v>
      </c>
      <c r="Q377" s="6" t="s">
        <v>76</v>
      </c>
      <c r="R377" s="7" t="s">
        <v>548</v>
      </c>
      <c r="S377">
        <f t="shared" si="14"/>
        <v>60</v>
      </c>
      <c r="T377">
        <f t="shared" si="15"/>
        <v>8.3333333333333329E-2</v>
      </c>
    </row>
    <row r="378" spans="1:20" x14ac:dyDescent="0.25">
      <c r="A378" s="765">
        <v>221</v>
      </c>
      <c r="B378" s="765" t="s">
        <v>1406</v>
      </c>
      <c r="C378" s="46" t="s">
        <v>553</v>
      </c>
      <c r="D378" s="207">
        <v>50</v>
      </c>
      <c r="E378" s="2" t="s">
        <v>724</v>
      </c>
      <c r="F378" s="2"/>
      <c r="G378" s="2" t="s">
        <v>724</v>
      </c>
      <c r="H378" s="2" t="s">
        <v>724</v>
      </c>
      <c r="I378" s="2"/>
      <c r="J378" s="3" t="s">
        <v>550</v>
      </c>
      <c r="K378" s="3" t="s">
        <v>1132</v>
      </c>
      <c r="L378" s="3"/>
      <c r="M378" s="3">
        <v>1</v>
      </c>
      <c r="N378" s="3" t="s">
        <v>173</v>
      </c>
      <c r="O378" s="2" t="s">
        <v>49</v>
      </c>
      <c r="P378" s="3"/>
      <c r="Q378" s="3" t="s">
        <v>174</v>
      </c>
      <c r="R378" s="4" t="s">
        <v>548</v>
      </c>
      <c r="S378">
        <f t="shared" si="14"/>
        <v>60</v>
      </c>
      <c r="T378">
        <f t="shared" si="15"/>
        <v>8.3333333333333329E-2</v>
      </c>
    </row>
    <row r="379" spans="1:20" x14ac:dyDescent="0.25">
      <c r="B379" s="765" t="s">
        <v>1406</v>
      </c>
      <c r="C379" s="46" t="s">
        <v>280</v>
      </c>
      <c r="D379" s="207"/>
      <c r="E379" s="2"/>
      <c r="F379" s="2"/>
      <c r="G379" s="2"/>
      <c r="H379" s="2"/>
      <c r="I379" s="2"/>
      <c r="J379" s="3" t="s">
        <v>550</v>
      </c>
      <c r="K379" s="3" t="s">
        <v>1132</v>
      </c>
      <c r="L379" s="3"/>
      <c r="M379" s="3">
        <v>1</v>
      </c>
      <c r="N379" s="3" t="s">
        <v>176</v>
      </c>
      <c r="O379" s="2">
        <v>1</v>
      </c>
      <c r="P379" s="3"/>
      <c r="Q379" s="3" t="s">
        <v>1009</v>
      </c>
      <c r="R379" s="7" t="s">
        <v>548</v>
      </c>
      <c r="S379">
        <f t="shared" si="14"/>
        <v>60</v>
      </c>
      <c r="T379">
        <f t="shared" si="15"/>
        <v>8.3333333333333329E-2</v>
      </c>
    </row>
    <row r="380" spans="1:20" x14ac:dyDescent="0.25">
      <c r="B380" s="765" t="s">
        <v>1406</v>
      </c>
      <c r="C380" s="46" t="s">
        <v>1430</v>
      </c>
      <c r="D380" s="207">
        <v>50</v>
      </c>
      <c r="E380" s="2" t="s">
        <v>724</v>
      </c>
      <c r="F380" s="2"/>
      <c r="G380" s="2" t="s">
        <v>724</v>
      </c>
      <c r="H380" s="2" t="s">
        <v>724</v>
      </c>
      <c r="I380" s="2"/>
      <c r="J380" s="3" t="s">
        <v>550</v>
      </c>
      <c r="K380" s="3" t="s">
        <v>1132</v>
      </c>
      <c r="L380" s="3"/>
      <c r="M380" s="3">
        <v>1</v>
      </c>
      <c r="N380" s="3" t="s">
        <v>1431</v>
      </c>
      <c r="O380" s="2">
        <v>1</v>
      </c>
      <c r="P380" s="3"/>
      <c r="Q380" s="3" t="s">
        <v>1432</v>
      </c>
      <c r="R380" s="7" t="s">
        <v>548</v>
      </c>
      <c r="S380">
        <f t="shared" ref="S380" si="17">IF(K380="S",30,IF(K380="M",45,IF(K380="L",60,"")))</f>
        <v>60</v>
      </c>
      <c r="T380">
        <f t="shared" si="15"/>
        <v>8.3333333333333329E-2</v>
      </c>
    </row>
    <row r="381" spans="1:20" x14ac:dyDescent="0.25">
      <c r="A381" s="765">
        <v>473</v>
      </c>
      <c r="B381" s="765" t="s">
        <v>1406</v>
      </c>
      <c r="C381" s="46" t="s">
        <v>521</v>
      </c>
      <c r="D381" s="207">
        <v>50</v>
      </c>
      <c r="E381" s="2" t="s">
        <v>1178</v>
      </c>
      <c r="F381" s="2"/>
      <c r="G381" s="2" t="s">
        <v>1178</v>
      </c>
      <c r="H381" s="2"/>
      <c r="I381" s="2"/>
      <c r="J381" s="3" t="s">
        <v>453</v>
      </c>
      <c r="K381" s="3"/>
      <c r="L381" s="3"/>
      <c r="M381" s="3">
        <v>1</v>
      </c>
      <c r="N381" s="3" t="s">
        <v>176</v>
      </c>
      <c r="O381" s="2">
        <v>1</v>
      </c>
      <c r="P381" s="3"/>
      <c r="Q381" s="3" t="s">
        <v>522</v>
      </c>
      <c r="R381" s="7" t="s">
        <v>548</v>
      </c>
      <c r="S381" t="str">
        <f t="shared" ref="S381:S382" si="18">IF(K381="S",30,IF(K381="M",50,IF(K381="L",65,"")))</f>
        <v/>
      </c>
      <c r="T381">
        <f t="shared" si="15"/>
        <v>8.3333333333333329E-2</v>
      </c>
    </row>
    <row r="382" spans="1:20" x14ac:dyDescent="0.25">
      <c r="A382" s="765">
        <v>475</v>
      </c>
      <c r="B382" s="765" t="s">
        <v>1406</v>
      </c>
      <c r="C382" s="47" t="s">
        <v>523</v>
      </c>
      <c r="D382" s="207">
        <v>50</v>
      </c>
      <c r="E382" s="5" t="s">
        <v>1178</v>
      </c>
      <c r="F382" s="5"/>
      <c r="G382" s="5" t="s">
        <v>1178</v>
      </c>
      <c r="H382" s="5"/>
      <c r="I382" s="5"/>
      <c r="J382" s="6" t="s">
        <v>453</v>
      </c>
      <c r="K382" s="6"/>
      <c r="L382" s="6"/>
      <c r="M382" s="6">
        <v>1</v>
      </c>
      <c r="N382" s="6" t="s">
        <v>176</v>
      </c>
      <c r="O382" s="5">
        <v>1</v>
      </c>
      <c r="P382" s="6"/>
      <c r="Q382" s="6" t="s">
        <v>524</v>
      </c>
      <c r="R382" s="7" t="s">
        <v>548</v>
      </c>
      <c r="S382" t="str">
        <f t="shared" si="18"/>
        <v/>
      </c>
      <c r="T382">
        <f t="shared" si="15"/>
        <v>8.3333333333333329E-2</v>
      </c>
    </row>
    <row r="383" spans="1:20" x14ac:dyDescent="0.25">
      <c r="B383" s="765" t="s">
        <v>1406</v>
      </c>
      <c r="C383" s="46" t="s">
        <v>1032</v>
      </c>
      <c r="D383" s="207">
        <v>100</v>
      </c>
      <c r="E383" s="2" t="s">
        <v>724</v>
      </c>
      <c r="F383" s="2"/>
      <c r="G383" s="2" t="s">
        <v>724</v>
      </c>
      <c r="H383" s="2" t="s">
        <v>724</v>
      </c>
      <c r="I383" s="2"/>
      <c r="J383" s="3" t="s">
        <v>550</v>
      </c>
      <c r="K383" s="3" t="s">
        <v>1132</v>
      </c>
      <c r="L383" s="3"/>
      <c r="M383" s="3">
        <v>1</v>
      </c>
      <c r="N383" s="3" t="s">
        <v>176</v>
      </c>
      <c r="O383" s="2">
        <v>1</v>
      </c>
      <c r="P383" s="3"/>
      <c r="Q383" s="3" t="s">
        <v>1327</v>
      </c>
      <c r="R383" s="4" t="s">
        <v>548</v>
      </c>
      <c r="S383">
        <f t="shared" si="14"/>
        <v>60</v>
      </c>
      <c r="T383">
        <f t="shared" si="15"/>
        <v>8.3333333333333329E-2</v>
      </c>
    </row>
    <row r="384" spans="1:20" x14ac:dyDescent="0.25">
      <c r="A384" s="765">
        <v>74</v>
      </c>
      <c r="B384" s="765" t="s">
        <v>1406</v>
      </c>
      <c r="C384" s="47" t="s">
        <v>24</v>
      </c>
      <c r="D384" s="208"/>
      <c r="E384" s="5"/>
      <c r="F384" s="5"/>
      <c r="G384" s="5"/>
      <c r="H384" s="5"/>
      <c r="I384" s="5"/>
      <c r="J384" s="6" t="s">
        <v>550</v>
      </c>
      <c r="K384" s="6" t="s">
        <v>1130</v>
      </c>
      <c r="L384" s="6"/>
      <c r="M384" s="6">
        <v>1</v>
      </c>
      <c r="N384" s="6" t="s">
        <v>71</v>
      </c>
      <c r="O384" s="5">
        <v>2</v>
      </c>
      <c r="P384" s="6"/>
      <c r="Q384" s="6" t="s">
        <v>77</v>
      </c>
      <c r="R384" s="7" t="s">
        <v>548</v>
      </c>
      <c r="S384">
        <f t="shared" si="14"/>
        <v>45</v>
      </c>
      <c r="T384">
        <f t="shared" si="15"/>
        <v>8.3333333333333329E-2</v>
      </c>
    </row>
    <row r="385" spans="1:20" x14ac:dyDescent="0.25">
      <c r="A385" s="765">
        <v>77</v>
      </c>
      <c r="B385" s="765" t="s">
        <v>1406</v>
      </c>
      <c r="C385" s="46" t="s">
        <v>290</v>
      </c>
      <c r="D385" s="207"/>
      <c r="E385" s="2"/>
      <c r="F385" s="2"/>
      <c r="G385" s="2"/>
      <c r="H385" s="2"/>
      <c r="I385" s="2"/>
      <c r="J385" s="3" t="s">
        <v>550</v>
      </c>
      <c r="K385" s="3"/>
      <c r="L385" s="3"/>
      <c r="M385" s="3">
        <v>2</v>
      </c>
      <c r="N385" s="3" t="s">
        <v>291</v>
      </c>
      <c r="O385" s="2" t="s">
        <v>55</v>
      </c>
      <c r="P385" s="3"/>
      <c r="Q385" s="3" t="s">
        <v>292</v>
      </c>
      <c r="R385" s="4" t="s">
        <v>548</v>
      </c>
      <c r="S385" t="str">
        <f t="shared" si="14"/>
        <v/>
      </c>
      <c r="T385">
        <f t="shared" si="15"/>
        <v>8.3333333333333329E-2</v>
      </c>
    </row>
    <row r="386" spans="1:20" x14ac:dyDescent="0.25">
      <c r="A386" s="765">
        <v>224</v>
      </c>
      <c r="B386" s="765" t="s">
        <v>1406</v>
      </c>
      <c r="C386" s="46" t="s">
        <v>26</v>
      </c>
      <c r="D386" s="207"/>
      <c r="E386" s="2"/>
      <c r="F386" s="2"/>
      <c r="G386" s="2"/>
      <c r="H386" s="2"/>
      <c r="I386" s="2"/>
      <c r="J386" s="3" t="s">
        <v>550</v>
      </c>
      <c r="K386" s="3"/>
      <c r="L386" s="3"/>
      <c r="M386" s="3">
        <v>2</v>
      </c>
      <c r="N386" s="3" t="s">
        <v>80</v>
      </c>
      <c r="O386" s="2" t="s">
        <v>55</v>
      </c>
      <c r="P386" s="3"/>
      <c r="Q386" s="3" t="s">
        <v>81</v>
      </c>
      <c r="R386" s="4" t="s">
        <v>548</v>
      </c>
      <c r="S386" t="str">
        <f t="shared" si="14"/>
        <v/>
      </c>
      <c r="T386">
        <f t="shared" si="15"/>
        <v>8.3333333333333329E-2</v>
      </c>
    </row>
    <row r="387" spans="1:20" x14ac:dyDescent="0.25">
      <c r="A387" s="765">
        <v>79</v>
      </c>
      <c r="B387" s="765" t="s">
        <v>1406</v>
      </c>
      <c r="C387" s="47" t="s">
        <v>27</v>
      </c>
      <c r="D387" s="208">
        <v>50</v>
      </c>
      <c r="E387" s="5" t="s">
        <v>724</v>
      </c>
      <c r="F387" s="5"/>
      <c r="G387" s="5" t="s">
        <v>724</v>
      </c>
      <c r="H387" s="5" t="s">
        <v>724</v>
      </c>
      <c r="I387" s="5"/>
      <c r="J387" s="6" t="s">
        <v>550</v>
      </c>
      <c r="K387" s="6" t="s">
        <v>1130</v>
      </c>
      <c r="L387" s="6"/>
      <c r="M387" s="6">
        <v>1</v>
      </c>
      <c r="N387" s="6" t="s">
        <v>82</v>
      </c>
      <c r="O387" s="5" t="s">
        <v>55</v>
      </c>
      <c r="P387" s="6"/>
      <c r="Q387" s="6" t="s">
        <v>83</v>
      </c>
      <c r="R387" s="7" t="s">
        <v>548</v>
      </c>
      <c r="S387">
        <f t="shared" si="14"/>
        <v>45</v>
      </c>
      <c r="T387">
        <f t="shared" si="15"/>
        <v>8.3333333333333329E-2</v>
      </c>
    </row>
    <row r="388" spans="1:20" x14ac:dyDescent="0.25">
      <c r="B388" s="765" t="s">
        <v>1406</v>
      </c>
      <c r="C388" s="46" t="s">
        <v>1399</v>
      </c>
      <c r="D388" s="207"/>
      <c r="E388" s="2"/>
      <c r="F388" s="2"/>
      <c r="G388" s="2"/>
      <c r="H388" s="2"/>
      <c r="I388" s="2"/>
      <c r="J388" s="6" t="s">
        <v>550</v>
      </c>
      <c r="K388" s="3" t="s">
        <v>1130</v>
      </c>
      <c r="L388" s="3"/>
      <c r="M388" s="6">
        <v>1</v>
      </c>
      <c r="N388" s="3" t="s">
        <v>82</v>
      </c>
      <c r="O388" s="5">
        <v>1</v>
      </c>
      <c r="P388" s="3"/>
      <c r="Q388" s="3" t="s">
        <v>1387</v>
      </c>
      <c r="R388" s="7" t="s">
        <v>548</v>
      </c>
      <c r="S388">
        <v>50</v>
      </c>
      <c r="T388">
        <f t="shared" si="15"/>
        <v>8.3333333333333329E-2</v>
      </c>
    </row>
    <row r="389" spans="1:20" x14ac:dyDescent="0.25">
      <c r="A389" s="765">
        <v>82</v>
      </c>
      <c r="B389" s="765" t="s">
        <v>1406</v>
      </c>
      <c r="C389" s="46" t="s">
        <v>29</v>
      </c>
      <c r="D389" s="207"/>
      <c r="E389" s="2"/>
      <c r="F389" s="2"/>
      <c r="G389" s="2"/>
      <c r="H389" s="2"/>
      <c r="I389" s="2"/>
      <c r="J389" s="3" t="s">
        <v>550</v>
      </c>
      <c r="K389" s="3" t="s">
        <v>1132</v>
      </c>
      <c r="L389" s="3"/>
      <c r="M389" s="6">
        <v>2</v>
      </c>
      <c r="N389" s="6" t="s">
        <v>86</v>
      </c>
      <c r="O389" s="5" t="s">
        <v>55</v>
      </c>
      <c r="P389" s="6" t="s">
        <v>50</v>
      </c>
      <c r="Q389" s="6" t="s">
        <v>87</v>
      </c>
      <c r="R389" s="4" t="s">
        <v>548</v>
      </c>
      <c r="S389">
        <f t="shared" si="14"/>
        <v>60</v>
      </c>
      <c r="T389">
        <f t="shared" si="15"/>
        <v>8.3333333333333329E-2</v>
      </c>
    </row>
    <row r="390" spans="1:20" x14ac:dyDescent="0.25">
      <c r="A390" s="765">
        <v>83</v>
      </c>
      <c r="B390" s="765" t="s">
        <v>1406</v>
      </c>
      <c r="C390" s="46" t="s">
        <v>804</v>
      </c>
      <c r="D390" s="207">
        <v>30</v>
      </c>
      <c r="E390" s="2" t="s">
        <v>724</v>
      </c>
      <c r="F390" s="2"/>
      <c r="G390" s="2" t="s">
        <v>724</v>
      </c>
      <c r="H390" s="2"/>
      <c r="I390" s="2"/>
      <c r="J390" s="3" t="s">
        <v>550</v>
      </c>
      <c r="K390" s="3"/>
      <c r="L390" s="3"/>
      <c r="M390" s="3">
        <v>2</v>
      </c>
      <c r="N390" s="3" t="s">
        <v>315</v>
      </c>
      <c r="O390" s="2" t="s">
        <v>55</v>
      </c>
      <c r="P390" s="3"/>
      <c r="Q390" s="3" t="s">
        <v>316</v>
      </c>
      <c r="R390" s="7" t="s">
        <v>548</v>
      </c>
      <c r="S390" t="str">
        <f t="shared" si="14"/>
        <v/>
      </c>
      <c r="T390">
        <f t="shared" si="15"/>
        <v>8.3333333333333329E-2</v>
      </c>
    </row>
    <row r="391" spans="1:20" x14ac:dyDescent="0.25">
      <c r="A391" s="765">
        <v>84</v>
      </c>
      <c r="B391" s="765" t="s">
        <v>1406</v>
      </c>
      <c r="C391" s="46" t="s">
        <v>807</v>
      </c>
      <c r="D391" s="207"/>
      <c r="E391" s="2"/>
      <c r="F391" s="2"/>
      <c r="G391" s="2"/>
      <c r="H391" s="2"/>
      <c r="I391" s="2"/>
      <c r="J391" s="3" t="s">
        <v>550</v>
      </c>
      <c r="K391" s="3" t="s">
        <v>1165</v>
      </c>
      <c r="L391" s="3"/>
      <c r="M391" s="6">
        <v>2</v>
      </c>
      <c r="N391" s="6" t="s">
        <v>799</v>
      </c>
      <c r="O391" s="5" t="s">
        <v>55</v>
      </c>
      <c r="P391" s="6" t="s">
        <v>50</v>
      </c>
      <c r="Q391" s="3" t="s">
        <v>91</v>
      </c>
      <c r="R391" s="4" t="s">
        <v>548</v>
      </c>
      <c r="S391">
        <f t="shared" si="14"/>
        <v>30</v>
      </c>
      <c r="T391">
        <f t="shared" si="15"/>
        <v>8.3333333333333329E-2</v>
      </c>
    </row>
    <row r="392" spans="1:20" x14ac:dyDescent="0.25">
      <c r="A392" s="765">
        <v>87</v>
      </c>
      <c r="B392" s="765" t="s">
        <v>1406</v>
      </c>
      <c r="C392" s="46" t="s">
        <v>314</v>
      </c>
      <c r="D392" s="207"/>
      <c r="E392" s="2"/>
      <c r="F392" s="2"/>
      <c r="G392" s="2"/>
      <c r="H392" s="2"/>
      <c r="I392" s="2"/>
      <c r="J392" s="3" t="s">
        <v>550</v>
      </c>
      <c r="K392" s="3"/>
      <c r="L392" s="3"/>
      <c r="M392" s="3">
        <v>2</v>
      </c>
      <c r="N392" s="3" t="s">
        <v>315</v>
      </c>
      <c r="O392" s="2" t="s">
        <v>55</v>
      </c>
      <c r="P392" s="3"/>
      <c r="Q392" s="3" t="s">
        <v>316</v>
      </c>
      <c r="R392" s="7" t="s">
        <v>548</v>
      </c>
      <c r="S392" t="str">
        <f t="shared" si="14"/>
        <v/>
      </c>
      <c r="T392">
        <f t="shared" si="15"/>
        <v>8.3333333333333329E-2</v>
      </c>
    </row>
    <row r="393" spans="1:20" x14ac:dyDescent="0.25">
      <c r="A393" s="765">
        <v>90</v>
      </c>
      <c r="B393" s="765" t="s">
        <v>1406</v>
      </c>
      <c r="C393" s="47" t="s">
        <v>322</v>
      </c>
      <c r="D393" s="208"/>
      <c r="E393" s="5"/>
      <c r="F393" s="5"/>
      <c r="G393" s="5"/>
      <c r="H393" s="5"/>
      <c r="I393" s="5"/>
      <c r="J393" s="6" t="s">
        <v>550</v>
      </c>
      <c r="K393" s="6"/>
      <c r="L393" s="6"/>
      <c r="M393" s="6">
        <v>1</v>
      </c>
      <c r="N393" s="6" t="s">
        <v>323</v>
      </c>
      <c r="O393" s="5">
        <v>2</v>
      </c>
      <c r="P393" s="6" t="s">
        <v>50</v>
      </c>
      <c r="Q393" s="6" t="s">
        <v>324</v>
      </c>
      <c r="R393" s="4" t="s">
        <v>548</v>
      </c>
      <c r="S393" t="str">
        <f t="shared" si="14"/>
        <v/>
      </c>
      <c r="T393">
        <f t="shared" si="15"/>
        <v>8.3333333333333329E-2</v>
      </c>
    </row>
    <row r="394" spans="1:20" x14ac:dyDescent="0.25">
      <c r="A394" s="765">
        <v>91</v>
      </c>
      <c r="B394" s="765" t="s">
        <v>1406</v>
      </c>
      <c r="C394" s="47" t="s">
        <v>445</v>
      </c>
      <c r="D394" s="208"/>
      <c r="E394" s="2"/>
      <c r="F394" s="2"/>
      <c r="G394" s="2"/>
      <c r="H394" s="2"/>
      <c r="I394" s="2"/>
      <c r="J394" s="3" t="s">
        <v>550</v>
      </c>
      <c r="K394" s="3"/>
      <c r="L394" s="3"/>
      <c r="M394" s="3">
        <v>2</v>
      </c>
      <c r="N394" s="6" t="s">
        <v>326</v>
      </c>
      <c r="O394" s="2">
        <v>2</v>
      </c>
      <c r="P394" s="3"/>
      <c r="Q394" s="3" t="s">
        <v>327</v>
      </c>
      <c r="R394" s="7" t="s">
        <v>548</v>
      </c>
      <c r="S394" t="str">
        <f t="shared" si="14"/>
        <v/>
      </c>
      <c r="T394">
        <f t="shared" si="15"/>
        <v>8.3333333333333329E-2</v>
      </c>
    </row>
    <row r="395" spans="1:20" x14ac:dyDescent="0.25">
      <c r="A395" s="765">
        <v>229</v>
      </c>
      <c r="B395" s="765" t="s">
        <v>1406</v>
      </c>
      <c r="C395" s="46" t="s">
        <v>328</v>
      </c>
      <c r="D395" s="207"/>
      <c r="E395" s="2"/>
      <c r="F395" s="2"/>
      <c r="G395" s="2"/>
      <c r="H395" s="2"/>
      <c r="I395" s="2"/>
      <c r="J395" s="3" t="s">
        <v>550</v>
      </c>
      <c r="K395" s="3"/>
      <c r="L395" s="3"/>
      <c r="M395" s="3">
        <v>2</v>
      </c>
      <c r="N395" s="6" t="s">
        <v>329</v>
      </c>
      <c r="O395" s="2">
        <v>2</v>
      </c>
      <c r="P395" s="3"/>
      <c r="Q395" s="3" t="s">
        <v>548</v>
      </c>
      <c r="R395" s="4" t="s">
        <v>548</v>
      </c>
      <c r="S395" t="str">
        <f t="shared" si="14"/>
        <v/>
      </c>
      <c r="T395">
        <f t="shared" si="15"/>
        <v>8.3333333333333329E-2</v>
      </c>
    </row>
    <row r="396" spans="1:20" x14ac:dyDescent="0.25">
      <c r="A396" s="765">
        <v>92</v>
      </c>
      <c r="B396" s="765" t="s">
        <v>1406</v>
      </c>
      <c r="C396" s="46" t="s">
        <v>779</v>
      </c>
      <c r="D396" s="207"/>
      <c r="E396" s="2"/>
      <c r="F396" s="2"/>
      <c r="G396" s="2"/>
      <c r="H396" s="2"/>
      <c r="I396" s="2"/>
      <c r="J396" s="3" t="s">
        <v>550</v>
      </c>
      <c r="K396" s="3"/>
      <c r="L396" s="3"/>
      <c r="M396" s="3">
        <v>1</v>
      </c>
      <c r="N396" s="3" t="s">
        <v>331</v>
      </c>
      <c r="O396" s="2">
        <v>2</v>
      </c>
      <c r="P396" s="3"/>
      <c r="Q396" s="3" t="s">
        <v>332</v>
      </c>
      <c r="R396" s="7" t="s">
        <v>548</v>
      </c>
      <c r="S396" t="str">
        <f t="shared" si="14"/>
        <v/>
      </c>
      <c r="T396">
        <f t="shared" si="15"/>
        <v>8.3333333333333329E-2</v>
      </c>
    </row>
    <row r="397" spans="1:20" x14ac:dyDescent="0.25">
      <c r="A397" s="765">
        <v>93</v>
      </c>
      <c r="B397" s="765" t="s">
        <v>1406</v>
      </c>
      <c r="C397" s="46" t="s">
        <v>334</v>
      </c>
      <c r="D397" s="207">
        <v>30</v>
      </c>
      <c r="E397" s="2" t="s">
        <v>1178</v>
      </c>
      <c r="F397" s="2"/>
      <c r="G397" s="2" t="s">
        <v>1178</v>
      </c>
      <c r="H397" s="2"/>
      <c r="I397" s="2"/>
      <c r="J397" s="3" t="s">
        <v>550</v>
      </c>
      <c r="K397" s="3" t="s">
        <v>1130</v>
      </c>
      <c r="L397" s="3"/>
      <c r="M397" s="3">
        <v>1</v>
      </c>
      <c r="N397" s="3" t="s">
        <v>335</v>
      </c>
      <c r="O397" s="2" t="s">
        <v>55</v>
      </c>
      <c r="P397" s="3"/>
      <c r="Q397" s="3" t="s">
        <v>336</v>
      </c>
      <c r="R397" s="4" t="s">
        <v>548</v>
      </c>
      <c r="S397">
        <f t="shared" si="14"/>
        <v>45</v>
      </c>
      <c r="T397">
        <f t="shared" si="15"/>
        <v>8.3333333333333329E-2</v>
      </c>
    </row>
    <row r="398" spans="1:20" x14ac:dyDescent="0.25">
      <c r="A398" s="765">
        <v>94</v>
      </c>
      <c r="B398" s="765" t="s">
        <v>1406</v>
      </c>
      <c r="C398" s="47" t="s">
        <v>33</v>
      </c>
      <c r="D398" s="208"/>
      <c r="E398" s="5"/>
      <c r="F398" s="5"/>
      <c r="G398" s="5"/>
      <c r="H398" s="5"/>
      <c r="I398" s="5"/>
      <c r="J398" s="6" t="s">
        <v>550</v>
      </c>
      <c r="K398" s="6"/>
      <c r="L398" s="6"/>
      <c r="M398" s="6">
        <v>1</v>
      </c>
      <c r="N398" s="6" t="s">
        <v>94</v>
      </c>
      <c r="O398" s="5" t="s">
        <v>55</v>
      </c>
      <c r="P398" s="6"/>
      <c r="Q398" s="6" t="s">
        <v>95</v>
      </c>
      <c r="R398" s="7" t="s">
        <v>548</v>
      </c>
      <c r="S398" t="str">
        <f t="shared" si="14"/>
        <v/>
      </c>
      <c r="T398">
        <f t="shared" si="15"/>
        <v>8.3333333333333329E-2</v>
      </c>
    </row>
    <row r="399" spans="1:20" x14ac:dyDescent="0.25">
      <c r="A399" s="765">
        <v>96</v>
      </c>
      <c r="B399" s="765" t="s">
        <v>1406</v>
      </c>
      <c r="C399" s="46" t="s">
        <v>34</v>
      </c>
      <c r="D399" s="207">
        <v>50</v>
      </c>
      <c r="E399" s="2" t="s">
        <v>724</v>
      </c>
      <c r="F399" s="2"/>
      <c r="G399" s="2" t="s">
        <v>724</v>
      </c>
      <c r="H399" s="2" t="s">
        <v>724</v>
      </c>
      <c r="I399" s="2" t="s">
        <v>724</v>
      </c>
      <c r="J399" s="3" t="s">
        <v>550</v>
      </c>
      <c r="K399" s="3"/>
      <c r="L399" s="3"/>
      <c r="M399" s="3">
        <v>1</v>
      </c>
      <c r="N399" s="3" t="s">
        <v>96</v>
      </c>
      <c r="O399" s="2" t="s">
        <v>49</v>
      </c>
      <c r="P399" s="3"/>
      <c r="Q399" s="3" t="s">
        <v>97</v>
      </c>
      <c r="R399" s="4" t="s">
        <v>548</v>
      </c>
      <c r="S399" t="str">
        <f t="shared" si="14"/>
        <v/>
      </c>
      <c r="T399">
        <f t="shared" si="15"/>
        <v>8.3333333333333329E-2</v>
      </c>
    </row>
    <row r="400" spans="1:20" x14ac:dyDescent="0.25">
      <c r="A400" s="765">
        <v>98</v>
      </c>
      <c r="B400" s="765" t="s">
        <v>1406</v>
      </c>
      <c r="C400" s="47" t="s">
        <v>449</v>
      </c>
      <c r="D400" s="208"/>
      <c r="E400" s="5"/>
      <c r="F400" s="5"/>
      <c r="G400" s="5"/>
      <c r="H400" s="5"/>
      <c r="I400" s="5"/>
      <c r="J400" s="6" t="s">
        <v>550</v>
      </c>
      <c r="K400" s="6"/>
      <c r="L400" s="6"/>
      <c r="M400" s="6">
        <v>1</v>
      </c>
      <c r="N400" s="6" t="s">
        <v>96</v>
      </c>
      <c r="O400" s="5" t="s">
        <v>49</v>
      </c>
      <c r="P400" s="6"/>
      <c r="Q400" s="6" t="s">
        <v>450</v>
      </c>
      <c r="R400" s="7" t="s">
        <v>548</v>
      </c>
      <c r="S400" t="str">
        <f t="shared" si="14"/>
        <v/>
      </c>
      <c r="T400">
        <f t="shared" si="15"/>
        <v>8.3333333333333329E-2</v>
      </c>
    </row>
    <row r="401" spans="1:20" x14ac:dyDescent="0.25">
      <c r="A401" s="765">
        <v>99</v>
      </c>
      <c r="B401" s="765" t="s">
        <v>1406</v>
      </c>
      <c r="C401" s="47" t="s">
        <v>1023</v>
      </c>
      <c r="D401" s="208">
        <v>30</v>
      </c>
      <c r="E401" s="5" t="s">
        <v>724</v>
      </c>
      <c r="F401" s="5"/>
      <c r="G401" s="5" t="s">
        <v>724</v>
      </c>
      <c r="H401" s="5"/>
      <c r="I401" s="5"/>
      <c r="J401" s="6" t="s">
        <v>550</v>
      </c>
      <c r="K401" s="6" t="s">
        <v>1131</v>
      </c>
      <c r="L401" s="6"/>
      <c r="M401" s="3">
        <v>2</v>
      </c>
      <c r="N401" s="3" t="s">
        <v>338</v>
      </c>
      <c r="O401" s="2">
        <v>2</v>
      </c>
      <c r="P401" s="3"/>
      <c r="Q401" s="3" t="s">
        <v>339</v>
      </c>
      <c r="R401" s="7" t="s">
        <v>548</v>
      </c>
      <c r="S401">
        <f t="shared" si="14"/>
        <v>30</v>
      </c>
      <c r="T401">
        <f t="shared" si="15"/>
        <v>8.3333333333333329E-2</v>
      </c>
    </row>
    <row r="402" spans="1:20" x14ac:dyDescent="0.25">
      <c r="A402" s="765">
        <v>101</v>
      </c>
      <c r="B402" s="765" t="s">
        <v>1406</v>
      </c>
      <c r="C402" s="47" t="s">
        <v>940</v>
      </c>
      <c r="D402" s="208"/>
      <c r="E402" s="5"/>
      <c r="F402" s="5"/>
      <c r="G402" s="5"/>
      <c r="H402" s="5"/>
      <c r="I402" s="5"/>
      <c r="J402" s="6" t="s">
        <v>550</v>
      </c>
      <c r="K402" s="6"/>
      <c r="L402" s="6"/>
      <c r="M402" s="6">
        <v>1</v>
      </c>
      <c r="N402" s="6" t="s">
        <v>370</v>
      </c>
      <c r="O402" s="5">
        <v>2</v>
      </c>
      <c r="P402" s="6"/>
      <c r="Q402" s="6" t="s">
        <v>371</v>
      </c>
      <c r="R402" s="7" t="s">
        <v>548</v>
      </c>
      <c r="S402" t="str">
        <f t="shared" si="14"/>
        <v/>
      </c>
      <c r="T402">
        <f t="shared" si="15"/>
        <v>8.3333333333333329E-2</v>
      </c>
    </row>
    <row r="403" spans="1:20" x14ac:dyDescent="0.25">
      <c r="B403" s="765" t="s">
        <v>1406</v>
      </c>
      <c r="C403" s="46" t="s">
        <v>868</v>
      </c>
      <c r="D403" s="207"/>
      <c r="E403" s="2"/>
      <c r="F403" s="2"/>
      <c r="G403" s="2"/>
      <c r="H403" s="2"/>
      <c r="I403" s="2"/>
      <c r="J403" s="6" t="s">
        <v>550</v>
      </c>
      <c r="K403" s="6" t="s">
        <v>1130</v>
      </c>
      <c r="L403" s="3"/>
      <c r="M403" s="3">
        <v>3</v>
      </c>
      <c r="N403" s="3" t="s">
        <v>916</v>
      </c>
      <c r="O403" s="2">
        <v>1</v>
      </c>
      <c r="P403" s="3" t="s">
        <v>50</v>
      </c>
      <c r="Q403" s="3" t="s">
        <v>915</v>
      </c>
      <c r="R403" s="4" t="s">
        <v>548</v>
      </c>
      <c r="S403">
        <f t="shared" si="14"/>
        <v>45</v>
      </c>
      <c r="T403">
        <f t="shared" si="15"/>
        <v>8.3333333333333329E-2</v>
      </c>
    </row>
    <row r="404" spans="1:20" x14ac:dyDescent="0.25">
      <c r="A404" s="765">
        <v>103</v>
      </c>
      <c r="B404" s="765" t="s">
        <v>1406</v>
      </c>
      <c r="C404" s="46" t="s">
        <v>35</v>
      </c>
      <c r="D404" s="207"/>
      <c r="E404" s="2"/>
      <c r="F404" s="2"/>
      <c r="G404" s="2"/>
      <c r="H404" s="2"/>
      <c r="I404" s="2"/>
      <c r="J404" s="3" t="s">
        <v>550</v>
      </c>
      <c r="K404" s="3"/>
      <c r="L404" s="3"/>
      <c r="M404" s="3">
        <v>2</v>
      </c>
      <c r="N404" s="3" t="s">
        <v>100</v>
      </c>
      <c r="O404" s="2">
        <v>2</v>
      </c>
      <c r="P404" s="3"/>
      <c r="Q404" s="3" t="s">
        <v>101</v>
      </c>
      <c r="R404" s="4" t="s">
        <v>548</v>
      </c>
      <c r="S404" t="str">
        <f t="shared" si="14"/>
        <v/>
      </c>
      <c r="T404">
        <f t="shared" si="15"/>
        <v>8.3333333333333329E-2</v>
      </c>
    </row>
    <row r="405" spans="1:20" x14ac:dyDescent="0.25">
      <c r="A405" s="765">
        <v>108</v>
      </c>
      <c r="B405" s="765" t="s">
        <v>1406</v>
      </c>
      <c r="C405" s="46" t="s">
        <v>198</v>
      </c>
      <c r="D405" s="207"/>
      <c r="E405" s="2" t="s">
        <v>1178</v>
      </c>
      <c r="F405" s="2"/>
      <c r="G405" s="2" t="s">
        <v>1178</v>
      </c>
      <c r="H405" s="2" t="s">
        <v>1178</v>
      </c>
      <c r="I405" s="2"/>
      <c r="J405" s="3" t="s">
        <v>550</v>
      </c>
      <c r="K405" s="3" t="s">
        <v>1130</v>
      </c>
      <c r="L405" s="3"/>
      <c r="M405" s="3">
        <v>1</v>
      </c>
      <c r="N405" s="3" t="s">
        <v>199</v>
      </c>
      <c r="O405" s="2" t="s">
        <v>49</v>
      </c>
      <c r="P405" s="3"/>
      <c r="Q405" s="3" t="s">
        <v>200</v>
      </c>
      <c r="R405" s="4" t="s">
        <v>548</v>
      </c>
      <c r="S405">
        <f t="shared" si="14"/>
        <v>45</v>
      </c>
      <c r="T405">
        <f t="shared" si="15"/>
        <v>8.3333333333333329E-2</v>
      </c>
    </row>
    <row r="406" spans="1:20" x14ac:dyDescent="0.25">
      <c r="A406" s="765">
        <v>110</v>
      </c>
      <c r="B406" s="765" t="s">
        <v>1406</v>
      </c>
      <c r="C406" s="47" t="s">
        <v>201</v>
      </c>
      <c r="D406" s="208"/>
      <c r="E406" s="5"/>
      <c r="F406" s="5"/>
      <c r="G406" s="5"/>
      <c r="H406" s="5"/>
      <c r="I406" s="5"/>
      <c r="J406" s="6" t="s">
        <v>550</v>
      </c>
      <c r="K406" s="6"/>
      <c r="L406" s="6"/>
      <c r="M406" s="6">
        <v>1</v>
      </c>
      <c r="N406" s="6" t="s">
        <v>202</v>
      </c>
      <c r="O406" s="5" t="s">
        <v>49</v>
      </c>
      <c r="P406" s="6"/>
      <c r="Q406" s="6" t="s">
        <v>203</v>
      </c>
      <c r="R406" s="4" t="s">
        <v>548</v>
      </c>
      <c r="S406" t="str">
        <f t="shared" si="14"/>
        <v/>
      </c>
      <c r="T406">
        <f t="shared" si="15"/>
        <v>8.3333333333333329E-2</v>
      </c>
    </row>
    <row r="407" spans="1:20" x14ac:dyDescent="0.25">
      <c r="A407" s="765">
        <v>111</v>
      </c>
      <c r="B407" s="765" t="s">
        <v>1406</v>
      </c>
      <c r="C407" s="47" t="s">
        <v>846</v>
      </c>
      <c r="D407" s="208">
        <v>20</v>
      </c>
      <c r="E407" s="5" t="s">
        <v>724</v>
      </c>
      <c r="F407" s="5"/>
      <c r="G407" s="5"/>
      <c r="H407" s="5"/>
      <c r="I407" s="5"/>
      <c r="J407" s="3" t="s">
        <v>550</v>
      </c>
      <c r="K407" s="3" t="s">
        <v>1132</v>
      </c>
      <c r="L407" s="6"/>
      <c r="M407" s="6">
        <v>2</v>
      </c>
      <c r="N407" s="6" t="s">
        <v>102</v>
      </c>
      <c r="O407" s="5" t="s">
        <v>49</v>
      </c>
      <c r="P407" s="6"/>
      <c r="Q407" s="6" t="s">
        <v>103</v>
      </c>
      <c r="R407" s="4" t="s">
        <v>548</v>
      </c>
      <c r="S407">
        <f t="shared" si="14"/>
        <v>60</v>
      </c>
      <c r="T407">
        <f t="shared" si="15"/>
        <v>8.3333333333333329E-2</v>
      </c>
    </row>
    <row r="408" spans="1:20" x14ac:dyDescent="0.25">
      <c r="A408" s="765">
        <v>112</v>
      </c>
      <c r="B408" s="765" t="s">
        <v>1406</v>
      </c>
      <c r="C408" s="47" t="s">
        <v>847</v>
      </c>
      <c r="D408" s="208"/>
      <c r="E408" s="5"/>
      <c r="F408" s="5"/>
      <c r="G408" s="5"/>
      <c r="H408" s="5"/>
      <c r="I408" s="5"/>
      <c r="J408" s="3" t="s">
        <v>550</v>
      </c>
      <c r="K408" s="3" t="s">
        <v>1130</v>
      </c>
      <c r="L408" s="6"/>
      <c r="M408" s="6">
        <v>2</v>
      </c>
      <c r="N408" s="6" t="s">
        <v>451</v>
      </c>
      <c r="O408" s="5" t="s">
        <v>49</v>
      </c>
      <c r="P408" s="6"/>
      <c r="Q408" s="6" t="s">
        <v>105</v>
      </c>
      <c r="R408" s="4" t="s">
        <v>548</v>
      </c>
      <c r="S408">
        <f t="shared" si="14"/>
        <v>45</v>
      </c>
      <c r="T408">
        <f t="shared" si="15"/>
        <v>8.3333333333333329E-2</v>
      </c>
    </row>
    <row r="409" spans="1:20" x14ac:dyDescent="0.25">
      <c r="A409" s="765">
        <v>113</v>
      </c>
      <c r="B409" s="765" t="s">
        <v>1406</v>
      </c>
      <c r="C409" s="46" t="s">
        <v>394</v>
      </c>
      <c r="D409" s="207"/>
      <c r="E409" s="2"/>
      <c r="F409" s="2"/>
      <c r="G409" s="2"/>
      <c r="H409" s="2"/>
      <c r="I409" s="2"/>
      <c r="J409" s="3" t="s">
        <v>550</v>
      </c>
      <c r="K409" s="3"/>
      <c r="L409" s="3"/>
      <c r="M409" s="3">
        <v>2</v>
      </c>
      <c r="N409" s="3" t="s">
        <v>395</v>
      </c>
      <c r="O409" s="2" t="s">
        <v>49</v>
      </c>
      <c r="P409" s="3"/>
      <c r="Q409" s="3" t="s">
        <v>396</v>
      </c>
      <c r="R409" s="4" t="s">
        <v>548</v>
      </c>
      <c r="S409" t="str">
        <f t="shared" si="14"/>
        <v/>
      </c>
      <c r="T409">
        <f t="shared" si="15"/>
        <v>8.3333333333333329E-2</v>
      </c>
    </row>
    <row r="410" spans="1:20" x14ac:dyDescent="0.25">
      <c r="A410" s="765">
        <v>114</v>
      </c>
      <c r="B410" s="765" t="s">
        <v>1406</v>
      </c>
      <c r="C410" s="47" t="s">
        <v>38</v>
      </c>
      <c r="D410" s="208">
        <v>30</v>
      </c>
      <c r="E410" s="5" t="s">
        <v>724</v>
      </c>
      <c r="F410" s="5"/>
      <c r="G410" s="5" t="s">
        <v>724</v>
      </c>
      <c r="H410" s="5"/>
      <c r="I410" s="5"/>
      <c r="J410" s="6" t="s">
        <v>550</v>
      </c>
      <c r="K410" s="6" t="s">
        <v>1132</v>
      </c>
      <c r="L410" s="6"/>
      <c r="M410" s="6">
        <v>2</v>
      </c>
      <c r="N410" s="6" t="s">
        <v>106</v>
      </c>
      <c r="O410" s="5">
        <v>2</v>
      </c>
      <c r="P410" s="6"/>
      <c r="Q410" s="6" t="s">
        <v>107</v>
      </c>
      <c r="R410" s="4" t="s">
        <v>548</v>
      </c>
      <c r="S410">
        <f t="shared" si="14"/>
        <v>60</v>
      </c>
      <c r="T410">
        <f t="shared" si="15"/>
        <v>8.3333333333333329E-2</v>
      </c>
    </row>
    <row r="411" spans="1:20" x14ac:dyDescent="0.25">
      <c r="A411" s="765">
        <v>115</v>
      </c>
      <c r="B411" s="765" t="s">
        <v>1406</v>
      </c>
      <c r="C411" s="46" t="s">
        <v>806</v>
      </c>
      <c r="D411" s="207">
        <v>30</v>
      </c>
      <c r="E411" s="2" t="s">
        <v>724</v>
      </c>
      <c r="F411" s="2"/>
      <c r="G411" s="2" t="s">
        <v>724</v>
      </c>
      <c r="H411" s="2"/>
      <c r="I411" s="2"/>
      <c r="J411" s="3" t="s">
        <v>550</v>
      </c>
      <c r="K411" s="3" t="s">
        <v>1131</v>
      </c>
      <c r="L411" s="3"/>
      <c r="M411" s="6">
        <v>1</v>
      </c>
      <c r="N411" s="6" t="s">
        <v>398</v>
      </c>
      <c r="O411" s="5" t="s">
        <v>55</v>
      </c>
      <c r="P411" s="6" t="s">
        <v>50</v>
      </c>
      <c r="Q411" s="6" t="s">
        <v>399</v>
      </c>
      <c r="R411" s="4" t="s">
        <v>548</v>
      </c>
      <c r="S411">
        <f t="shared" si="14"/>
        <v>30</v>
      </c>
      <c r="T411">
        <f t="shared" si="15"/>
        <v>8.3333333333333329E-2</v>
      </c>
    </row>
    <row r="412" spans="1:20" x14ac:dyDescent="0.25">
      <c r="A412" s="765">
        <v>116</v>
      </c>
      <c r="B412" s="765" t="s">
        <v>1406</v>
      </c>
      <c r="C412" s="46" t="s">
        <v>400</v>
      </c>
      <c r="D412" s="207"/>
      <c r="E412" s="2"/>
      <c r="F412" s="2"/>
      <c r="G412" s="2"/>
      <c r="H412" s="2"/>
      <c r="I412" s="2"/>
      <c r="J412" s="3" t="s">
        <v>550</v>
      </c>
      <c r="K412" s="3"/>
      <c r="L412" s="3"/>
      <c r="M412" s="3">
        <v>1</v>
      </c>
      <c r="N412" s="3" t="s">
        <v>108</v>
      </c>
      <c r="O412" s="2" t="s">
        <v>55</v>
      </c>
      <c r="P412" s="3"/>
      <c r="Q412" s="3" t="s">
        <v>554</v>
      </c>
      <c r="R412" s="4" t="s">
        <v>548</v>
      </c>
      <c r="S412" t="str">
        <f t="shared" si="14"/>
        <v/>
      </c>
      <c r="T412">
        <f t="shared" si="15"/>
        <v>8.3333333333333329E-2</v>
      </c>
    </row>
    <row r="413" spans="1:20" x14ac:dyDescent="0.25">
      <c r="C413" s="47"/>
      <c r="D413" s="208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5"/>
      <c r="P413" s="6"/>
      <c r="Q413" s="6"/>
      <c r="R413" s="7" t="s">
        <v>548</v>
      </c>
      <c r="S413" t="str">
        <f t="shared" si="14"/>
        <v/>
      </c>
      <c r="T413">
        <f t="shared" si="15"/>
        <v>8.3333333333333329E-2</v>
      </c>
    </row>
    <row r="414" spans="1:20" x14ac:dyDescent="0.25">
      <c r="A414" s="765">
        <v>129</v>
      </c>
      <c r="B414" s="765" t="s">
        <v>1406</v>
      </c>
      <c r="C414" s="46" t="s">
        <v>485</v>
      </c>
      <c r="D414" s="207"/>
      <c r="E414" s="2"/>
      <c r="F414" s="2"/>
      <c r="G414" s="2"/>
      <c r="H414" s="2"/>
      <c r="I414" s="2"/>
      <c r="J414" s="3" t="s">
        <v>555</v>
      </c>
      <c r="K414" s="3"/>
      <c r="L414" s="3"/>
      <c r="M414" s="3">
        <v>2</v>
      </c>
      <c r="N414" s="3" t="s">
        <v>480</v>
      </c>
      <c r="O414" s="2">
        <v>1</v>
      </c>
      <c r="P414" s="3"/>
      <c r="Q414" s="3" t="s">
        <v>556</v>
      </c>
      <c r="R414" s="4" t="s">
        <v>548</v>
      </c>
      <c r="S414" t="str">
        <f t="shared" si="14"/>
        <v/>
      </c>
      <c r="T414">
        <f t="shared" si="15"/>
        <v>8.3333333333333329E-2</v>
      </c>
    </row>
    <row r="415" spans="1:20" x14ac:dyDescent="0.25">
      <c r="B415" s="765" t="s">
        <v>1406</v>
      </c>
      <c r="C415" s="47" t="s">
        <v>557</v>
      </c>
      <c r="D415" s="208"/>
      <c r="E415" s="5"/>
      <c r="F415" s="5"/>
      <c r="G415" s="5"/>
      <c r="H415" s="5"/>
      <c r="I415" s="5"/>
      <c r="J415" s="6" t="s">
        <v>555</v>
      </c>
      <c r="K415" s="6"/>
      <c r="L415" s="6"/>
      <c r="M415" s="6">
        <v>2</v>
      </c>
      <c r="N415" s="6" t="s">
        <v>480</v>
      </c>
      <c r="O415" s="5">
        <v>1</v>
      </c>
      <c r="P415" s="6"/>
      <c r="Q415" s="6" t="s">
        <v>558</v>
      </c>
      <c r="R415" s="7" t="s">
        <v>548</v>
      </c>
      <c r="S415" t="str">
        <f t="shared" si="14"/>
        <v/>
      </c>
      <c r="T415">
        <f t="shared" si="15"/>
        <v>8.3333333333333329E-2</v>
      </c>
    </row>
    <row r="416" spans="1:20" x14ac:dyDescent="0.25">
      <c r="A416" s="765">
        <v>296</v>
      </c>
      <c r="B416" s="765" t="s">
        <v>1406</v>
      </c>
      <c r="C416" s="46" t="s">
        <v>559</v>
      </c>
      <c r="D416" s="207"/>
      <c r="E416" s="2"/>
      <c r="F416" s="2"/>
      <c r="G416" s="2"/>
      <c r="H416" s="2"/>
      <c r="I416" s="2"/>
      <c r="J416" s="3" t="s">
        <v>555</v>
      </c>
      <c r="K416" s="3"/>
      <c r="L416" s="3"/>
      <c r="M416" s="3">
        <v>2</v>
      </c>
      <c r="N416" s="3" t="s">
        <v>480</v>
      </c>
      <c r="O416" s="2">
        <v>1</v>
      </c>
      <c r="P416" s="3"/>
      <c r="Q416" s="3" t="s">
        <v>560</v>
      </c>
      <c r="R416" s="4" t="s">
        <v>548</v>
      </c>
      <c r="S416" t="str">
        <f t="shared" si="14"/>
        <v/>
      </c>
      <c r="T416">
        <f t="shared" si="15"/>
        <v>8.3333333333333329E-2</v>
      </c>
    </row>
    <row r="417" spans="1:20" x14ac:dyDescent="0.25">
      <c r="B417" s="765" t="s">
        <v>1406</v>
      </c>
      <c r="C417" s="47" t="s">
        <v>561</v>
      </c>
      <c r="D417" s="208"/>
      <c r="E417" s="5"/>
      <c r="F417" s="5"/>
      <c r="G417" s="5"/>
      <c r="H417" s="5"/>
      <c r="I417" s="5"/>
      <c r="J417" s="6" t="s">
        <v>555</v>
      </c>
      <c r="K417" s="6"/>
      <c r="L417" s="6"/>
      <c r="M417" s="6">
        <v>2</v>
      </c>
      <c r="N417" s="6" t="s">
        <v>497</v>
      </c>
      <c r="O417" s="5">
        <v>1</v>
      </c>
      <c r="P417" s="6"/>
      <c r="Q417" s="6" t="s">
        <v>562</v>
      </c>
      <c r="R417" s="7" t="s">
        <v>548</v>
      </c>
      <c r="S417" t="str">
        <f t="shared" si="14"/>
        <v/>
      </c>
      <c r="T417">
        <f t="shared" si="15"/>
        <v>8.3333333333333329E-2</v>
      </c>
    </row>
    <row r="418" spans="1:20" x14ac:dyDescent="0.25">
      <c r="A418" s="765">
        <v>477</v>
      </c>
      <c r="B418" s="765" t="s">
        <v>1406</v>
      </c>
      <c r="C418" s="46" t="s">
        <v>175</v>
      </c>
      <c r="D418" s="207"/>
      <c r="E418" s="2"/>
      <c r="F418" s="2"/>
      <c r="G418" s="2"/>
      <c r="H418" s="2"/>
      <c r="I418" s="2"/>
      <c r="J418" s="3" t="s">
        <v>555</v>
      </c>
      <c r="K418" s="3"/>
      <c r="L418" s="3"/>
      <c r="M418" s="3">
        <v>2</v>
      </c>
      <c r="N418" s="3" t="s">
        <v>176</v>
      </c>
      <c r="O418" s="2">
        <v>1</v>
      </c>
      <c r="P418" s="3"/>
      <c r="Q418" s="3" t="s">
        <v>177</v>
      </c>
      <c r="R418" s="4" t="s">
        <v>548</v>
      </c>
      <c r="S418" t="str">
        <f t="shared" si="14"/>
        <v/>
      </c>
      <c r="T418">
        <f t="shared" si="15"/>
        <v>8.3333333333333329E-2</v>
      </c>
    </row>
    <row r="419" spans="1:20" x14ac:dyDescent="0.25">
      <c r="A419" s="765">
        <v>132</v>
      </c>
      <c r="B419" s="765" t="s">
        <v>1406</v>
      </c>
      <c r="C419" s="47" t="s">
        <v>525</v>
      </c>
      <c r="D419" s="208"/>
      <c r="E419" s="5"/>
      <c r="F419" s="5"/>
      <c r="G419" s="5"/>
      <c r="H419" s="5"/>
      <c r="I419" s="5"/>
      <c r="J419" s="6" t="s">
        <v>555</v>
      </c>
      <c r="K419" s="6"/>
      <c r="L419" s="6"/>
      <c r="M419" s="6">
        <v>2</v>
      </c>
      <c r="N419" s="6" t="s">
        <v>176</v>
      </c>
      <c r="O419" s="5">
        <v>1</v>
      </c>
      <c r="P419" s="6"/>
      <c r="Q419" s="6" t="s">
        <v>526</v>
      </c>
      <c r="R419" s="7" t="s">
        <v>548</v>
      </c>
      <c r="S419" t="str">
        <f t="shared" si="14"/>
        <v/>
      </c>
      <c r="T419">
        <f t="shared" si="15"/>
        <v>8.3333333333333329E-2</v>
      </c>
    </row>
    <row r="420" spans="1:20" x14ac:dyDescent="0.25">
      <c r="A420" s="765">
        <v>286</v>
      </c>
      <c r="B420" s="765" t="s">
        <v>1406</v>
      </c>
      <c r="C420" s="46" t="s">
        <v>958</v>
      </c>
      <c r="D420" s="207"/>
      <c r="E420" s="2"/>
      <c r="F420" s="2"/>
      <c r="G420" s="2"/>
      <c r="H420" s="2"/>
      <c r="I420" s="2"/>
      <c r="J420" s="3" t="s">
        <v>555</v>
      </c>
      <c r="K420" s="3"/>
      <c r="L420" s="3"/>
      <c r="M420" s="3">
        <v>1</v>
      </c>
      <c r="N420" s="3"/>
      <c r="O420" s="2">
        <v>1</v>
      </c>
      <c r="P420" s="3"/>
      <c r="Q420" s="3"/>
      <c r="R420" s="4" t="s">
        <v>548</v>
      </c>
      <c r="S420" t="str">
        <f t="shared" si="14"/>
        <v/>
      </c>
      <c r="T420">
        <f t="shared" si="15"/>
        <v>8.3333333333333329E-2</v>
      </c>
    </row>
    <row r="421" spans="1:20" x14ac:dyDescent="0.25">
      <c r="C421" s="47"/>
      <c r="D421" s="208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5"/>
      <c r="P421" s="6"/>
      <c r="Q421" s="6"/>
      <c r="R421" s="7" t="s">
        <v>548</v>
      </c>
      <c r="S421" t="str">
        <f t="shared" si="14"/>
        <v/>
      </c>
      <c r="T421">
        <f t="shared" si="15"/>
        <v>8.3333333333333329E-2</v>
      </c>
    </row>
    <row r="422" spans="1:20" x14ac:dyDescent="0.25">
      <c r="C422" s="46"/>
      <c r="D422" s="207"/>
      <c r="E422" s="2"/>
      <c r="F422" s="2"/>
      <c r="G422" s="2"/>
      <c r="H422" s="2"/>
      <c r="I422" s="2"/>
      <c r="J422" s="3"/>
      <c r="K422" s="3"/>
      <c r="L422" s="3"/>
      <c r="M422" s="3"/>
      <c r="N422" s="3"/>
      <c r="O422" s="2"/>
      <c r="P422" s="3"/>
      <c r="Q422" s="3"/>
      <c r="R422" s="4" t="s">
        <v>548</v>
      </c>
      <c r="S422" t="str">
        <f t="shared" si="14"/>
        <v/>
      </c>
      <c r="T422">
        <f t="shared" si="15"/>
        <v>8.3333333333333329E-2</v>
      </c>
    </row>
    <row r="423" spans="1:20" x14ac:dyDescent="0.25">
      <c r="A423" s="765">
        <v>273</v>
      </c>
      <c r="B423" s="765" t="s">
        <v>1407</v>
      </c>
      <c r="C423" s="46" t="s">
        <v>567</v>
      </c>
      <c r="D423" s="207"/>
      <c r="E423" s="5" t="s">
        <v>724</v>
      </c>
      <c r="F423" s="5"/>
      <c r="G423" s="5" t="s">
        <v>724</v>
      </c>
      <c r="H423" s="5" t="s">
        <v>724</v>
      </c>
      <c r="I423" s="5"/>
      <c r="J423" s="6" t="s">
        <v>564</v>
      </c>
      <c r="K423" s="6" t="s">
        <v>1130</v>
      </c>
      <c r="L423" s="6"/>
      <c r="M423" s="6">
        <v>1</v>
      </c>
      <c r="N423" s="6"/>
      <c r="O423" s="35">
        <v>3</v>
      </c>
      <c r="P423" s="6"/>
      <c r="Q423" s="6" t="s">
        <v>869</v>
      </c>
      <c r="R423" s="7" t="s">
        <v>548</v>
      </c>
      <c r="S423">
        <v>45</v>
      </c>
      <c r="T423">
        <f>1/8</f>
        <v>0.125</v>
      </c>
    </row>
    <row r="424" spans="1:20" x14ac:dyDescent="0.25">
      <c r="A424" s="765">
        <v>277</v>
      </c>
      <c r="B424" s="765" t="s">
        <v>1407</v>
      </c>
      <c r="C424" s="46" t="s">
        <v>565</v>
      </c>
      <c r="D424" s="207"/>
      <c r="E424" s="2" t="s">
        <v>724</v>
      </c>
      <c r="F424" s="2"/>
      <c r="G424" s="2" t="s">
        <v>724</v>
      </c>
      <c r="H424" s="2"/>
      <c r="I424" s="2"/>
      <c r="J424" s="3" t="s">
        <v>564</v>
      </c>
      <c r="K424" s="3" t="s">
        <v>1130</v>
      </c>
      <c r="L424" s="3"/>
      <c r="M424" s="3">
        <v>1</v>
      </c>
      <c r="N424" s="3"/>
      <c r="O424" s="35">
        <v>3</v>
      </c>
      <c r="P424" s="3"/>
      <c r="Q424" s="3" t="s">
        <v>1220</v>
      </c>
      <c r="R424" s="4" t="s">
        <v>548</v>
      </c>
      <c r="S424">
        <v>45</v>
      </c>
      <c r="T424">
        <f t="shared" ref="T424:T433" si="19">1/8</f>
        <v>0.125</v>
      </c>
    </row>
    <row r="425" spans="1:20" x14ac:dyDescent="0.25">
      <c r="A425" s="765">
        <v>275</v>
      </c>
      <c r="B425" s="765" t="s">
        <v>1407</v>
      </c>
      <c r="C425" s="47" t="s">
        <v>566</v>
      </c>
      <c r="D425" s="208"/>
      <c r="E425" s="5"/>
      <c r="F425" s="5"/>
      <c r="G425" s="5"/>
      <c r="H425" s="5"/>
      <c r="I425" s="5"/>
      <c r="J425" s="6" t="s">
        <v>564</v>
      </c>
      <c r="K425" s="6" t="s">
        <v>1130</v>
      </c>
      <c r="L425" s="6"/>
      <c r="M425" s="6">
        <v>2</v>
      </c>
      <c r="N425" s="6"/>
      <c r="O425" s="35">
        <v>3</v>
      </c>
      <c r="P425" s="6"/>
      <c r="Q425" s="6" t="s">
        <v>1219</v>
      </c>
      <c r="R425" s="7" t="s">
        <v>548</v>
      </c>
      <c r="S425">
        <v>45</v>
      </c>
      <c r="T425">
        <f t="shared" si="19"/>
        <v>0.125</v>
      </c>
    </row>
    <row r="426" spans="1:20" x14ac:dyDescent="0.25">
      <c r="A426" s="765">
        <v>274</v>
      </c>
      <c r="B426" s="765" t="s">
        <v>1407</v>
      </c>
      <c r="C426" s="46" t="s">
        <v>563</v>
      </c>
      <c r="D426" s="207"/>
      <c r="E426" s="2"/>
      <c r="F426" s="2"/>
      <c r="G426" s="2"/>
      <c r="H426" s="2"/>
      <c r="I426" s="2"/>
      <c r="J426" s="3" t="s">
        <v>564</v>
      </c>
      <c r="K426" s="3" t="s">
        <v>1130</v>
      </c>
      <c r="L426" s="3"/>
      <c r="M426" s="3">
        <v>2</v>
      </c>
      <c r="N426" s="3"/>
      <c r="O426" s="35">
        <v>3</v>
      </c>
      <c r="P426" s="6" t="s">
        <v>50</v>
      </c>
      <c r="Q426" s="3" t="s">
        <v>1221</v>
      </c>
      <c r="R426" s="4" t="s">
        <v>548</v>
      </c>
      <c r="S426">
        <v>45</v>
      </c>
      <c r="T426">
        <f t="shared" si="19"/>
        <v>0.125</v>
      </c>
    </row>
    <row r="427" spans="1:20" x14ac:dyDescent="0.25">
      <c r="B427" s="765" t="s">
        <v>1407</v>
      </c>
      <c r="C427" s="46" t="s">
        <v>938</v>
      </c>
      <c r="D427" s="207"/>
      <c r="E427" s="2"/>
      <c r="F427" s="2"/>
      <c r="G427" s="2"/>
      <c r="H427" s="2"/>
      <c r="I427" s="2"/>
      <c r="J427" s="3" t="s">
        <v>564</v>
      </c>
      <c r="K427" s="3"/>
      <c r="L427" s="3"/>
      <c r="M427" s="3">
        <v>2</v>
      </c>
      <c r="N427" s="3" t="s">
        <v>122</v>
      </c>
      <c r="O427" s="2" t="s">
        <v>49</v>
      </c>
      <c r="P427" s="3" t="s">
        <v>50</v>
      </c>
      <c r="Q427" s="3" t="s">
        <v>123</v>
      </c>
      <c r="R427" s="4" t="s">
        <v>548</v>
      </c>
      <c r="S427">
        <v>45</v>
      </c>
      <c r="T427">
        <f t="shared" si="19"/>
        <v>0.125</v>
      </c>
    </row>
    <row r="428" spans="1:20" x14ac:dyDescent="0.25">
      <c r="B428" s="765" t="s">
        <v>1407</v>
      </c>
      <c r="C428" s="46" t="s">
        <v>858</v>
      </c>
      <c r="D428" s="207"/>
      <c r="E428" s="2"/>
      <c r="F428" s="2"/>
      <c r="G428" s="2"/>
      <c r="H428" s="2"/>
      <c r="I428" s="2"/>
      <c r="J428" s="3" t="s">
        <v>564</v>
      </c>
      <c r="K428" s="3"/>
      <c r="L428" s="3"/>
      <c r="M428" s="3">
        <v>2</v>
      </c>
      <c r="N428" s="3"/>
      <c r="O428" s="35">
        <v>3</v>
      </c>
      <c r="P428" s="3"/>
      <c r="Q428" s="6" t="s">
        <v>168</v>
      </c>
      <c r="R428" s="4" t="s">
        <v>548</v>
      </c>
      <c r="S428">
        <v>45</v>
      </c>
      <c r="T428">
        <f t="shared" si="19"/>
        <v>0.125</v>
      </c>
    </row>
    <row r="429" spans="1:20" x14ac:dyDescent="0.25">
      <c r="B429" s="765" t="s">
        <v>1407</v>
      </c>
      <c r="C429" s="46" t="s">
        <v>853</v>
      </c>
      <c r="D429" s="207"/>
      <c r="E429" s="2"/>
      <c r="F429" s="2"/>
      <c r="G429" s="2"/>
      <c r="H429" s="2"/>
      <c r="I429" s="2"/>
      <c r="J429" s="3" t="s">
        <v>564</v>
      </c>
      <c r="K429" s="3"/>
      <c r="L429" s="3"/>
      <c r="M429" s="3">
        <v>2</v>
      </c>
      <c r="N429" s="3"/>
      <c r="O429" s="35">
        <v>3</v>
      </c>
      <c r="P429" s="3"/>
      <c r="Q429" s="3" t="s">
        <v>277</v>
      </c>
      <c r="R429" s="4" t="s">
        <v>548</v>
      </c>
      <c r="S429">
        <v>45</v>
      </c>
      <c r="T429">
        <f t="shared" si="19"/>
        <v>0.125</v>
      </c>
    </row>
    <row r="430" spans="1:20" x14ac:dyDescent="0.25">
      <c r="B430" s="765" t="s">
        <v>1407</v>
      </c>
      <c r="C430" s="46" t="s">
        <v>854</v>
      </c>
      <c r="D430" s="207"/>
      <c r="E430" s="2"/>
      <c r="F430" s="2"/>
      <c r="G430" s="2"/>
      <c r="H430" s="2"/>
      <c r="I430" s="2"/>
      <c r="J430" s="3" t="s">
        <v>564</v>
      </c>
      <c r="K430" s="3"/>
      <c r="L430" s="3"/>
      <c r="M430" s="3">
        <v>1</v>
      </c>
      <c r="N430" s="3"/>
      <c r="O430" s="35">
        <v>3</v>
      </c>
      <c r="P430" s="3"/>
      <c r="Q430" s="6" t="s">
        <v>83</v>
      </c>
      <c r="R430" s="4" t="s">
        <v>548</v>
      </c>
      <c r="S430">
        <v>45</v>
      </c>
      <c r="T430">
        <f t="shared" si="19"/>
        <v>0.125</v>
      </c>
    </row>
    <row r="431" spans="1:20" x14ac:dyDescent="0.25">
      <c r="B431" s="765" t="s">
        <v>1407</v>
      </c>
      <c r="C431" s="46" t="s">
        <v>855</v>
      </c>
      <c r="D431" s="207"/>
      <c r="E431" s="2"/>
      <c r="F431" s="2"/>
      <c r="G431" s="2"/>
      <c r="H431" s="2"/>
      <c r="I431" s="2"/>
      <c r="J431" s="3" t="s">
        <v>564</v>
      </c>
      <c r="K431" s="3"/>
      <c r="L431" s="3"/>
      <c r="M431" s="3">
        <v>2</v>
      </c>
      <c r="N431" s="3"/>
      <c r="O431" s="35">
        <v>3</v>
      </c>
      <c r="P431" s="3"/>
      <c r="Q431" s="6" t="s">
        <v>324</v>
      </c>
      <c r="R431" s="4" t="s">
        <v>548</v>
      </c>
      <c r="S431">
        <v>45</v>
      </c>
      <c r="T431">
        <f t="shared" si="19"/>
        <v>0.125</v>
      </c>
    </row>
    <row r="432" spans="1:20" x14ac:dyDescent="0.25">
      <c r="B432" s="765" t="s">
        <v>1407</v>
      </c>
      <c r="C432" s="46" t="s">
        <v>856</v>
      </c>
      <c r="D432" s="207"/>
      <c r="E432" s="2"/>
      <c r="F432" s="2"/>
      <c r="G432" s="2"/>
      <c r="H432" s="2"/>
      <c r="I432" s="2"/>
      <c r="J432" s="3" t="s">
        <v>564</v>
      </c>
      <c r="K432" s="3"/>
      <c r="L432" s="3"/>
      <c r="M432" s="3">
        <v>2</v>
      </c>
      <c r="N432" s="3"/>
      <c r="O432" s="35">
        <v>3</v>
      </c>
      <c r="P432" s="3"/>
      <c r="Q432" s="3" t="s">
        <v>332</v>
      </c>
      <c r="R432" s="4" t="s">
        <v>548</v>
      </c>
      <c r="S432">
        <v>45</v>
      </c>
      <c r="T432">
        <f t="shared" si="19"/>
        <v>0.125</v>
      </c>
    </row>
    <row r="433" spans="1:20" x14ac:dyDescent="0.25">
      <c r="B433" s="765" t="s">
        <v>1407</v>
      </c>
      <c r="C433" s="46" t="s">
        <v>857</v>
      </c>
      <c r="D433" s="207"/>
      <c r="E433" s="2"/>
      <c r="F433" s="2"/>
      <c r="G433" s="2"/>
      <c r="H433" s="2"/>
      <c r="I433" s="2"/>
      <c r="J433" s="3" t="s">
        <v>564</v>
      </c>
      <c r="K433" s="3"/>
      <c r="L433" s="3"/>
      <c r="M433" s="3">
        <v>2</v>
      </c>
      <c r="N433" s="3"/>
      <c r="O433" s="35">
        <v>3</v>
      </c>
      <c r="P433" s="3"/>
      <c r="Q433" s="6" t="s">
        <v>399</v>
      </c>
      <c r="R433" s="4" t="s">
        <v>548</v>
      </c>
      <c r="S433">
        <v>45</v>
      </c>
      <c r="T433">
        <f t="shared" si="19"/>
        <v>0.125</v>
      </c>
    </row>
    <row r="434" spans="1:20" x14ac:dyDescent="0.25">
      <c r="C434" s="47"/>
      <c r="D434" s="208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18"/>
      <c r="P434" s="6"/>
      <c r="Q434" s="6"/>
      <c r="R434" s="4" t="s">
        <v>548</v>
      </c>
    </row>
    <row r="435" spans="1:20" x14ac:dyDescent="0.25">
      <c r="A435" s="766">
        <v>41</v>
      </c>
      <c r="B435" s="765" t="s">
        <v>1408</v>
      </c>
      <c r="C435" s="47" t="s">
        <v>8</v>
      </c>
      <c r="D435" s="208"/>
      <c r="E435" s="5" t="s">
        <v>724</v>
      </c>
      <c r="F435" s="5"/>
      <c r="G435" s="5" t="s">
        <v>724</v>
      </c>
      <c r="H435" s="5" t="s">
        <v>724</v>
      </c>
      <c r="I435" s="5"/>
      <c r="J435" s="6" t="s">
        <v>810</v>
      </c>
      <c r="K435" s="6" t="s">
        <v>1130</v>
      </c>
      <c r="L435" s="6"/>
      <c r="M435" s="3">
        <v>1</v>
      </c>
      <c r="N435" s="3" t="s">
        <v>552</v>
      </c>
      <c r="O435" s="2" t="s">
        <v>55</v>
      </c>
      <c r="P435" s="3"/>
      <c r="Q435" s="3" t="s">
        <v>46</v>
      </c>
      <c r="R435" s="4" t="s">
        <v>548</v>
      </c>
      <c r="S435">
        <v>45</v>
      </c>
      <c r="T435">
        <v>0.1</v>
      </c>
    </row>
    <row r="436" spans="1:20" x14ac:dyDescent="0.25">
      <c r="A436" s="765">
        <v>35</v>
      </c>
      <c r="B436" s="765" t="s">
        <v>1408</v>
      </c>
      <c r="C436" s="47" t="s">
        <v>921</v>
      </c>
      <c r="D436" s="208"/>
      <c r="E436" s="5"/>
      <c r="F436" s="5"/>
      <c r="G436" s="5"/>
      <c r="H436" s="5"/>
      <c r="I436" s="5"/>
      <c r="J436" s="6" t="s">
        <v>810</v>
      </c>
      <c r="K436" s="6"/>
      <c r="L436" s="6"/>
      <c r="M436" s="6">
        <v>2</v>
      </c>
      <c r="N436" s="6" t="s">
        <v>150</v>
      </c>
      <c r="O436" s="5" t="s">
        <v>55</v>
      </c>
      <c r="P436" s="6"/>
      <c r="Q436" s="6" t="s">
        <v>151</v>
      </c>
      <c r="R436" s="4" t="s">
        <v>548</v>
      </c>
      <c r="T436">
        <v>0.1</v>
      </c>
    </row>
    <row r="437" spans="1:20" x14ac:dyDescent="0.25">
      <c r="A437" s="765">
        <v>44</v>
      </c>
      <c r="B437" s="765" t="s">
        <v>1408</v>
      </c>
      <c r="C437" s="47" t="s">
        <v>1031</v>
      </c>
      <c r="D437" s="208"/>
      <c r="E437" s="5" t="s">
        <v>724</v>
      </c>
      <c r="F437" s="5"/>
      <c r="G437" s="5" t="s">
        <v>724</v>
      </c>
      <c r="H437" s="5"/>
      <c r="I437" s="5"/>
      <c r="J437" s="6" t="s">
        <v>810</v>
      </c>
      <c r="K437" s="6" t="s">
        <v>1309</v>
      </c>
      <c r="L437" s="6"/>
      <c r="M437" s="3">
        <v>1</v>
      </c>
      <c r="N437" s="3" t="s">
        <v>59</v>
      </c>
      <c r="O437" s="2" t="s">
        <v>55</v>
      </c>
      <c r="P437" s="3" t="s">
        <v>50</v>
      </c>
      <c r="Q437" s="3" t="s">
        <v>60</v>
      </c>
      <c r="R437" s="4" t="s">
        <v>548</v>
      </c>
      <c r="S437">
        <v>45</v>
      </c>
      <c r="T437">
        <v>0.1</v>
      </c>
    </row>
    <row r="438" spans="1:20" x14ac:dyDescent="0.25">
      <c r="A438" s="765">
        <v>69</v>
      </c>
      <c r="B438" s="765" t="s">
        <v>1408</v>
      </c>
      <c r="C438" s="47" t="s">
        <v>20</v>
      </c>
      <c r="D438" s="208"/>
      <c r="E438" s="5"/>
      <c r="F438" s="5"/>
      <c r="G438" s="5"/>
      <c r="H438" s="5"/>
      <c r="I438" s="5"/>
      <c r="J438" s="6" t="s">
        <v>810</v>
      </c>
      <c r="K438" s="6"/>
      <c r="L438" s="6"/>
      <c r="M438" s="3">
        <v>2</v>
      </c>
      <c r="N438" s="3" t="s">
        <v>69</v>
      </c>
      <c r="O438" s="5" t="s">
        <v>55</v>
      </c>
      <c r="P438" s="3"/>
      <c r="Q438" s="3" t="s">
        <v>70</v>
      </c>
      <c r="R438" s="4" t="s">
        <v>548</v>
      </c>
      <c r="S438">
        <v>45</v>
      </c>
      <c r="T438">
        <v>0.1</v>
      </c>
    </row>
    <row r="439" spans="1:20" x14ac:dyDescent="0.25">
      <c r="B439" s="765" t="s">
        <v>1408</v>
      </c>
      <c r="C439" s="47" t="s">
        <v>978</v>
      </c>
      <c r="D439" s="208"/>
      <c r="E439" s="5"/>
      <c r="F439" s="5"/>
      <c r="G439" s="5"/>
      <c r="H439" s="5"/>
      <c r="I439" s="5"/>
      <c r="J439" s="6" t="s">
        <v>810</v>
      </c>
      <c r="K439" s="6"/>
      <c r="L439" s="6"/>
      <c r="M439" s="6">
        <v>1</v>
      </c>
      <c r="N439" s="6" t="s">
        <v>980</v>
      </c>
      <c r="O439" s="18" t="s">
        <v>55</v>
      </c>
      <c r="P439" s="6"/>
      <c r="Q439" s="6" t="s">
        <v>979</v>
      </c>
      <c r="R439" s="4" t="s">
        <v>548</v>
      </c>
      <c r="T439">
        <v>0.1</v>
      </c>
    </row>
    <row r="440" spans="1:20" x14ac:dyDescent="0.25">
      <c r="A440" s="765">
        <v>72</v>
      </c>
      <c r="B440" s="765" t="s">
        <v>1408</v>
      </c>
      <c r="C440" s="46" t="s">
        <v>23</v>
      </c>
      <c r="D440" s="207">
        <v>20</v>
      </c>
      <c r="E440" s="2" t="s">
        <v>724</v>
      </c>
      <c r="F440" s="2"/>
      <c r="G440" s="2" t="s">
        <v>724</v>
      </c>
      <c r="H440" s="2" t="s">
        <v>1178</v>
      </c>
      <c r="I440" s="2"/>
      <c r="J440" s="6" t="s">
        <v>810</v>
      </c>
      <c r="K440" s="3" t="s">
        <v>1130</v>
      </c>
      <c r="L440" s="3"/>
      <c r="M440" s="3">
        <v>1</v>
      </c>
      <c r="N440" s="3" t="s">
        <v>75</v>
      </c>
      <c r="O440" s="2" t="s">
        <v>49</v>
      </c>
      <c r="P440" s="3" t="s">
        <v>50</v>
      </c>
      <c r="Q440" s="3" t="s">
        <v>76</v>
      </c>
      <c r="R440" s="4" t="s">
        <v>548</v>
      </c>
      <c r="S440">
        <v>50</v>
      </c>
      <c r="T440">
        <v>0.1</v>
      </c>
    </row>
    <row r="441" spans="1:20" x14ac:dyDescent="0.25">
      <c r="A441" s="765">
        <v>74</v>
      </c>
      <c r="B441" s="765" t="s">
        <v>1408</v>
      </c>
      <c r="C441" s="47" t="s">
        <v>24</v>
      </c>
      <c r="D441" s="208"/>
      <c r="E441" s="5"/>
      <c r="F441" s="5"/>
      <c r="G441" s="5"/>
      <c r="H441" s="5"/>
      <c r="I441" s="5"/>
      <c r="J441" s="6" t="s">
        <v>810</v>
      </c>
      <c r="K441" s="6"/>
      <c r="L441" s="6"/>
      <c r="M441" s="3">
        <v>1</v>
      </c>
      <c r="N441" s="3" t="s">
        <v>71</v>
      </c>
      <c r="O441" s="5">
        <v>2</v>
      </c>
      <c r="P441" s="3"/>
      <c r="Q441" s="3" t="s">
        <v>77</v>
      </c>
      <c r="R441" s="4" t="s">
        <v>548</v>
      </c>
      <c r="T441">
        <v>0.1</v>
      </c>
    </row>
    <row r="442" spans="1:20" x14ac:dyDescent="0.25">
      <c r="A442" s="765">
        <v>85</v>
      </c>
      <c r="B442" s="765" t="s">
        <v>1408</v>
      </c>
      <c r="C442" s="47" t="s">
        <v>811</v>
      </c>
      <c r="D442" s="208"/>
      <c r="E442" s="5"/>
      <c r="F442" s="5"/>
      <c r="G442" s="5"/>
      <c r="H442" s="5"/>
      <c r="I442" s="5"/>
      <c r="J442" s="6" t="s">
        <v>810</v>
      </c>
      <c r="K442" s="6"/>
      <c r="L442" s="6"/>
      <c r="M442" s="3">
        <v>2</v>
      </c>
      <c r="N442" s="3" t="s">
        <v>92</v>
      </c>
      <c r="O442" s="2" t="s">
        <v>49</v>
      </c>
      <c r="P442" s="3" t="s">
        <v>50</v>
      </c>
      <c r="Q442" s="3" t="s">
        <v>93</v>
      </c>
      <c r="R442" s="4" t="s">
        <v>548</v>
      </c>
      <c r="T442">
        <v>0.1</v>
      </c>
    </row>
    <row r="443" spans="1:20" x14ac:dyDescent="0.25">
      <c r="A443" s="765">
        <v>106</v>
      </c>
      <c r="B443" s="765" t="s">
        <v>1408</v>
      </c>
      <c r="C443" s="47" t="s">
        <v>812</v>
      </c>
      <c r="D443" s="208"/>
      <c r="E443" s="5"/>
      <c r="F443" s="5"/>
      <c r="G443" s="5"/>
      <c r="H443" s="5"/>
      <c r="I443" s="5"/>
      <c r="J443" s="6" t="s">
        <v>810</v>
      </c>
      <c r="K443" s="6"/>
      <c r="L443" s="6"/>
      <c r="M443" s="6">
        <v>2</v>
      </c>
      <c r="N443" s="6" t="s">
        <v>193</v>
      </c>
      <c r="O443" s="5" t="s">
        <v>49</v>
      </c>
      <c r="P443" s="6"/>
      <c r="Q443" s="6" t="s">
        <v>194</v>
      </c>
      <c r="R443" s="4" t="s">
        <v>548</v>
      </c>
      <c r="T443">
        <v>0.1</v>
      </c>
    </row>
    <row r="444" spans="1:20" x14ac:dyDescent="0.25">
      <c r="A444" s="765">
        <v>108</v>
      </c>
      <c r="B444" s="765" t="s">
        <v>1408</v>
      </c>
      <c r="C444" s="47" t="s">
        <v>198</v>
      </c>
      <c r="D444" s="208"/>
      <c r="E444" s="5"/>
      <c r="F444" s="5"/>
      <c r="G444" s="5"/>
      <c r="H444" s="5"/>
      <c r="I444" s="5"/>
      <c r="J444" s="6" t="s">
        <v>810</v>
      </c>
      <c r="K444" s="6"/>
      <c r="L444" s="6"/>
      <c r="M444" s="6">
        <v>1</v>
      </c>
      <c r="N444" s="6" t="s">
        <v>199</v>
      </c>
      <c r="O444" s="5" t="s">
        <v>49</v>
      </c>
      <c r="P444" s="6"/>
      <c r="Q444" s="6" t="s">
        <v>200</v>
      </c>
      <c r="R444" s="4" t="s">
        <v>548</v>
      </c>
      <c r="T444">
        <v>0.1</v>
      </c>
    </row>
    <row r="445" spans="1:20" x14ac:dyDescent="0.25">
      <c r="B445" s="765" t="s">
        <v>1408</v>
      </c>
      <c r="C445" s="47" t="s">
        <v>849</v>
      </c>
      <c r="D445" s="208"/>
      <c r="E445" s="5"/>
      <c r="F445" s="5"/>
      <c r="G445" s="5"/>
      <c r="H445" s="5"/>
      <c r="I445" s="5"/>
      <c r="J445" s="6" t="s">
        <v>810</v>
      </c>
      <c r="K445" s="6"/>
      <c r="L445" s="6"/>
      <c r="M445" s="6">
        <v>3</v>
      </c>
      <c r="N445" s="6" t="s">
        <v>385</v>
      </c>
      <c r="O445" s="5" t="s">
        <v>55</v>
      </c>
      <c r="P445" s="6"/>
      <c r="Q445" s="6" t="s">
        <v>386</v>
      </c>
      <c r="R445" s="4" t="s">
        <v>548</v>
      </c>
      <c r="T445">
        <v>0.1</v>
      </c>
    </row>
    <row r="446" spans="1:20" x14ac:dyDescent="0.25">
      <c r="A446" s="765">
        <v>110</v>
      </c>
      <c r="B446" s="765" t="s">
        <v>1408</v>
      </c>
      <c r="C446" s="47" t="s">
        <v>813</v>
      </c>
      <c r="D446" s="208"/>
      <c r="E446" s="5"/>
      <c r="F446" s="5"/>
      <c r="G446" s="5"/>
      <c r="H446" s="5"/>
      <c r="I446" s="5"/>
      <c r="J446" s="6" t="s">
        <v>810</v>
      </c>
      <c r="K446" s="6"/>
      <c r="L446" s="6"/>
      <c r="M446" s="6">
        <v>1</v>
      </c>
      <c r="N446" s="6" t="s">
        <v>202</v>
      </c>
      <c r="O446" s="5" t="s">
        <v>49</v>
      </c>
      <c r="P446" s="6"/>
      <c r="Q446" s="6" t="s">
        <v>203</v>
      </c>
      <c r="R446" s="4" t="s">
        <v>548</v>
      </c>
      <c r="T446">
        <v>0.1</v>
      </c>
    </row>
    <row r="447" spans="1:20" x14ac:dyDescent="0.25">
      <c r="A447" s="765">
        <v>112</v>
      </c>
      <c r="B447" s="765" t="s">
        <v>1408</v>
      </c>
      <c r="C447" s="46" t="s">
        <v>37</v>
      </c>
      <c r="D447" s="207"/>
      <c r="E447" s="2"/>
      <c r="F447" s="2"/>
      <c r="G447" s="2"/>
      <c r="H447" s="2"/>
      <c r="I447" s="2"/>
      <c r="J447" s="6" t="s">
        <v>810</v>
      </c>
      <c r="K447" s="3" t="s">
        <v>1132</v>
      </c>
      <c r="L447" s="3"/>
      <c r="M447" s="3">
        <v>2</v>
      </c>
      <c r="N447" s="3" t="s">
        <v>451</v>
      </c>
      <c r="O447" s="2" t="s">
        <v>49</v>
      </c>
      <c r="P447" s="3" t="s">
        <v>50</v>
      </c>
      <c r="Q447" s="3" t="s">
        <v>105</v>
      </c>
      <c r="R447" s="7" t="s">
        <v>548</v>
      </c>
      <c r="S447">
        <f t="shared" ref="S447" si="20">IF(K447="S",30,IF(K447="M",45,IF(K447="L",60,"")))</f>
        <v>60</v>
      </c>
      <c r="T447">
        <v>0.1</v>
      </c>
    </row>
    <row r="448" spans="1:20" x14ac:dyDescent="0.25">
      <c r="A448" s="765">
        <v>114</v>
      </c>
      <c r="B448" s="765" t="s">
        <v>1408</v>
      </c>
      <c r="C448" s="47" t="s">
        <v>848</v>
      </c>
      <c r="D448" s="208"/>
      <c r="E448" s="5"/>
      <c r="F448" s="5"/>
      <c r="G448" s="5"/>
      <c r="H448" s="5"/>
      <c r="I448" s="5"/>
      <c r="J448" s="6" t="s">
        <v>810</v>
      </c>
      <c r="K448" s="6"/>
      <c r="L448" s="6"/>
      <c r="M448" s="6">
        <v>1</v>
      </c>
      <c r="N448" s="6" t="s">
        <v>106</v>
      </c>
      <c r="O448" s="18">
        <v>2</v>
      </c>
      <c r="P448" s="6"/>
      <c r="Q448" s="6" t="s">
        <v>107</v>
      </c>
      <c r="R448" s="4" t="s">
        <v>548</v>
      </c>
      <c r="T448">
        <v>0.1</v>
      </c>
    </row>
    <row r="449" spans="1:20" x14ac:dyDescent="0.25">
      <c r="C449" s="47"/>
      <c r="D449" s="208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18"/>
      <c r="P449" s="6"/>
      <c r="Q449" s="6"/>
      <c r="R449" s="4" t="s">
        <v>548</v>
      </c>
    </row>
    <row r="450" spans="1:20" x14ac:dyDescent="0.25">
      <c r="C450" s="47" t="s">
        <v>964</v>
      </c>
      <c r="D450" s="208"/>
      <c r="E450" s="5"/>
      <c r="F450" s="5"/>
      <c r="G450" s="5"/>
      <c r="H450" s="5"/>
      <c r="I450" s="5"/>
      <c r="J450" s="6" t="s">
        <v>963</v>
      </c>
      <c r="K450" s="6"/>
      <c r="L450" s="6"/>
      <c r="M450" s="6"/>
      <c r="N450" s="6"/>
      <c r="O450" s="18">
        <v>3</v>
      </c>
      <c r="P450" s="6"/>
      <c r="Q450" s="6"/>
      <c r="R450" s="4" t="s">
        <v>548</v>
      </c>
      <c r="S450">
        <v>60</v>
      </c>
      <c r="T450">
        <f>1/3</f>
        <v>0.33333333333333331</v>
      </c>
    </row>
    <row r="451" spans="1:20" x14ac:dyDescent="0.25">
      <c r="C451" s="47" t="s">
        <v>848</v>
      </c>
      <c r="D451" s="208"/>
      <c r="E451" s="5"/>
      <c r="F451" s="5"/>
      <c r="G451" s="5"/>
      <c r="H451" s="5"/>
      <c r="I451" s="5"/>
      <c r="J451" s="6" t="s">
        <v>963</v>
      </c>
      <c r="K451" s="6"/>
      <c r="L451" s="6"/>
      <c r="M451" s="6"/>
      <c r="N451" s="6"/>
      <c r="O451" s="18">
        <v>3</v>
      </c>
      <c r="P451" s="6"/>
      <c r="Q451" s="6"/>
      <c r="R451" s="4" t="s">
        <v>548</v>
      </c>
      <c r="S451">
        <v>60</v>
      </c>
      <c r="T451">
        <f>1/3</f>
        <v>0.33333333333333331</v>
      </c>
    </row>
    <row r="452" spans="1:20" x14ac:dyDescent="0.25">
      <c r="C452" s="47"/>
      <c r="D452" s="208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18"/>
      <c r="P452" s="6"/>
      <c r="Q452" s="6"/>
      <c r="R452" s="4"/>
    </row>
    <row r="453" spans="1:20" x14ac:dyDescent="0.25">
      <c r="C453" s="47"/>
      <c r="D453" s="208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18"/>
      <c r="P453" s="6"/>
      <c r="Q453" s="6"/>
      <c r="R453" s="4"/>
    </row>
    <row r="454" spans="1:20" x14ac:dyDescent="0.25">
      <c r="C454" s="47"/>
      <c r="D454" s="208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18"/>
      <c r="P454" s="6"/>
      <c r="Q454" s="6"/>
      <c r="R454" s="4"/>
    </row>
    <row r="455" spans="1:20" x14ac:dyDescent="0.25">
      <c r="A455" s="765">
        <v>130</v>
      </c>
      <c r="B455" s="765" t="s">
        <v>1406</v>
      </c>
      <c r="C455" s="46" t="s">
        <v>823</v>
      </c>
      <c r="D455" s="207"/>
      <c r="E455" s="2" t="s">
        <v>724</v>
      </c>
      <c r="F455" s="2"/>
      <c r="G455" s="2" t="s">
        <v>724</v>
      </c>
      <c r="H455" s="2"/>
      <c r="I455" s="2"/>
      <c r="J455" s="3" t="s">
        <v>547</v>
      </c>
      <c r="K455" s="3" t="s">
        <v>1132</v>
      </c>
      <c r="L455" s="3"/>
      <c r="M455" s="3">
        <v>2</v>
      </c>
      <c r="N455" s="33" t="s">
        <v>162</v>
      </c>
      <c r="O455" s="2">
        <v>1</v>
      </c>
      <c r="P455" s="3"/>
      <c r="Q455" s="10" t="s">
        <v>163</v>
      </c>
      <c r="R455" s="4" t="s">
        <v>548</v>
      </c>
      <c r="T455">
        <f>1/12</f>
        <v>8.3333333333333329E-2</v>
      </c>
    </row>
    <row r="456" spans="1:20" x14ac:dyDescent="0.25">
      <c r="C456" s="46" t="s">
        <v>824</v>
      </c>
      <c r="D456" s="207"/>
      <c r="E456" s="2"/>
      <c r="F456" s="2"/>
      <c r="G456" s="2"/>
      <c r="H456" s="2"/>
      <c r="I456" s="2"/>
      <c r="J456" s="3" t="s">
        <v>568</v>
      </c>
      <c r="K456" s="3"/>
      <c r="L456" s="3"/>
      <c r="M456" s="3">
        <v>2</v>
      </c>
      <c r="N456" s="33" t="s">
        <v>162</v>
      </c>
      <c r="O456" s="2">
        <v>1</v>
      </c>
      <c r="P456" s="3"/>
      <c r="Q456" s="10" t="s">
        <v>163</v>
      </c>
      <c r="R456" s="4" t="s">
        <v>548</v>
      </c>
    </row>
    <row r="457" spans="1:20" x14ac:dyDescent="0.25">
      <c r="A457" s="765">
        <v>130</v>
      </c>
      <c r="B457" s="765" t="s">
        <v>1408</v>
      </c>
      <c r="C457" s="47" t="s">
        <v>825</v>
      </c>
      <c r="D457" s="208"/>
      <c r="E457" s="5"/>
      <c r="F457" s="5"/>
      <c r="G457" s="5"/>
      <c r="H457" s="5"/>
      <c r="I457" s="5"/>
      <c r="J457" s="6" t="s">
        <v>569</v>
      </c>
      <c r="K457" s="6"/>
      <c r="L457" s="6"/>
      <c r="M457" s="6">
        <v>2</v>
      </c>
      <c r="N457" s="16" t="s">
        <v>162</v>
      </c>
      <c r="O457" s="5">
        <v>1</v>
      </c>
      <c r="P457" s="6"/>
      <c r="Q457" s="13" t="s">
        <v>163</v>
      </c>
      <c r="R457" s="7" t="s">
        <v>548</v>
      </c>
    </row>
    <row r="458" spans="1:20" x14ac:dyDescent="0.25">
      <c r="C458" s="47" t="s">
        <v>826</v>
      </c>
      <c r="D458" s="208"/>
      <c r="E458" s="5"/>
      <c r="F458" s="5"/>
      <c r="G458" s="5"/>
      <c r="H458" s="5"/>
      <c r="I458" s="5"/>
      <c r="J458" s="6" t="s">
        <v>822</v>
      </c>
      <c r="K458" s="6"/>
      <c r="L458" s="6"/>
      <c r="M458" s="6">
        <v>2</v>
      </c>
      <c r="N458" s="16" t="s">
        <v>162</v>
      </c>
      <c r="O458" s="5">
        <v>1</v>
      </c>
      <c r="P458" s="6"/>
      <c r="Q458" s="13" t="s">
        <v>163</v>
      </c>
      <c r="R458" s="7" t="s">
        <v>548</v>
      </c>
    </row>
    <row r="459" spans="1:20" x14ac:dyDescent="0.25">
      <c r="C459" s="46" t="s">
        <v>827</v>
      </c>
      <c r="D459" s="207"/>
      <c r="E459" s="2"/>
      <c r="F459" s="2"/>
      <c r="G459" s="2"/>
      <c r="H459" s="2"/>
      <c r="I459" s="2"/>
      <c r="J459" s="3" t="s">
        <v>570</v>
      </c>
      <c r="K459" s="3"/>
      <c r="L459" s="3"/>
      <c r="M459" s="3">
        <v>2</v>
      </c>
      <c r="N459" s="32" t="s">
        <v>162</v>
      </c>
      <c r="O459" s="2">
        <v>1</v>
      </c>
      <c r="P459" s="3"/>
      <c r="Q459" s="10" t="s">
        <v>163</v>
      </c>
      <c r="R459" s="4" t="s">
        <v>548</v>
      </c>
    </row>
    <row r="460" spans="1:20" x14ac:dyDescent="0.25">
      <c r="C460" s="47" t="s">
        <v>828</v>
      </c>
      <c r="D460" s="208"/>
      <c r="E460" s="5"/>
      <c r="F460" s="5"/>
      <c r="G460" s="5"/>
      <c r="H460" s="5"/>
      <c r="I460" s="5"/>
      <c r="J460" s="6" t="s">
        <v>571</v>
      </c>
      <c r="K460" s="6"/>
      <c r="L460" s="6"/>
      <c r="M460" s="6">
        <v>2</v>
      </c>
      <c r="N460" s="16" t="s">
        <v>162</v>
      </c>
      <c r="O460" s="5">
        <v>1</v>
      </c>
      <c r="P460" s="6"/>
      <c r="Q460" s="13" t="s">
        <v>163</v>
      </c>
      <c r="R460" s="7" t="s">
        <v>548</v>
      </c>
    </row>
    <row r="461" spans="1:20" x14ac:dyDescent="0.25">
      <c r="C461" s="47"/>
      <c r="D461" s="208"/>
      <c r="E461" s="5"/>
      <c r="F461" s="5"/>
      <c r="G461" s="5"/>
      <c r="H461" s="5"/>
      <c r="I461" s="5"/>
      <c r="J461" s="6"/>
      <c r="K461" s="6"/>
      <c r="L461" s="6"/>
      <c r="M461" s="6">
        <v>3</v>
      </c>
      <c r="N461" s="16"/>
      <c r="O461" s="5"/>
      <c r="P461" s="6"/>
      <c r="Q461" s="13"/>
      <c r="R461" s="7"/>
    </row>
    <row r="462" spans="1:20" x14ac:dyDescent="0.25">
      <c r="C462" s="47"/>
      <c r="D462" s="208"/>
      <c r="E462" s="5"/>
      <c r="F462" s="5"/>
      <c r="G462" s="5"/>
      <c r="H462" s="5"/>
      <c r="I462" s="5"/>
      <c r="J462" s="6"/>
      <c r="K462" s="6"/>
      <c r="L462" s="6"/>
      <c r="M462" s="6">
        <v>1</v>
      </c>
      <c r="N462" s="16"/>
      <c r="O462" s="5"/>
      <c r="P462" s="6"/>
      <c r="Q462" s="13"/>
      <c r="R462" s="7"/>
    </row>
    <row r="463" spans="1:20" x14ac:dyDescent="0.25">
      <c r="A463" s="765">
        <v>160</v>
      </c>
      <c r="B463" s="765" t="s">
        <v>1409</v>
      </c>
      <c r="C463" s="46" t="s">
        <v>1451</v>
      </c>
      <c r="D463" s="207"/>
      <c r="E463" s="2" t="s">
        <v>1178</v>
      </c>
      <c r="F463" s="2"/>
      <c r="G463" s="2" t="s">
        <v>1178</v>
      </c>
      <c r="H463" s="2" t="s">
        <v>1178</v>
      </c>
      <c r="I463" s="2"/>
      <c r="J463" s="3" t="s">
        <v>572</v>
      </c>
      <c r="K463" s="3"/>
      <c r="L463" s="3"/>
      <c r="M463" s="3">
        <v>1</v>
      </c>
      <c r="N463" s="32" t="s">
        <v>573</v>
      </c>
      <c r="O463" s="2" t="s">
        <v>574</v>
      </c>
      <c r="P463" s="3" t="s">
        <v>50</v>
      </c>
      <c r="Q463" s="14" t="s">
        <v>1322</v>
      </c>
      <c r="R463" s="4" t="s">
        <v>575</v>
      </c>
    </row>
    <row r="464" spans="1:20" x14ac:dyDescent="0.25">
      <c r="A464" s="765">
        <v>252</v>
      </c>
      <c r="B464" s="765" t="s">
        <v>1409</v>
      </c>
      <c r="C464" s="47" t="s">
        <v>1454</v>
      </c>
      <c r="D464" s="208"/>
      <c r="E464" s="5"/>
      <c r="F464" s="5"/>
      <c r="G464" s="5"/>
      <c r="H464" s="5"/>
      <c r="I464" s="5"/>
      <c r="J464" s="6" t="s">
        <v>572</v>
      </c>
      <c r="K464" s="6"/>
      <c r="L464" s="6"/>
      <c r="M464" s="6">
        <v>1</v>
      </c>
      <c r="N464" s="14" t="s">
        <v>576</v>
      </c>
      <c r="O464" s="5" t="s">
        <v>574</v>
      </c>
      <c r="P464" s="6"/>
      <c r="Q464" s="14" t="s">
        <v>1322</v>
      </c>
      <c r="R464" s="4" t="s">
        <v>575</v>
      </c>
    </row>
    <row r="465" spans="1:19" x14ac:dyDescent="0.25">
      <c r="A465" s="765">
        <v>253</v>
      </c>
      <c r="B465" s="765" t="s">
        <v>1409</v>
      </c>
      <c r="C465" s="46" t="s">
        <v>1455</v>
      </c>
      <c r="D465" s="207"/>
      <c r="E465" s="2"/>
      <c r="F465" s="2"/>
      <c r="G465" s="2"/>
      <c r="H465" s="2"/>
      <c r="I465" s="2"/>
      <c r="J465" s="3" t="s">
        <v>572</v>
      </c>
      <c r="K465" s="3"/>
      <c r="L465" s="3"/>
      <c r="M465" s="3">
        <v>1</v>
      </c>
      <c r="N465" s="8" t="s">
        <v>577</v>
      </c>
      <c r="O465" s="2" t="s">
        <v>574</v>
      </c>
      <c r="P465" s="3" t="s">
        <v>50</v>
      </c>
      <c r="Q465" s="14" t="s">
        <v>1322</v>
      </c>
      <c r="R465" s="4" t="s">
        <v>575</v>
      </c>
    </row>
    <row r="466" spans="1:19" x14ac:dyDescent="0.25">
      <c r="A466" s="765">
        <v>121</v>
      </c>
      <c r="B466" s="765" t="s">
        <v>1409</v>
      </c>
      <c r="C466" s="46" t="s">
        <v>1456</v>
      </c>
      <c r="D466" s="207"/>
      <c r="E466" s="2"/>
      <c r="F466" s="2"/>
      <c r="G466" s="2"/>
      <c r="H466" s="2"/>
      <c r="I466" s="2"/>
      <c r="J466" s="3" t="s">
        <v>572</v>
      </c>
      <c r="K466" s="3"/>
      <c r="L466" s="3"/>
      <c r="M466" s="3">
        <v>1</v>
      </c>
      <c r="N466" s="8" t="s">
        <v>125</v>
      </c>
      <c r="O466" s="2" t="s">
        <v>574</v>
      </c>
      <c r="P466" s="3" t="s">
        <v>50</v>
      </c>
      <c r="Q466" s="14" t="s">
        <v>1346</v>
      </c>
      <c r="R466" s="4" t="s">
        <v>575</v>
      </c>
    </row>
    <row r="467" spans="1:19" x14ac:dyDescent="0.25">
      <c r="A467" s="766">
        <v>254</v>
      </c>
      <c r="B467" s="765" t="s">
        <v>1409</v>
      </c>
      <c r="C467" s="47" t="s">
        <v>1457</v>
      </c>
      <c r="D467" s="208"/>
      <c r="E467" s="5" t="s">
        <v>1178</v>
      </c>
      <c r="F467" s="5"/>
      <c r="G467" s="5" t="s">
        <v>1178</v>
      </c>
      <c r="H467" s="5" t="s">
        <v>1178</v>
      </c>
      <c r="I467" s="5"/>
      <c r="J467" s="6" t="s">
        <v>572</v>
      </c>
      <c r="K467" s="6"/>
      <c r="L467" s="6"/>
      <c r="M467" s="6">
        <v>1</v>
      </c>
      <c r="N467" s="11" t="s">
        <v>578</v>
      </c>
      <c r="O467" s="5" t="s">
        <v>574</v>
      </c>
      <c r="P467" s="6" t="s">
        <v>50</v>
      </c>
      <c r="Q467" s="14" t="s">
        <v>1322</v>
      </c>
      <c r="R467" s="4" t="s">
        <v>575</v>
      </c>
    </row>
    <row r="468" spans="1:19" x14ac:dyDescent="0.25">
      <c r="B468" s="765" t="s">
        <v>1409</v>
      </c>
      <c r="C468" s="47" t="s">
        <v>1458</v>
      </c>
      <c r="D468" s="208"/>
      <c r="E468" s="5"/>
      <c r="F468" s="5"/>
      <c r="G468" s="5"/>
      <c r="H468" s="5"/>
      <c r="I468" s="5"/>
      <c r="J468" s="6" t="s">
        <v>572</v>
      </c>
      <c r="K468" s="6"/>
      <c r="L468" s="6"/>
      <c r="M468" s="6">
        <v>1</v>
      </c>
      <c r="N468" s="11" t="s">
        <v>1264</v>
      </c>
      <c r="O468" s="5" t="s">
        <v>574</v>
      </c>
      <c r="P468" s="6" t="s">
        <v>50</v>
      </c>
      <c r="Q468" s="14" t="s">
        <v>1322</v>
      </c>
      <c r="R468" s="4" t="s">
        <v>575</v>
      </c>
    </row>
    <row r="469" spans="1:19" x14ac:dyDescent="0.25">
      <c r="A469" s="765">
        <v>255</v>
      </c>
      <c r="B469" s="765" t="s">
        <v>1409</v>
      </c>
      <c r="C469" s="46" t="s">
        <v>1459</v>
      </c>
      <c r="D469" s="207"/>
      <c r="E469" s="2"/>
      <c r="F469" s="2"/>
      <c r="G469" s="2"/>
      <c r="H469" s="2"/>
      <c r="I469" s="2"/>
      <c r="J469" s="3" t="s">
        <v>572</v>
      </c>
      <c r="K469" s="3"/>
      <c r="L469" s="3"/>
      <c r="M469" s="3">
        <v>1</v>
      </c>
      <c r="N469" s="8" t="s">
        <v>579</v>
      </c>
      <c r="O469" s="2" t="s">
        <v>574</v>
      </c>
      <c r="P469" s="3" t="s">
        <v>50</v>
      </c>
      <c r="Q469" s="14" t="s">
        <v>1322</v>
      </c>
      <c r="R469" s="4" t="s">
        <v>575</v>
      </c>
    </row>
    <row r="470" spans="1:19" x14ac:dyDescent="0.25">
      <c r="C470" s="47"/>
      <c r="D470" s="208"/>
      <c r="E470" s="5"/>
      <c r="F470" s="5"/>
      <c r="G470" s="5"/>
      <c r="H470" s="5"/>
      <c r="I470" s="5"/>
      <c r="J470" s="3"/>
      <c r="K470" s="6"/>
      <c r="L470" s="6"/>
      <c r="M470" s="6"/>
      <c r="N470" s="6"/>
      <c r="O470" s="2" t="s">
        <v>574</v>
      </c>
      <c r="P470" s="6"/>
      <c r="Q470" s="6"/>
      <c r="R470" s="7" t="s">
        <v>582</v>
      </c>
      <c r="S470" t="str">
        <f t="shared" ref="S470" si="21">IF(K470="S",30,IF(K470="M",45,IF(K470="L",60,"")))</f>
        <v/>
      </c>
    </row>
    <row r="471" spans="1:19" x14ac:dyDescent="0.25">
      <c r="A471" s="765">
        <v>160</v>
      </c>
      <c r="B471" s="765" t="s">
        <v>1410</v>
      </c>
      <c r="C471" s="47" t="s">
        <v>1452</v>
      </c>
      <c r="D471" s="208"/>
      <c r="E471" s="5" t="s">
        <v>724</v>
      </c>
      <c r="F471" s="5"/>
      <c r="G471" s="5" t="s">
        <v>724</v>
      </c>
      <c r="H471" s="5" t="s">
        <v>724</v>
      </c>
      <c r="I471" s="5"/>
      <c r="J471" s="6" t="s">
        <v>580</v>
      </c>
      <c r="K471" s="6"/>
      <c r="L471" s="6"/>
      <c r="M471" s="6">
        <v>1</v>
      </c>
      <c r="N471" s="14" t="s">
        <v>573</v>
      </c>
      <c r="O471" s="5" t="s">
        <v>574</v>
      </c>
      <c r="P471" s="6" t="s">
        <v>50</v>
      </c>
      <c r="Q471" s="14" t="s">
        <v>581</v>
      </c>
      <c r="R471" s="7" t="s">
        <v>582</v>
      </c>
    </row>
    <row r="472" spans="1:19" x14ac:dyDescent="0.25">
      <c r="A472" s="765">
        <v>252</v>
      </c>
      <c r="B472" s="765" t="s">
        <v>1410</v>
      </c>
      <c r="C472" s="46" t="s">
        <v>1460</v>
      </c>
      <c r="D472" s="207"/>
      <c r="E472" s="2"/>
      <c r="F472" s="2"/>
      <c r="G472" s="2"/>
      <c r="H472" s="2"/>
      <c r="I472" s="2"/>
      <c r="J472" s="3" t="s">
        <v>580</v>
      </c>
      <c r="K472" s="3"/>
      <c r="L472" s="3"/>
      <c r="M472" s="3">
        <v>1</v>
      </c>
      <c r="N472" s="32" t="s">
        <v>576</v>
      </c>
      <c r="O472" s="2" t="s">
        <v>574</v>
      </c>
      <c r="P472" s="3"/>
      <c r="Q472" s="32" t="s">
        <v>581</v>
      </c>
      <c r="R472" s="4" t="s">
        <v>582</v>
      </c>
    </row>
    <row r="473" spans="1:19" x14ac:dyDescent="0.25">
      <c r="A473" s="765">
        <v>253</v>
      </c>
      <c r="B473" s="765" t="s">
        <v>1410</v>
      </c>
      <c r="C473" s="47" t="s">
        <v>1461</v>
      </c>
      <c r="D473" s="208"/>
      <c r="E473" s="5"/>
      <c r="F473" s="5"/>
      <c r="G473" s="5"/>
      <c r="H473" s="5"/>
      <c r="I473" s="5"/>
      <c r="J473" s="6" t="s">
        <v>580</v>
      </c>
      <c r="K473" s="6"/>
      <c r="L473" s="6"/>
      <c r="M473" s="6">
        <v>1</v>
      </c>
      <c r="N473" s="11" t="s">
        <v>577</v>
      </c>
      <c r="O473" s="5" t="s">
        <v>574</v>
      </c>
      <c r="P473" s="6"/>
      <c r="Q473" s="14" t="s">
        <v>581</v>
      </c>
      <c r="R473" s="7" t="s">
        <v>582</v>
      </c>
    </row>
    <row r="474" spans="1:19" x14ac:dyDescent="0.25">
      <c r="A474" s="765">
        <v>121</v>
      </c>
      <c r="B474" s="765" t="s">
        <v>1410</v>
      </c>
      <c r="C474" s="46" t="s">
        <v>1462</v>
      </c>
      <c r="D474" s="207"/>
      <c r="E474" s="2"/>
      <c r="F474" s="2"/>
      <c r="G474" s="2"/>
      <c r="H474" s="2"/>
      <c r="I474" s="2"/>
      <c r="J474" s="6" t="s">
        <v>580</v>
      </c>
      <c r="K474" s="6"/>
      <c r="L474" s="6"/>
      <c r="M474" s="3">
        <v>1</v>
      </c>
      <c r="N474" s="8" t="s">
        <v>125</v>
      </c>
      <c r="O474" s="2" t="s">
        <v>574</v>
      </c>
      <c r="P474" s="3" t="s">
        <v>50</v>
      </c>
      <c r="Q474" s="14" t="s">
        <v>1345</v>
      </c>
      <c r="R474" s="7" t="s">
        <v>582</v>
      </c>
    </row>
    <row r="475" spans="1:19" x14ac:dyDescent="0.25">
      <c r="A475" s="766">
        <v>254</v>
      </c>
      <c r="B475" s="765" t="s">
        <v>1410</v>
      </c>
      <c r="C475" s="46" t="s">
        <v>1463</v>
      </c>
      <c r="D475" s="207"/>
      <c r="E475" s="2" t="s">
        <v>1178</v>
      </c>
      <c r="F475" s="2"/>
      <c r="G475" s="2" t="s">
        <v>1178</v>
      </c>
      <c r="H475" s="2" t="s">
        <v>1178</v>
      </c>
      <c r="I475" s="2"/>
      <c r="J475" s="3" t="s">
        <v>580</v>
      </c>
      <c r="K475" s="3"/>
      <c r="L475" s="3"/>
      <c r="M475" s="3">
        <v>1</v>
      </c>
      <c r="N475" s="8" t="s">
        <v>578</v>
      </c>
      <c r="O475" s="2" t="s">
        <v>574</v>
      </c>
      <c r="P475" s="3" t="s">
        <v>50</v>
      </c>
      <c r="Q475" s="32" t="s">
        <v>581</v>
      </c>
      <c r="R475" s="4" t="s">
        <v>582</v>
      </c>
    </row>
    <row r="476" spans="1:19" x14ac:dyDescent="0.25">
      <c r="A476" s="765">
        <v>255</v>
      </c>
      <c r="B476" s="765" t="s">
        <v>1410</v>
      </c>
      <c r="C476" s="47" t="s">
        <v>1464</v>
      </c>
      <c r="D476" s="208"/>
      <c r="E476" s="5"/>
      <c r="F476" s="5"/>
      <c r="G476" s="5"/>
      <c r="H476" s="5"/>
      <c r="I476" s="5"/>
      <c r="J476" s="6" t="s">
        <v>580</v>
      </c>
      <c r="K476" s="6"/>
      <c r="L476" s="6"/>
      <c r="M476" s="6">
        <v>1</v>
      </c>
      <c r="N476" s="11" t="s">
        <v>579</v>
      </c>
      <c r="O476" s="5" t="s">
        <v>574</v>
      </c>
      <c r="P476" s="6" t="s">
        <v>50</v>
      </c>
      <c r="Q476" s="14" t="s">
        <v>581</v>
      </c>
      <c r="R476" s="7" t="s">
        <v>582</v>
      </c>
    </row>
    <row r="477" spans="1:19" x14ac:dyDescent="0.25">
      <c r="C477" s="46" t="s">
        <v>788</v>
      </c>
      <c r="D477" s="207"/>
      <c r="E477" s="2"/>
      <c r="F477" s="2"/>
      <c r="G477" s="2"/>
      <c r="H477" s="2"/>
      <c r="I477" s="2"/>
      <c r="J477" s="3" t="s">
        <v>793</v>
      </c>
      <c r="K477" s="3"/>
      <c r="L477" s="3"/>
      <c r="M477" s="3">
        <v>1</v>
      </c>
      <c r="N477" s="32" t="s">
        <v>794</v>
      </c>
      <c r="O477" s="2" t="s">
        <v>574</v>
      </c>
      <c r="P477" s="3"/>
      <c r="Q477" s="36" t="s">
        <v>917</v>
      </c>
      <c r="R477" s="4" t="s">
        <v>215</v>
      </c>
    </row>
    <row r="478" spans="1:19" x14ac:dyDescent="0.25">
      <c r="C478" s="47" t="s">
        <v>789</v>
      </c>
      <c r="D478" s="208"/>
      <c r="E478" s="2"/>
      <c r="F478" s="2"/>
      <c r="G478" s="2"/>
      <c r="H478" s="2"/>
      <c r="I478" s="2"/>
      <c r="J478" s="3" t="s">
        <v>793</v>
      </c>
      <c r="K478" s="3"/>
      <c r="L478" s="3"/>
      <c r="M478" s="3">
        <v>1</v>
      </c>
      <c r="N478" s="32" t="s">
        <v>573</v>
      </c>
      <c r="O478" s="2" t="s">
        <v>574</v>
      </c>
      <c r="P478" s="3" t="s">
        <v>50</v>
      </c>
      <c r="Q478" s="36" t="s">
        <v>870</v>
      </c>
      <c r="R478" s="4" t="s">
        <v>215</v>
      </c>
    </row>
    <row r="479" spans="1:19" x14ac:dyDescent="0.25">
      <c r="C479" s="46" t="s">
        <v>790</v>
      </c>
      <c r="D479" s="207"/>
      <c r="E479" s="2"/>
      <c r="F479" s="2"/>
      <c r="G479" s="2"/>
      <c r="H479" s="2"/>
      <c r="I479" s="2"/>
      <c r="J479" s="3" t="s">
        <v>793</v>
      </c>
      <c r="K479" s="3"/>
      <c r="L479" s="3"/>
      <c r="M479" s="3">
        <v>1</v>
      </c>
      <c r="N479" s="32" t="s">
        <v>576</v>
      </c>
      <c r="O479" s="2" t="s">
        <v>574</v>
      </c>
      <c r="P479" s="3"/>
      <c r="Q479" s="36" t="s">
        <v>797</v>
      </c>
      <c r="R479" s="4" t="s">
        <v>215</v>
      </c>
    </row>
    <row r="480" spans="1:19" x14ac:dyDescent="0.25">
      <c r="C480" s="47" t="s">
        <v>791</v>
      </c>
      <c r="D480" s="208"/>
      <c r="E480" s="2"/>
      <c r="F480" s="2"/>
      <c r="G480" s="2"/>
      <c r="H480" s="2"/>
      <c r="I480" s="2"/>
      <c r="J480" s="3" t="s">
        <v>793</v>
      </c>
      <c r="K480" s="3"/>
      <c r="L480" s="3"/>
      <c r="M480" s="6">
        <v>1</v>
      </c>
      <c r="N480" s="11" t="s">
        <v>577</v>
      </c>
      <c r="O480" s="2" t="s">
        <v>574</v>
      </c>
      <c r="P480" s="3"/>
      <c r="Q480" s="36" t="s">
        <v>871</v>
      </c>
      <c r="R480" s="4" t="s">
        <v>215</v>
      </c>
    </row>
    <row r="481" spans="1:20" x14ac:dyDescent="0.25">
      <c r="C481" s="46" t="s">
        <v>792</v>
      </c>
      <c r="D481" s="207"/>
      <c r="E481" s="2"/>
      <c r="F481" s="2"/>
      <c r="G481" s="2"/>
      <c r="H481" s="2"/>
      <c r="I481" s="2"/>
      <c r="J481" s="3" t="s">
        <v>793</v>
      </c>
      <c r="K481" s="3"/>
      <c r="L481" s="3"/>
      <c r="M481" s="3">
        <v>1</v>
      </c>
      <c r="N481" s="8" t="s">
        <v>578</v>
      </c>
      <c r="O481" s="2" t="s">
        <v>574</v>
      </c>
      <c r="P481" s="3" t="s">
        <v>50</v>
      </c>
      <c r="Q481" s="36" t="s">
        <v>870</v>
      </c>
      <c r="R481" s="4" t="s">
        <v>215</v>
      </c>
    </row>
    <row r="482" spans="1:20" x14ac:dyDescent="0.25">
      <c r="C482" s="47" t="s">
        <v>1017</v>
      </c>
      <c r="D482" s="208"/>
      <c r="E482" s="2"/>
      <c r="F482" s="2"/>
      <c r="G482" s="2"/>
      <c r="H482" s="2"/>
      <c r="I482" s="2"/>
      <c r="J482" s="3" t="s">
        <v>793</v>
      </c>
      <c r="K482" s="3"/>
      <c r="L482" s="3"/>
      <c r="M482" s="6">
        <v>1</v>
      </c>
      <c r="N482" s="11" t="s">
        <v>579</v>
      </c>
      <c r="O482" s="2" t="s">
        <v>574</v>
      </c>
      <c r="P482" s="3" t="s">
        <v>50</v>
      </c>
      <c r="Q482" s="36" t="s">
        <v>872</v>
      </c>
      <c r="R482" s="4" t="s">
        <v>215</v>
      </c>
    </row>
    <row r="483" spans="1:20" x14ac:dyDescent="0.25">
      <c r="A483" s="765">
        <v>127</v>
      </c>
      <c r="B483" s="765" t="s">
        <v>1402</v>
      </c>
      <c r="C483" s="46" t="s">
        <v>116</v>
      </c>
      <c r="D483" s="207"/>
      <c r="E483" s="2" t="s">
        <v>724</v>
      </c>
      <c r="F483" s="2"/>
      <c r="G483" s="2" t="s">
        <v>724</v>
      </c>
      <c r="H483" s="2" t="s">
        <v>724</v>
      </c>
      <c r="I483" s="2"/>
      <c r="J483" s="3" t="s">
        <v>117</v>
      </c>
      <c r="K483" s="3" t="s">
        <v>1131</v>
      </c>
      <c r="L483" s="3"/>
      <c r="M483" s="3">
        <v>1</v>
      </c>
      <c r="N483" s="3" t="s">
        <v>44</v>
      </c>
      <c r="O483" s="2" t="s">
        <v>49</v>
      </c>
      <c r="P483" s="3"/>
      <c r="Q483" s="3" t="s">
        <v>47</v>
      </c>
      <c r="R483" s="4" t="s">
        <v>215</v>
      </c>
      <c r="S483">
        <v>25</v>
      </c>
      <c r="T483">
        <v>0.2</v>
      </c>
    </row>
    <row r="484" spans="1:20" x14ac:dyDescent="0.25">
      <c r="B484" s="765" t="s">
        <v>1402</v>
      </c>
      <c r="C484" s="46" t="s">
        <v>1033</v>
      </c>
      <c r="D484" s="207"/>
      <c r="E484" s="2"/>
      <c r="F484" s="2"/>
      <c r="G484" s="2"/>
      <c r="H484" s="2"/>
      <c r="I484" s="2"/>
      <c r="J484" s="6" t="s">
        <v>117</v>
      </c>
      <c r="K484" s="6" t="s">
        <v>1165</v>
      </c>
      <c r="L484" s="3"/>
      <c r="M484" s="3">
        <v>2</v>
      </c>
      <c r="N484" s="3" t="s">
        <v>1034</v>
      </c>
      <c r="O484" s="2" t="s">
        <v>49</v>
      </c>
      <c r="P484" s="3" t="s">
        <v>50</v>
      </c>
      <c r="Q484" s="3"/>
      <c r="R484" s="7" t="s">
        <v>215</v>
      </c>
      <c r="S484">
        <v>25</v>
      </c>
      <c r="T484">
        <v>0.2</v>
      </c>
    </row>
    <row r="485" spans="1:20" x14ac:dyDescent="0.25">
      <c r="A485" s="765">
        <v>118</v>
      </c>
      <c r="B485" s="765" t="s">
        <v>1402</v>
      </c>
      <c r="C485" s="47" t="s">
        <v>776</v>
      </c>
      <c r="D485" s="208"/>
      <c r="E485" s="5"/>
      <c r="F485" s="5"/>
      <c r="G485" s="5"/>
      <c r="H485" s="5"/>
      <c r="I485" s="5"/>
      <c r="J485" s="6" t="s">
        <v>117</v>
      </c>
      <c r="K485" s="6" t="s">
        <v>1165</v>
      </c>
      <c r="L485" s="6"/>
      <c r="M485" s="6">
        <v>2</v>
      </c>
      <c r="N485" s="6" t="s">
        <v>801</v>
      </c>
      <c r="O485" s="5" t="s">
        <v>49</v>
      </c>
      <c r="P485" s="6"/>
      <c r="Q485" s="6" t="s">
        <v>862</v>
      </c>
      <c r="R485" s="7" t="s">
        <v>215</v>
      </c>
      <c r="S485">
        <v>25</v>
      </c>
      <c r="T485">
        <v>0.2</v>
      </c>
    </row>
    <row r="486" spans="1:20" x14ac:dyDescent="0.25">
      <c r="A486" s="765">
        <v>119</v>
      </c>
      <c r="B486" s="765" t="s">
        <v>1402</v>
      </c>
      <c r="C486" s="47" t="s">
        <v>118</v>
      </c>
      <c r="D486" s="208"/>
      <c r="E486" s="5"/>
      <c r="F486" s="5"/>
      <c r="G486" s="5"/>
      <c r="H486" s="5"/>
      <c r="I486" s="5"/>
      <c r="J486" s="6" t="s">
        <v>117</v>
      </c>
      <c r="K486" s="6" t="s">
        <v>1131</v>
      </c>
      <c r="L486" s="6"/>
      <c r="M486" s="6">
        <v>2</v>
      </c>
      <c r="N486" s="6" t="s">
        <v>119</v>
      </c>
      <c r="O486" s="5" t="s">
        <v>49</v>
      </c>
      <c r="P486" s="6" t="s">
        <v>50</v>
      </c>
      <c r="Q486" s="6" t="s">
        <v>120</v>
      </c>
      <c r="R486" s="4" t="s">
        <v>215</v>
      </c>
      <c r="S486">
        <v>25</v>
      </c>
      <c r="T486">
        <v>0.2</v>
      </c>
    </row>
    <row r="487" spans="1:20" x14ac:dyDescent="0.25">
      <c r="A487" s="765">
        <v>120</v>
      </c>
      <c r="B487" s="765" t="s">
        <v>1402</v>
      </c>
      <c r="C487" s="46" t="s">
        <v>121</v>
      </c>
      <c r="D487" s="207">
        <v>300</v>
      </c>
      <c r="E487" s="2" t="s">
        <v>724</v>
      </c>
      <c r="F487" s="2"/>
      <c r="G487" s="2" t="s">
        <v>724</v>
      </c>
      <c r="H487" s="2" t="s">
        <v>1178</v>
      </c>
      <c r="I487" s="2"/>
      <c r="J487" s="3" t="s">
        <v>117</v>
      </c>
      <c r="K487" s="3" t="s">
        <v>1130</v>
      </c>
      <c r="L487" s="3"/>
      <c r="M487" s="3">
        <v>1</v>
      </c>
      <c r="N487" s="3" t="s">
        <v>122</v>
      </c>
      <c r="O487" s="2" t="s">
        <v>49</v>
      </c>
      <c r="P487" s="3" t="s">
        <v>50</v>
      </c>
      <c r="Q487" s="3" t="s">
        <v>123</v>
      </c>
      <c r="R487" s="7" t="s">
        <v>215</v>
      </c>
      <c r="S487">
        <v>25</v>
      </c>
      <c r="T487">
        <v>0.2</v>
      </c>
    </row>
    <row r="488" spans="1:20" x14ac:dyDescent="0.25">
      <c r="A488" s="765">
        <v>121</v>
      </c>
      <c r="B488" s="765" t="s">
        <v>1402</v>
      </c>
      <c r="C488" s="47" t="s">
        <v>124</v>
      </c>
      <c r="D488" s="208"/>
      <c r="E488" s="5"/>
      <c r="F488" s="5"/>
      <c r="G488" s="5"/>
      <c r="H488" s="5"/>
      <c r="I488" s="5"/>
      <c r="J488" s="6" t="s">
        <v>117</v>
      </c>
      <c r="K488" s="6" t="s">
        <v>1165</v>
      </c>
      <c r="L488" s="6"/>
      <c r="M488" s="6">
        <v>1</v>
      </c>
      <c r="N488" s="6" t="s">
        <v>125</v>
      </c>
      <c r="O488" s="5" t="s">
        <v>49</v>
      </c>
      <c r="P488" s="6" t="s">
        <v>50</v>
      </c>
      <c r="Q488" s="6" t="s">
        <v>126</v>
      </c>
      <c r="R488" s="4" t="s">
        <v>215</v>
      </c>
      <c r="S488">
        <v>25</v>
      </c>
      <c r="T488">
        <v>0.2</v>
      </c>
    </row>
    <row r="489" spans="1:20" x14ac:dyDescent="0.25">
      <c r="A489" s="765">
        <v>122</v>
      </c>
      <c r="B489" s="765" t="s">
        <v>1402</v>
      </c>
      <c r="C489" s="46" t="s">
        <v>127</v>
      </c>
      <c r="D489" s="207"/>
      <c r="E489" s="2"/>
      <c r="F489" s="2"/>
      <c r="G489" s="2"/>
      <c r="H489" s="2"/>
      <c r="I489" s="2"/>
      <c r="J489" s="3" t="s">
        <v>117</v>
      </c>
      <c r="K489" s="3" t="s">
        <v>1131</v>
      </c>
      <c r="L489" s="3"/>
      <c r="M489" s="3">
        <v>2</v>
      </c>
      <c r="N489" s="3" t="s">
        <v>128</v>
      </c>
      <c r="O489" s="2" t="s">
        <v>49</v>
      </c>
      <c r="P489" s="3"/>
      <c r="Q489" s="3" t="s">
        <v>129</v>
      </c>
      <c r="R489" s="7" t="s">
        <v>215</v>
      </c>
      <c r="S489">
        <v>25</v>
      </c>
      <c r="T489">
        <v>0.2</v>
      </c>
    </row>
    <row r="490" spans="1:20" x14ac:dyDescent="0.25">
      <c r="B490" s="765" t="s">
        <v>1402</v>
      </c>
      <c r="C490" s="46" t="s">
        <v>844</v>
      </c>
      <c r="D490" s="207"/>
      <c r="E490" s="2"/>
      <c r="F490" s="2"/>
      <c r="G490" s="2"/>
      <c r="H490" s="2"/>
      <c r="I490" s="2"/>
      <c r="J490" s="3" t="s">
        <v>117</v>
      </c>
      <c r="K490" s="3"/>
      <c r="L490" s="3"/>
      <c r="M490" s="3">
        <v>2</v>
      </c>
      <c r="N490" s="3" t="s">
        <v>865</v>
      </c>
      <c r="O490" s="2" t="s">
        <v>49</v>
      </c>
      <c r="P490" s="3"/>
      <c r="Q490" s="3" t="s">
        <v>863</v>
      </c>
      <c r="R490" s="7" t="s">
        <v>215</v>
      </c>
      <c r="S490">
        <v>25</v>
      </c>
      <c r="T490">
        <v>0.2</v>
      </c>
    </row>
    <row r="491" spans="1:20" x14ac:dyDescent="0.25">
      <c r="A491" s="765">
        <v>123</v>
      </c>
      <c r="B491" s="765" t="s">
        <v>1402</v>
      </c>
      <c r="C491" s="47" t="s">
        <v>130</v>
      </c>
      <c r="D491" s="208"/>
      <c r="E491" s="5"/>
      <c r="F491" s="5"/>
      <c r="G491" s="5"/>
      <c r="H491" s="5"/>
      <c r="I491" s="5"/>
      <c r="J491" s="6" t="s">
        <v>117</v>
      </c>
      <c r="K491" s="6" t="s">
        <v>1131</v>
      </c>
      <c r="L491" s="6"/>
      <c r="M491" s="6">
        <v>1</v>
      </c>
      <c r="N491" s="6" t="s">
        <v>131</v>
      </c>
      <c r="O491" s="5" t="s">
        <v>49</v>
      </c>
      <c r="P491" s="6"/>
      <c r="Q491" s="6" t="s">
        <v>132</v>
      </c>
      <c r="R491" s="4" t="s">
        <v>215</v>
      </c>
      <c r="S491">
        <v>25</v>
      </c>
      <c r="T491">
        <v>0.2</v>
      </c>
    </row>
    <row r="492" spans="1:20" x14ac:dyDescent="0.25">
      <c r="B492" s="765" t="s">
        <v>1402</v>
      </c>
      <c r="C492" s="46" t="s">
        <v>133</v>
      </c>
      <c r="D492" s="207"/>
      <c r="E492" s="2"/>
      <c r="F492" s="2"/>
      <c r="G492" s="2"/>
      <c r="H492" s="2"/>
      <c r="I492" s="2"/>
      <c r="J492" s="3" t="s">
        <v>117</v>
      </c>
      <c r="K492" s="3" t="s">
        <v>1131</v>
      </c>
      <c r="L492" s="3"/>
      <c r="M492" s="3">
        <v>2</v>
      </c>
      <c r="N492" s="3" t="s">
        <v>134</v>
      </c>
      <c r="O492" s="2" t="s">
        <v>49</v>
      </c>
      <c r="P492" s="3" t="s">
        <v>50</v>
      </c>
      <c r="Q492" s="3" t="s">
        <v>135</v>
      </c>
      <c r="R492" s="7" t="s">
        <v>215</v>
      </c>
      <c r="S492">
        <v>25</v>
      </c>
      <c r="T492">
        <v>0.2</v>
      </c>
    </row>
    <row r="493" spans="1:20" x14ac:dyDescent="0.25">
      <c r="B493" s="765" t="s">
        <v>1402</v>
      </c>
      <c r="C493" s="46" t="s">
        <v>1039</v>
      </c>
      <c r="D493" s="207"/>
      <c r="E493" s="2"/>
      <c r="F493" s="2"/>
      <c r="G493" s="2"/>
      <c r="H493" s="2"/>
      <c r="I493" s="2"/>
      <c r="J493" s="3" t="s">
        <v>117</v>
      </c>
      <c r="K493" s="3" t="s">
        <v>1131</v>
      </c>
      <c r="L493" s="3"/>
      <c r="M493" s="3">
        <v>2</v>
      </c>
      <c r="N493" s="3" t="s">
        <v>1315</v>
      </c>
      <c r="O493" s="2" t="s">
        <v>1123</v>
      </c>
      <c r="P493" s="3"/>
      <c r="Q493" s="3" t="s">
        <v>1316</v>
      </c>
      <c r="R493" s="7" t="s">
        <v>215</v>
      </c>
      <c r="S493">
        <v>25</v>
      </c>
      <c r="T493">
        <v>0.2</v>
      </c>
    </row>
    <row r="494" spans="1:20" x14ac:dyDescent="0.25">
      <c r="B494" s="765" t="s">
        <v>1402</v>
      </c>
      <c r="C494" s="46" t="s">
        <v>879</v>
      </c>
      <c r="D494" s="207"/>
      <c r="E494" s="2"/>
      <c r="F494" s="2"/>
      <c r="G494" s="2"/>
      <c r="H494" s="2"/>
      <c r="I494" s="2"/>
      <c r="J494" s="3" t="s">
        <v>117</v>
      </c>
      <c r="K494" s="3" t="s">
        <v>1131</v>
      </c>
      <c r="L494" s="3"/>
      <c r="M494" s="3">
        <v>2</v>
      </c>
      <c r="N494" s="3" t="s">
        <v>881</v>
      </c>
      <c r="O494" s="2" t="s">
        <v>49</v>
      </c>
      <c r="P494" s="3" t="s">
        <v>50</v>
      </c>
      <c r="Q494" s="3" t="s">
        <v>880</v>
      </c>
      <c r="R494" s="7" t="s">
        <v>215</v>
      </c>
      <c r="S494">
        <v>25</v>
      </c>
      <c r="T494">
        <v>0.2</v>
      </c>
    </row>
    <row r="495" spans="1:20" x14ac:dyDescent="0.25">
      <c r="A495" s="765">
        <v>255</v>
      </c>
      <c r="B495" s="765" t="s">
        <v>1402</v>
      </c>
      <c r="C495" s="47" t="s">
        <v>769</v>
      </c>
      <c r="D495" s="208"/>
      <c r="E495" s="5"/>
      <c r="F495" s="5"/>
      <c r="G495" s="5"/>
      <c r="H495" s="5"/>
      <c r="I495" s="5"/>
      <c r="J495" s="6" t="s">
        <v>117</v>
      </c>
      <c r="K495" s="6" t="s">
        <v>1131</v>
      </c>
      <c r="L495" s="6"/>
      <c r="M495" s="6">
        <v>1</v>
      </c>
      <c r="N495" s="6" t="s">
        <v>579</v>
      </c>
      <c r="O495" s="5" t="s">
        <v>49</v>
      </c>
      <c r="P495" s="6"/>
      <c r="Q495" s="6" t="s">
        <v>864</v>
      </c>
      <c r="R495" s="4" t="s">
        <v>215</v>
      </c>
      <c r="S495">
        <v>25</v>
      </c>
      <c r="T495">
        <v>0.2</v>
      </c>
    </row>
    <row r="496" spans="1:20" x14ac:dyDescent="0.25">
      <c r="A496" s="765">
        <v>125</v>
      </c>
      <c r="B496" s="765" t="s">
        <v>1402</v>
      </c>
      <c r="C496" s="47" t="s">
        <v>136</v>
      </c>
      <c r="D496" s="208"/>
      <c r="E496" s="5"/>
      <c r="F496" s="5"/>
      <c r="G496" s="5"/>
      <c r="H496" s="5"/>
      <c r="I496" s="5"/>
      <c r="J496" s="6" t="s">
        <v>117</v>
      </c>
      <c r="K496" s="6" t="s">
        <v>1130</v>
      </c>
      <c r="L496" s="6"/>
      <c r="M496" s="6">
        <v>1</v>
      </c>
      <c r="N496" s="6" t="s">
        <v>137</v>
      </c>
      <c r="O496" s="5" t="s">
        <v>49</v>
      </c>
      <c r="P496" s="6"/>
      <c r="Q496" s="6" t="s">
        <v>138</v>
      </c>
      <c r="R496" s="4" t="s">
        <v>215</v>
      </c>
      <c r="S496">
        <v>25</v>
      </c>
      <c r="T496">
        <v>0.2</v>
      </c>
    </row>
    <row r="497" spans="1:20" x14ac:dyDescent="0.25">
      <c r="A497" s="765">
        <v>126</v>
      </c>
      <c r="B497" s="765" t="s">
        <v>1402</v>
      </c>
      <c r="C497" s="46" t="s">
        <v>139</v>
      </c>
      <c r="D497" s="207"/>
      <c r="E497" s="2"/>
      <c r="F497" s="2"/>
      <c r="G497" s="2"/>
      <c r="H497" s="2"/>
      <c r="I497" s="2"/>
      <c r="J497" s="3" t="s">
        <v>117</v>
      </c>
      <c r="K497" s="3" t="s">
        <v>1131</v>
      </c>
      <c r="L497" s="3"/>
      <c r="M497" s="3">
        <v>2</v>
      </c>
      <c r="N497" s="3" t="s">
        <v>140</v>
      </c>
      <c r="O497" s="2" t="s">
        <v>49</v>
      </c>
      <c r="P497" s="3"/>
      <c r="Q497" s="3" t="s">
        <v>141</v>
      </c>
      <c r="R497" s="4" t="s">
        <v>215</v>
      </c>
      <c r="S497">
        <v>25</v>
      </c>
      <c r="T497">
        <v>0.2</v>
      </c>
    </row>
    <row r="498" spans="1:20" x14ac:dyDescent="0.25">
      <c r="A498" s="765">
        <v>127</v>
      </c>
      <c r="B498" s="765" t="s">
        <v>1403</v>
      </c>
      <c r="C498" s="46" t="s">
        <v>116</v>
      </c>
      <c r="D498" s="207"/>
      <c r="E498" s="2" t="s">
        <v>724</v>
      </c>
      <c r="F498" s="2"/>
      <c r="G498" s="2"/>
      <c r="H498" s="2"/>
      <c r="I498" s="2"/>
      <c r="J498" s="3" t="s">
        <v>142</v>
      </c>
      <c r="K498" s="3" t="s">
        <v>1130</v>
      </c>
      <c r="L498" s="3"/>
      <c r="M498" s="3">
        <v>1</v>
      </c>
      <c r="N498" s="3" t="s">
        <v>44</v>
      </c>
      <c r="O498" s="2" t="s">
        <v>49</v>
      </c>
      <c r="P498" s="3"/>
      <c r="Q498" s="3" t="s">
        <v>47</v>
      </c>
      <c r="R498" s="7" t="s">
        <v>599</v>
      </c>
      <c r="S498">
        <v>30</v>
      </c>
      <c r="T498">
        <f>1/8</f>
        <v>0.125</v>
      </c>
    </row>
    <row r="499" spans="1:20" x14ac:dyDescent="0.25">
      <c r="A499" s="765">
        <v>118</v>
      </c>
      <c r="B499" s="765" t="s">
        <v>1403</v>
      </c>
      <c r="C499" s="47" t="s">
        <v>776</v>
      </c>
      <c r="D499" s="208"/>
      <c r="E499" s="5"/>
      <c r="F499" s="5"/>
      <c r="G499" s="5"/>
      <c r="H499" s="5"/>
      <c r="I499" s="5"/>
      <c r="J499" s="6" t="s">
        <v>142</v>
      </c>
      <c r="K499" s="6" t="s">
        <v>1131</v>
      </c>
      <c r="L499" s="6"/>
      <c r="M499" s="6">
        <v>2</v>
      </c>
      <c r="N499" s="6" t="s">
        <v>801</v>
      </c>
      <c r="O499" s="5" t="s">
        <v>49</v>
      </c>
      <c r="P499" s="6" t="s">
        <v>50</v>
      </c>
      <c r="Q499" s="6" t="s">
        <v>862</v>
      </c>
      <c r="R499" s="7" t="s">
        <v>599</v>
      </c>
      <c r="S499">
        <v>30</v>
      </c>
      <c r="T499">
        <f t="shared" ref="T499:T509" si="22">1/8</f>
        <v>0.125</v>
      </c>
    </row>
    <row r="500" spans="1:20" x14ac:dyDescent="0.25">
      <c r="A500" s="765">
        <v>119</v>
      </c>
      <c r="B500" s="765" t="s">
        <v>1403</v>
      </c>
      <c r="C500" s="47" t="s">
        <v>118</v>
      </c>
      <c r="D500" s="208">
        <v>50</v>
      </c>
      <c r="E500" s="5" t="s">
        <v>724</v>
      </c>
      <c r="F500" s="5"/>
      <c r="G500" s="5" t="s">
        <v>724</v>
      </c>
      <c r="H500" s="5"/>
      <c r="I500" s="5"/>
      <c r="J500" s="6" t="s">
        <v>142</v>
      </c>
      <c r="K500" s="6" t="s">
        <v>1131</v>
      </c>
      <c r="L500" s="6"/>
      <c r="M500" s="6">
        <v>2</v>
      </c>
      <c r="N500" s="6" t="s">
        <v>119</v>
      </c>
      <c r="O500" s="5" t="s">
        <v>49</v>
      </c>
      <c r="P500" s="6" t="s">
        <v>50</v>
      </c>
      <c r="Q500" s="6" t="s">
        <v>120</v>
      </c>
      <c r="R500" s="7" t="s">
        <v>599</v>
      </c>
      <c r="S500">
        <v>30</v>
      </c>
      <c r="T500">
        <f t="shared" si="22"/>
        <v>0.125</v>
      </c>
    </row>
    <row r="501" spans="1:20" x14ac:dyDescent="0.25">
      <c r="A501" s="765">
        <v>120</v>
      </c>
      <c r="B501" s="765" t="s">
        <v>1403</v>
      </c>
      <c r="C501" s="46" t="s">
        <v>121</v>
      </c>
      <c r="D501" s="207">
        <v>50</v>
      </c>
      <c r="E501" s="2" t="s">
        <v>724</v>
      </c>
      <c r="F501" s="2" t="s">
        <v>724</v>
      </c>
      <c r="G501" s="2" t="s">
        <v>724</v>
      </c>
      <c r="H501" s="2"/>
      <c r="I501" s="2"/>
      <c r="J501" s="3" t="s">
        <v>142</v>
      </c>
      <c r="K501" s="3" t="s">
        <v>1130</v>
      </c>
      <c r="L501" s="3"/>
      <c r="M501" s="3">
        <v>1</v>
      </c>
      <c r="N501" s="3" t="s">
        <v>122</v>
      </c>
      <c r="O501" s="2" t="s">
        <v>49</v>
      </c>
      <c r="P501" s="3" t="s">
        <v>50</v>
      </c>
      <c r="Q501" s="3" t="s">
        <v>123</v>
      </c>
      <c r="R501" s="7" t="s">
        <v>599</v>
      </c>
      <c r="S501">
        <v>30</v>
      </c>
      <c r="T501">
        <f t="shared" si="22"/>
        <v>0.125</v>
      </c>
    </row>
    <row r="502" spans="1:20" x14ac:dyDescent="0.25">
      <c r="A502" s="765">
        <v>121</v>
      </c>
      <c r="B502" s="765" t="s">
        <v>1403</v>
      </c>
      <c r="C502" s="47" t="s">
        <v>124</v>
      </c>
      <c r="D502" s="208">
        <v>50</v>
      </c>
      <c r="E502" s="5" t="s">
        <v>724</v>
      </c>
      <c r="F502" s="5"/>
      <c r="G502" s="5" t="s">
        <v>724</v>
      </c>
      <c r="H502" s="5"/>
      <c r="I502" s="5"/>
      <c r="J502" s="6" t="s">
        <v>142</v>
      </c>
      <c r="K502" s="6" t="s">
        <v>1131</v>
      </c>
      <c r="L502" s="6"/>
      <c r="M502" s="6">
        <v>1</v>
      </c>
      <c r="N502" s="6" t="s">
        <v>125</v>
      </c>
      <c r="O502" s="5" t="s">
        <v>49</v>
      </c>
      <c r="P502" s="6" t="s">
        <v>50</v>
      </c>
      <c r="Q502" s="6" t="s">
        <v>126</v>
      </c>
      <c r="R502" s="7" t="s">
        <v>599</v>
      </c>
      <c r="S502">
        <v>30</v>
      </c>
      <c r="T502">
        <f t="shared" si="22"/>
        <v>0.125</v>
      </c>
    </row>
    <row r="503" spans="1:20" x14ac:dyDescent="0.25">
      <c r="A503" s="765">
        <v>122</v>
      </c>
      <c r="B503" s="765" t="s">
        <v>1403</v>
      </c>
      <c r="C503" s="46" t="s">
        <v>127</v>
      </c>
      <c r="D503" s="207"/>
      <c r="E503" s="2"/>
      <c r="F503" s="2"/>
      <c r="G503" s="2"/>
      <c r="H503" s="2"/>
      <c r="I503" s="2"/>
      <c r="J503" s="3" t="s">
        <v>142</v>
      </c>
      <c r="K503" s="3" t="s">
        <v>1131</v>
      </c>
      <c r="L503" s="3"/>
      <c r="M503" s="3">
        <v>2</v>
      </c>
      <c r="N503" s="3" t="s">
        <v>128</v>
      </c>
      <c r="O503" s="2" t="s">
        <v>49</v>
      </c>
      <c r="P503" s="3"/>
      <c r="Q503" s="3" t="s">
        <v>129</v>
      </c>
      <c r="R503" s="7" t="s">
        <v>599</v>
      </c>
      <c r="S503">
        <v>30</v>
      </c>
      <c r="T503">
        <f t="shared" si="22"/>
        <v>0.125</v>
      </c>
    </row>
    <row r="504" spans="1:20" x14ac:dyDescent="0.25">
      <c r="A504" s="765">
        <v>123</v>
      </c>
      <c r="B504" s="765" t="s">
        <v>1403</v>
      </c>
      <c r="C504" s="47" t="s">
        <v>130</v>
      </c>
      <c r="D504" s="208"/>
      <c r="E504" s="5"/>
      <c r="F504" s="5"/>
      <c r="G504" s="5"/>
      <c r="H504" s="5"/>
      <c r="I504" s="5"/>
      <c r="J504" s="6" t="s">
        <v>142</v>
      </c>
      <c r="K504" s="6" t="s">
        <v>1131</v>
      </c>
      <c r="L504" s="6"/>
      <c r="M504" s="6">
        <v>1</v>
      </c>
      <c r="N504" s="6" t="s">
        <v>131</v>
      </c>
      <c r="O504" s="5" t="s">
        <v>49</v>
      </c>
      <c r="P504" s="6"/>
      <c r="Q504" s="6" t="s">
        <v>132</v>
      </c>
      <c r="R504" s="7" t="s">
        <v>599</v>
      </c>
      <c r="S504">
        <v>30</v>
      </c>
      <c r="T504">
        <f t="shared" si="22"/>
        <v>0.125</v>
      </c>
    </row>
    <row r="505" spans="1:20" x14ac:dyDescent="0.25">
      <c r="B505" s="765" t="s">
        <v>1403</v>
      </c>
      <c r="C505" s="46" t="s">
        <v>133</v>
      </c>
      <c r="D505" s="207">
        <v>50</v>
      </c>
      <c r="E505" s="2" t="s">
        <v>724</v>
      </c>
      <c r="F505" s="2"/>
      <c r="G505" s="2" t="s">
        <v>724</v>
      </c>
      <c r="H505" s="2" t="s">
        <v>724</v>
      </c>
      <c r="I505" s="2"/>
      <c r="J505" s="3" t="s">
        <v>142</v>
      </c>
      <c r="K505" s="3" t="s">
        <v>1309</v>
      </c>
      <c r="L505" s="3"/>
      <c r="M505" s="3">
        <v>2</v>
      </c>
      <c r="N505" s="3" t="s">
        <v>134</v>
      </c>
      <c r="O505" s="2" t="s">
        <v>49</v>
      </c>
      <c r="P505" s="3" t="s">
        <v>50</v>
      </c>
      <c r="Q505" s="3" t="s">
        <v>135</v>
      </c>
      <c r="R505" s="7" t="s">
        <v>599</v>
      </c>
      <c r="S505">
        <v>30</v>
      </c>
      <c r="T505">
        <f t="shared" si="22"/>
        <v>0.125</v>
      </c>
    </row>
    <row r="506" spans="1:20" x14ac:dyDescent="0.25">
      <c r="B506" s="765" t="s">
        <v>1403</v>
      </c>
      <c r="C506" s="46" t="s">
        <v>879</v>
      </c>
      <c r="D506" s="207"/>
      <c r="E506" s="2"/>
      <c r="F506" s="2"/>
      <c r="G506" s="2"/>
      <c r="H506" s="2"/>
      <c r="I506" s="2"/>
      <c r="J506" s="3" t="s">
        <v>142</v>
      </c>
      <c r="K506" s="3" t="s">
        <v>1131</v>
      </c>
      <c r="L506" s="3"/>
      <c r="M506" s="3">
        <v>2</v>
      </c>
      <c r="N506" s="3" t="s">
        <v>881</v>
      </c>
      <c r="O506" s="2" t="s">
        <v>49</v>
      </c>
      <c r="P506" s="3" t="s">
        <v>50</v>
      </c>
      <c r="Q506" s="3" t="s">
        <v>880</v>
      </c>
      <c r="R506" s="7" t="s">
        <v>599</v>
      </c>
      <c r="S506">
        <v>25</v>
      </c>
      <c r="T506">
        <f t="shared" si="22"/>
        <v>0.125</v>
      </c>
    </row>
    <row r="507" spans="1:20" x14ac:dyDescent="0.25">
      <c r="A507" s="765">
        <v>255</v>
      </c>
      <c r="B507" s="765" t="s">
        <v>1403</v>
      </c>
      <c r="C507" s="47" t="s">
        <v>769</v>
      </c>
      <c r="D507" s="208"/>
      <c r="E507" s="5"/>
      <c r="F507" s="5"/>
      <c r="G507" s="5"/>
      <c r="H507" s="5"/>
      <c r="I507" s="5"/>
      <c r="J507" s="6" t="s">
        <v>142</v>
      </c>
      <c r="K507" s="6" t="s">
        <v>1165</v>
      </c>
      <c r="L507" s="6"/>
      <c r="M507" s="6">
        <v>1</v>
      </c>
      <c r="N507" s="6" t="s">
        <v>579</v>
      </c>
      <c r="O507" s="5" t="s">
        <v>49</v>
      </c>
      <c r="P507" s="6"/>
      <c r="Q507" s="6" t="s">
        <v>864</v>
      </c>
      <c r="R507" s="7" t="s">
        <v>599</v>
      </c>
      <c r="S507">
        <v>30</v>
      </c>
      <c r="T507">
        <f t="shared" si="22"/>
        <v>0.125</v>
      </c>
    </row>
    <row r="508" spans="1:20" x14ac:dyDescent="0.25">
      <c r="A508" s="765">
        <v>125</v>
      </c>
      <c r="B508" s="765" t="s">
        <v>1403</v>
      </c>
      <c r="C508" s="47" t="s">
        <v>136</v>
      </c>
      <c r="D508" s="208"/>
      <c r="E508" s="5"/>
      <c r="F508" s="5"/>
      <c r="G508" s="5"/>
      <c r="H508" s="5"/>
      <c r="I508" s="5"/>
      <c r="J508" s="6" t="s">
        <v>142</v>
      </c>
      <c r="K508" s="6" t="s">
        <v>1130</v>
      </c>
      <c r="L508" s="6"/>
      <c r="M508" s="6">
        <v>1</v>
      </c>
      <c r="N508" s="6" t="s">
        <v>137</v>
      </c>
      <c r="O508" s="5" t="s">
        <v>49</v>
      </c>
      <c r="P508" s="6"/>
      <c r="Q508" s="6" t="s">
        <v>138</v>
      </c>
      <c r="R508" s="7" t="s">
        <v>599</v>
      </c>
      <c r="S508">
        <v>30</v>
      </c>
      <c r="T508">
        <f t="shared" si="22"/>
        <v>0.125</v>
      </c>
    </row>
    <row r="509" spans="1:20" x14ac:dyDescent="0.25">
      <c r="A509" s="765">
        <v>126</v>
      </c>
      <c r="B509" s="765" t="s">
        <v>1403</v>
      </c>
      <c r="C509" s="46" t="s">
        <v>139</v>
      </c>
      <c r="D509" s="207"/>
      <c r="E509" s="2"/>
      <c r="F509" s="2"/>
      <c r="G509" s="2"/>
      <c r="H509" s="2"/>
      <c r="I509" s="2"/>
      <c r="J509" s="3" t="s">
        <v>142</v>
      </c>
      <c r="K509" s="3" t="s">
        <v>1131</v>
      </c>
      <c r="L509" s="3"/>
      <c r="M509" s="3">
        <v>2</v>
      </c>
      <c r="N509" s="3" t="s">
        <v>140</v>
      </c>
      <c r="O509" s="2" t="s">
        <v>49</v>
      </c>
      <c r="P509" s="3"/>
      <c r="Q509" s="3" t="s">
        <v>141</v>
      </c>
      <c r="R509" s="7" t="s">
        <v>599</v>
      </c>
      <c r="S509">
        <v>30</v>
      </c>
      <c r="T509">
        <f t="shared" si="22"/>
        <v>0.125</v>
      </c>
    </row>
    <row r="510" spans="1:20" x14ac:dyDescent="0.25">
      <c r="C510" s="47" t="s">
        <v>877</v>
      </c>
      <c r="D510" s="208"/>
      <c r="E510" s="5"/>
      <c r="F510" s="5"/>
      <c r="G510" s="5"/>
      <c r="H510" s="5"/>
      <c r="I510" s="5"/>
      <c r="J510" s="6" t="s">
        <v>873</v>
      </c>
      <c r="K510" s="6"/>
      <c r="L510" s="6"/>
      <c r="M510" s="6">
        <v>1</v>
      </c>
      <c r="N510" s="6" t="s">
        <v>876</v>
      </c>
      <c r="O510" s="2" t="s">
        <v>49</v>
      </c>
      <c r="P510" s="6"/>
      <c r="Q510" s="6" t="s">
        <v>875</v>
      </c>
      <c r="R510" s="4" t="s">
        <v>582</v>
      </c>
    </row>
    <row r="511" spans="1:20" x14ac:dyDescent="0.25">
      <c r="A511" s="765">
        <v>515</v>
      </c>
      <c r="B511" s="765" t="s">
        <v>1413</v>
      </c>
      <c r="C511" s="47" t="s">
        <v>874</v>
      </c>
      <c r="D511" s="208"/>
      <c r="E511" s="5"/>
      <c r="F511" s="5"/>
      <c r="G511" s="5"/>
      <c r="H511" s="5"/>
      <c r="I511" s="5"/>
      <c r="J511" s="6" t="s">
        <v>873</v>
      </c>
      <c r="K511" s="6"/>
      <c r="L511" s="6"/>
      <c r="M511" s="6">
        <v>1</v>
      </c>
      <c r="N511" s="6" t="s">
        <v>878</v>
      </c>
      <c r="O511" s="2" t="s">
        <v>49</v>
      </c>
      <c r="P511" s="6"/>
      <c r="Q511" s="6" t="s">
        <v>920</v>
      </c>
      <c r="R511" s="4" t="s">
        <v>548</v>
      </c>
    </row>
    <row r="512" spans="1:20" x14ac:dyDescent="0.25">
      <c r="A512" s="765">
        <v>256</v>
      </c>
      <c r="B512" s="765" t="s">
        <v>1414</v>
      </c>
      <c r="C512" s="47" t="s">
        <v>586</v>
      </c>
      <c r="D512" s="208"/>
      <c r="E512" s="5" t="s">
        <v>724</v>
      </c>
      <c r="F512" s="5"/>
      <c r="G512" s="5"/>
      <c r="H512" s="5"/>
      <c r="I512" s="5"/>
      <c r="J512" s="6" t="s">
        <v>584</v>
      </c>
      <c r="K512" s="6"/>
      <c r="L512" s="6"/>
      <c r="M512" s="6">
        <v>1</v>
      </c>
      <c r="N512" s="14" t="s">
        <v>587</v>
      </c>
      <c r="O512" s="15">
        <v>4</v>
      </c>
      <c r="P512" s="6"/>
      <c r="Q512" s="14" t="s">
        <v>587</v>
      </c>
      <c r="R512" s="7" t="s">
        <v>548</v>
      </c>
      <c r="S512">
        <v>25</v>
      </c>
      <c r="T512">
        <v>0.02</v>
      </c>
    </row>
    <row r="513" spans="1:20" x14ac:dyDescent="0.25">
      <c r="A513" s="765">
        <v>156</v>
      </c>
      <c r="B513" s="765" t="s">
        <v>1414</v>
      </c>
      <c r="C513" s="46" t="s">
        <v>583</v>
      </c>
      <c r="D513" s="207"/>
      <c r="E513" s="2"/>
      <c r="F513" s="2"/>
      <c r="G513" s="2"/>
      <c r="H513" s="2"/>
      <c r="I513" s="2"/>
      <c r="J513" s="3" t="s">
        <v>584</v>
      </c>
      <c r="K513" s="3"/>
      <c r="L513" s="3"/>
      <c r="M513" s="3">
        <v>1</v>
      </c>
      <c r="N513" s="32" t="s">
        <v>585</v>
      </c>
      <c r="O513" s="29">
        <v>4</v>
      </c>
      <c r="P513" s="3"/>
      <c r="Q513" s="32" t="s">
        <v>882</v>
      </c>
      <c r="R513" s="4" t="s">
        <v>548</v>
      </c>
      <c r="S513">
        <v>25</v>
      </c>
      <c r="T513">
        <v>0.02</v>
      </c>
    </row>
    <row r="514" spans="1:20" x14ac:dyDescent="0.25">
      <c r="A514" s="765">
        <v>257</v>
      </c>
      <c r="B514" s="765" t="s">
        <v>1414</v>
      </c>
      <c r="C514" s="46" t="s">
        <v>588</v>
      </c>
      <c r="D514" s="207"/>
      <c r="E514" s="2"/>
      <c r="F514" s="2"/>
      <c r="G514" s="2"/>
      <c r="H514" s="2"/>
      <c r="I514" s="2"/>
      <c r="J514" s="3" t="s">
        <v>584</v>
      </c>
      <c r="K514" s="3"/>
      <c r="L514" s="3"/>
      <c r="M514" s="3">
        <v>3</v>
      </c>
      <c r="N514" s="3" t="s">
        <v>739</v>
      </c>
      <c r="O514" s="29">
        <v>4</v>
      </c>
      <c r="P514" s="3"/>
      <c r="Q514" s="36"/>
      <c r="R514" s="4" t="s">
        <v>548</v>
      </c>
      <c r="S514">
        <v>25</v>
      </c>
      <c r="T514">
        <v>0.02</v>
      </c>
    </row>
    <row r="515" spans="1:20" x14ac:dyDescent="0.25">
      <c r="A515" s="765">
        <v>157</v>
      </c>
      <c r="B515" s="765" t="s">
        <v>1414</v>
      </c>
      <c r="C515" s="47" t="s">
        <v>589</v>
      </c>
      <c r="D515" s="208"/>
      <c r="E515" s="5" t="s">
        <v>1178</v>
      </c>
      <c r="F515" s="5" t="s">
        <v>1178</v>
      </c>
      <c r="G515" s="5"/>
      <c r="H515" s="5"/>
      <c r="I515" s="5"/>
      <c r="J515" s="6" t="s">
        <v>584</v>
      </c>
      <c r="K515" s="6"/>
      <c r="L515" s="6"/>
      <c r="M515" s="6">
        <v>2</v>
      </c>
      <c r="N515" s="14" t="s">
        <v>590</v>
      </c>
      <c r="O515" s="15">
        <v>4</v>
      </c>
      <c r="P515" s="6" t="s">
        <v>50</v>
      </c>
      <c r="Q515" s="14" t="s">
        <v>883</v>
      </c>
      <c r="R515" s="7" t="s">
        <v>548</v>
      </c>
      <c r="S515">
        <v>25</v>
      </c>
      <c r="T515">
        <v>0.02</v>
      </c>
    </row>
    <row r="516" spans="1:20" x14ac:dyDescent="0.25">
      <c r="A516" s="765">
        <v>158</v>
      </c>
      <c r="B516" s="765" t="s">
        <v>1414</v>
      </c>
      <c r="C516" s="46" t="s">
        <v>591</v>
      </c>
      <c r="D516" s="207"/>
      <c r="E516" s="2" t="s">
        <v>724</v>
      </c>
      <c r="F516" s="2"/>
      <c r="G516" s="2"/>
      <c r="H516" s="2"/>
      <c r="I516" s="2"/>
      <c r="J516" s="3" t="s">
        <v>584</v>
      </c>
      <c r="K516" s="3"/>
      <c r="L516" s="3"/>
      <c r="M516" s="3">
        <v>2</v>
      </c>
      <c r="N516" s="36" t="s">
        <v>740</v>
      </c>
      <c r="O516" s="29">
        <v>4</v>
      </c>
      <c r="P516" s="3"/>
      <c r="Q516" s="36" t="s">
        <v>918</v>
      </c>
      <c r="R516" s="4" t="s">
        <v>548</v>
      </c>
      <c r="S516">
        <v>25</v>
      </c>
      <c r="T516">
        <v>0.02</v>
      </c>
    </row>
    <row r="517" spans="1:20" x14ac:dyDescent="0.25">
      <c r="A517" s="765">
        <v>159</v>
      </c>
      <c r="B517" s="765" t="s">
        <v>1414</v>
      </c>
      <c r="C517" s="47" t="s">
        <v>592</v>
      </c>
      <c r="D517" s="208"/>
      <c r="E517" s="5" t="s">
        <v>724</v>
      </c>
      <c r="F517" s="5"/>
      <c r="G517" s="5" t="s">
        <v>724</v>
      </c>
      <c r="H517" s="5"/>
      <c r="I517" s="5"/>
      <c r="J517" s="6" t="s">
        <v>584</v>
      </c>
      <c r="K517" s="6"/>
      <c r="L517" s="6"/>
      <c r="M517" s="6">
        <v>2</v>
      </c>
      <c r="N517" s="14" t="s">
        <v>593</v>
      </c>
      <c r="O517" s="15">
        <v>4</v>
      </c>
      <c r="P517" s="6" t="s">
        <v>50</v>
      </c>
      <c r="Q517" s="14" t="s">
        <v>884</v>
      </c>
      <c r="R517" s="7" t="s">
        <v>548</v>
      </c>
      <c r="S517">
        <v>25</v>
      </c>
      <c r="T517">
        <v>0.02</v>
      </c>
    </row>
    <row r="518" spans="1:20" x14ac:dyDescent="0.25">
      <c r="B518" s="765" t="s">
        <v>1414</v>
      </c>
      <c r="C518" s="46" t="s">
        <v>594</v>
      </c>
      <c r="D518" s="207"/>
      <c r="E518" s="2"/>
      <c r="F518" s="2"/>
      <c r="G518" s="2"/>
      <c r="H518" s="2"/>
      <c r="I518" s="2"/>
      <c r="J518" s="3" t="s">
        <v>584</v>
      </c>
      <c r="K518" s="3"/>
      <c r="L518" s="3"/>
      <c r="M518" s="3">
        <v>3</v>
      </c>
      <c r="N518" s="3" t="s">
        <v>741</v>
      </c>
      <c r="O518" s="29">
        <v>4</v>
      </c>
      <c r="P518" s="3"/>
      <c r="Q518" s="36"/>
      <c r="R518" s="4" t="s">
        <v>548</v>
      </c>
      <c r="S518">
        <v>25</v>
      </c>
      <c r="T518">
        <v>0.02</v>
      </c>
    </row>
    <row r="519" spans="1:20" x14ac:dyDescent="0.25">
      <c r="A519" s="765">
        <v>256</v>
      </c>
      <c r="B519" s="765" t="s">
        <v>1415</v>
      </c>
      <c r="C519" s="46" t="s">
        <v>586</v>
      </c>
      <c r="D519" s="207"/>
      <c r="E519" s="2" t="s">
        <v>724</v>
      </c>
      <c r="F519" s="2"/>
      <c r="G519" s="2"/>
      <c r="H519" s="2"/>
      <c r="I519" s="2"/>
      <c r="J519" s="3" t="s">
        <v>595</v>
      </c>
      <c r="K519" s="3"/>
      <c r="L519" s="3"/>
      <c r="M519" s="3">
        <v>1</v>
      </c>
      <c r="N519" s="32" t="s">
        <v>587</v>
      </c>
      <c r="O519" s="29">
        <v>4</v>
      </c>
      <c r="P519" s="3"/>
      <c r="Q519" s="14" t="s">
        <v>587</v>
      </c>
      <c r="R519" s="4" t="s">
        <v>548</v>
      </c>
      <c r="S519">
        <v>30</v>
      </c>
      <c r="T519">
        <f>1/24</f>
        <v>4.1666666666666664E-2</v>
      </c>
    </row>
    <row r="520" spans="1:20" x14ac:dyDescent="0.25">
      <c r="A520" s="765">
        <v>156</v>
      </c>
      <c r="B520" s="765" t="s">
        <v>1415</v>
      </c>
      <c r="C520" s="47" t="s">
        <v>583</v>
      </c>
      <c r="D520" s="208"/>
      <c r="E520" s="5"/>
      <c r="F520" s="5"/>
      <c r="G520" s="5"/>
      <c r="H520" s="5"/>
      <c r="I520" s="5"/>
      <c r="J520" s="6" t="s">
        <v>595</v>
      </c>
      <c r="K520" s="6" t="s">
        <v>1130</v>
      </c>
      <c r="L520" s="6"/>
      <c r="M520" s="6">
        <v>1</v>
      </c>
      <c r="N520" s="14" t="s">
        <v>585</v>
      </c>
      <c r="O520" s="15">
        <v>4</v>
      </c>
      <c r="P520" s="6"/>
      <c r="Q520" s="32" t="s">
        <v>882</v>
      </c>
      <c r="R520" s="7" t="s">
        <v>548</v>
      </c>
      <c r="S520">
        <v>30</v>
      </c>
      <c r="T520">
        <f t="shared" ref="T520:T525" si="23">1/24</f>
        <v>4.1666666666666664E-2</v>
      </c>
    </row>
    <row r="521" spans="1:20" x14ac:dyDescent="0.25">
      <c r="A521" s="765">
        <v>257</v>
      </c>
      <c r="B521" s="765" t="s">
        <v>1415</v>
      </c>
      <c r="C521" s="47" t="s">
        <v>588</v>
      </c>
      <c r="D521" s="208"/>
      <c r="E521" s="5"/>
      <c r="F521" s="5"/>
      <c r="G521" s="5"/>
      <c r="H521" s="5"/>
      <c r="I521" s="5"/>
      <c r="J521" s="6" t="s">
        <v>595</v>
      </c>
      <c r="K521" s="6"/>
      <c r="L521" s="6"/>
      <c r="M521" s="3">
        <v>3</v>
      </c>
      <c r="N521" s="37" t="s">
        <v>739</v>
      </c>
      <c r="O521" s="15">
        <v>4</v>
      </c>
      <c r="P521" s="6"/>
      <c r="Q521" s="36"/>
      <c r="R521" s="7" t="s">
        <v>548</v>
      </c>
      <c r="S521">
        <v>30</v>
      </c>
      <c r="T521">
        <f t="shared" si="23"/>
        <v>4.1666666666666664E-2</v>
      </c>
    </row>
    <row r="522" spans="1:20" x14ac:dyDescent="0.25">
      <c r="A522" s="765">
        <v>157</v>
      </c>
      <c r="B522" s="765" t="s">
        <v>1415</v>
      </c>
      <c r="C522" s="46" t="s">
        <v>589</v>
      </c>
      <c r="D522" s="207"/>
      <c r="E522" s="2" t="s">
        <v>1178</v>
      </c>
      <c r="F522" s="2" t="s">
        <v>1178</v>
      </c>
      <c r="G522" s="2"/>
      <c r="H522" s="2"/>
      <c r="I522" s="2"/>
      <c r="J522" s="3" t="s">
        <v>595</v>
      </c>
      <c r="K522" s="3"/>
      <c r="L522" s="3"/>
      <c r="M522" s="6">
        <v>2</v>
      </c>
      <c r="N522" s="32" t="s">
        <v>590</v>
      </c>
      <c r="O522" s="29">
        <v>4</v>
      </c>
      <c r="P522" s="3" t="s">
        <v>50</v>
      </c>
      <c r="Q522" s="14" t="s">
        <v>883</v>
      </c>
      <c r="R522" s="4" t="s">
        <v>548</v>
      </c>
      <c r="S522">
        <v>30</v>
      </c>
      <c r="T522">
        <f t="shared" si="23"/>
        <v>4.1666666666666664E-2</v>
      </c>
    </row>
    <row r="523" spans="1:20" x14ac:dyDescent="0.25">
      <c r="A523" s="765">
        <v>158</v>
      </c>
      <c r="B523" s="765" t="s">
        <v>1415</v>
      </c>
      <c r="C523" s="47" t="s">
        <v>591</v>
      </c>
      <c r="D523" s="208"/>
      <c r="E523" s="5" t="s">
        <v>724</v>
      </c>
      <c r="F523" s="5"/>
      <c r="G523" s="5"/>
      <c r="H523" s="5"/>
      <c r="I523" s="5"/>
      <c r="J523" s="6" t="s">
        <v>595</v>
      </c>
      <c r="K523" s="6"/>
      <c r="L523" s="6"/>
      <c r="M523" s="3">
        <v>2</v>
      </c>
      <c r="N523" s="37" t="s">
        <v>740</v>
      </c>
      <c r="O523" s="15">
        <v>4</v>
      </c>
      <c r="P523" s="6"/>
      <c r="Q523" s="36" t="s">
        <v>918</v>
      </c>
      <c r="R523" s="7" t="s">
        <v>548</v>
      </c>
      <c r="S523">
        <v>30</v>
      </c>
      <c r="T523">
        <f t="shared" si="23"/>
        <v>4.1666666666666664E-2</v>
      </c>
    </row>
    <row r="524" spans="1:20" x14ac:dyDescent="0.25">
      <c r="A524" s="765">
        <v>159</v>
      </c>
      <c r="B524" s="765" t="s">
        <v>1415</v>
      </c>
      <c r="C524" s="46" t="s">
        <v>592</v>
      </c>
      <c r="D524" s="207"/>
      <c r="E524" s="2" t="s">
        <v>724</v>
      </c>
      <c r="F524" s="2"/>
      <c r="G524" s="2"/>
      <c r="H524" s="2"/>
      <c r="I524" s="2"/>
      <c r="J524" s="3" t="s">
        <v>595</v>
      </c>
      <c r="K524" s="3"/>
      <c r="L524" s="3"/>
      <c r="M524" s="6">
        <v>2</v>
      </c>
      <c r="N524" s="32" t="s">
        <v>593</v>
      </c>
      <c r="O524" s="29">
        <v>4</v>
      </c>
      <c r="P524" s="3" t="s">
        <v>50</v>
      </c>
      <c r="Q524" s="14" t="s">
        <v>884</v>
      </c>
      <c r="R524" s="4" t="s">
        <v>548</v>
      </c>
      <c r="S524">
        <v>30</v>
      </c>
      <c r="T524">
        <f t="shared" si="23"/>
        <v>4.1666666666666664E-2</v>
      </c>
    </row>
    <row r="525" spans="1:20" x14ac:dyDescent="0.25">
      <c r="B525" s="765" t="s">
        <v>1415</v>
      </c>
      <c r="C525" s="47" t="s">
        <v>594</v>
      </c>
      <c r="D525" s="208"/>
      <c r="E525" s="5"/>
      <c r="F525" s="5"/>
      <c r="G525" s="5"/>
      <c r="H525" s="5"/>
      <c r="I525" s="5"/>
      <c r="J525" s="6" t="s">
        <v>595</v>
      </c>
      <c r="K525" s="6"/>
      <c r="L525" s="6"/>
      <c r="M525" s="3">
        <v>3</v>
      </c>
      <c r="N525" s="6" t="s">
        <v>741</v>
      </c>
      <c r="O525" s="15">
        <v>4</v>
      </c>
      <c r="P525" s="6"/>
      <c r="Q525" s="37"/>
      <c r="R525" s="7" t="s">
        <v>548</v>
      </c>
      <c r="S525">
        <v>30</v>
      </c>
      <c r="T525">
        <f t="shared" si="23"/>
        <v>4.1666666666666664E-2</v>
      </c>
    </row>
    <row r="526" spans="1:20" x14ac:dyDescent="0.25">
      <c r="A526" s="765">
        <v>256</v>
      </c>
      <c r="B526" s="765" t="s">
        <v>1405</v>
      </c>
      <c r="C526" s="46" t="s">
        <v>586</v>
      </c>
      <c r="D526" s="207"/>
      <c r="E526" s="2"/>
      <c r="F526" s="2"/>
      <c r="G526" s="2"/>
      <c r="H526" s="2"/>
      <c r="I526" s="2"/>
      <c r="J526" s="3" t="s">
        <v>839</v>
      </c>
      <c r="K526" s="3"/>
      <c r="L526" s="3"/>
      <c r="M526" s="3">
        <v>1</v>
      </c>
      <c r="N526" s="32" t="s">
        <v>587</v>
      </c>
      <c r="O526" s="29">
        <v>4</v>
      </c>
      <c r="P526" s="3"/>
      <c r="Q526" s="14" t="s">
        <v>587</v>
      </c>
      <c r="R526" s="4" t="s">
        <v>548</v>
      </c>
    </row>
    <row r="527" spans="1:20" x14ac:dyDescent="0.25">
      <c r="A527" s="765">
        <v>156</v>
      </c>
      <c r="B527" s="765" t="s">
        <v>1405</v>
      </c>
      <c r="C527" s="47" t="s">
        <v>583</v>
      </c>
      <c r="D527" s="208"/>
      <c r="E527" s="5"/>
      <c r="F527" s="5"/>
      <c r="G527" s="5"/>
      <c r="H527" s="5"/>
      <c r="I527" s="5"/>
      <c r="J527" s="3" t="s">
        <v>839</v>
      </c>
      <c r="K527" s="3"/>
      <c r="L527" s="6"/>
      <c r="M527" s="6">
        <v>1</v>
      </c>
      <c r="N527" s="14" t="s">
        <v>585</v>
      </c>
      <c r="O527" s="15">
        <v>4</v>
      </c>
      <c r="P527" s="6"/>
      <c r="Q527" s="32" t="s">
        <v>882</v>
      </c>
      <c r="R527" s="7" t="s">
        <v>548</v>
      </c>
    </row>
    <row r="528" spans="1:20" x14ac:dyDescent="0.25">
      <c r="A528" s="765">
        <v>257</v>
      </c>
      <c r="B528" s="765" t="s">
        <v>1405</v>
      </c>
      <c r="C528" s="47" t="s">
        <v>588</v>
      </c>
      <c r="D528" s="208"/>
      <c r="E528" s="5"/>
      <c r="F528" s="5"/>
      <c r="G528" s="5"/>
      <c r="H528" s="5"/>
      <c r="I528" s="5"/>
      <c r="J528" s="3" t="s">
        <v>839</v>
      </c>
      <c r="K528" s="3"/>
      <c r="L528" s="6"/>
      <c r="M528" s="3">
        <v>3</v>
      </c>
      <c r="N528" s="37" t="s">
        <v>739</v>
      </c>
      <c r="O528" s="15">
        <v>4</v>
      </c>
      <c r="P528" s="6"/>
      <c r="Q528" s="36"/>
      <c r="R528" s="7" t="s">
        <v>548</v>
      </c>
    </row>
    <row r="529" spans="1:20" x14ac:dyDescent="0.25">
      <c r="A529" s="765">
        <v>157</v>
      </c>
      <c r="B529" s="765" t="s">
        <v>1405</v>
      </c>
      <c r="C529" s="46" t="s">
        <v>589</v>
      </c>
      <c r="D529" s="207"/>
      <c r="E529" s="2"/>
      <c r="F529" s="2"/>
      <c r="G529" s="2"/>
      <c r="H529" s="2"/>
      <c r="I529" s="2"/>
      <c r="J529" s="3" t="s">
        <v>839</v>
      </c>
      <c r="K529" s="3"/>
      <c r="L529" s="3"/>
      <c r="M529" s="6">
        <v>1</v>
      </c>
      <c r="N529" s="32" t="s">
        <v>590</v>
      </c>
      <c r="O529" s="29">
        <v>4</v>
      </c>
      <c r="P529" s="3" t="s">
        <v>50</v>
      </c>
      <c r="Q529" s="14" t="s">
        <v>883</v>
      </c>
      <c r="R529" s="4" t="s">
        <v>548</v>
      </c>
    </row>
    <row r="530" spans="1:20" x14ac:dyDescent="0.25">
      <c r="A530" s="765">
        <v>158</v>
      </c>
      <c r="B530" s="765" t="s">
        <v>1405</v>
      </c>
      <c r="C530" s="47" t="s">
        <v>591</v>
      </c>
      <c r="D530" s="208"/>
      <c r="E530" s="5"/>
      <c r="F530" s="5"/>
      <c r="G530" s="5"/>
      <c r="H530" s="5"/>
      <c r="I530" s="5"/>
      <c r="J530" s="3" t="s">
        <v>839</v>
      </c>
      <c r="K530" s="3"/>
      <c r="L530" s="6"/>
      <c r="M530" s="3">
        <v>2</v>
      </c>
      <c r="N530" s="37" t="s">
        <v>740</v>
      </c>
      <c r="O530" s="15">
        <v>4</v>
      </c>
      <c r="P530" s="6" t="s">
        <v>50</v>
      </c>
      <c r="Q530" s="36" t="s">
        <v>918</v>
      </c>
      <c r="R530" s="7" t="s">
        <v>548</v>
      </c>
    </row>
    <row r="531" spans="1:20" x14ac:dyDescent="0.25">
      <c r="A531" s="765">
        <v>159</v>
      </c>
      <c r="B531" s="765" t="s">
        <v>1405</v>
      </c>
      <c r="C531" s="46" t="s">
        <v>592</v>
      </c>
      <c r="D531" s="207"/>
      <c r="E531" s="2"/>
      <c r="F531" s="2"/>
      <c r="G531" s="2"/>
      <c r="H531" s="2"/>
      <c r="I531" s="2"/>
      <c r="J531" s="3" t="s">
        <v>839</v>
      </c>
      <c r="K531" s="3"/>
      <c r="L531" s="3"/>
      <c r="M531" s="6">
        <v>1</v>
      </c>
      <c r="N531" s="32" t="s">
        <v>593</v>
      </c>
      <c r="O531" s="29">
        <v>4</v>
      </c>
      <c r="P531" s="3"/>
      <c r="Q531" s="14" t="s">
        <v>884</v>
      </c>
      <c r="R531" s="4" t="s">
        <v>548</v>
      </c>
    </row>
    <row r="532" spans="1:20" x14ac:dyDescent="0.25">
      <c r="B532" s="765" t="s">
        <v>1405</v>
      </c>
      <c r="C532" s="47" t="s">
        <v>594</v>
      </c>
      <c r="D532" s="208"/>
      <c r="E532" s="5"/>
      <c r="F532" s="5"/>
      <c r="G532" s="5"/>
      <c r="H532" s="5"/>
      <c r="I532" s="5"/>
      <c r="J532" s="3" t="s">
        <v>839</v>
      </c>
      <c r="K532" s="3"/>
      <c r="L532" s="6"/>
      <c r="M532" s="3">
        <v>3</v>
      </c>
      <c r="N532" s="6" t="s">
        <v>741</v>
      </c>
      <c r="O532" s="15">
        <v>4</v>
      </c>
      <c r="P532" s="6"/>
      <c r="Q532" s="37"/>
      <c r="R532" s="7" t="s">
        <v>548</v>
      </c>
    </row>
    <row r="533" spans="1:20" x14ac:dyDescent="0.25">
      <c r="A533" s="765">
        <v>256</v>
      </c>
      <c r="B533" s="765" t="s">
        <v>1406</v>
      </c>
      <c r="C533" s="48" t="s">
        <v>586</v>
      </c>
      <c r="D533" s="209"/>
      <c r="E533" s="5"/>
      <c r="F533" s="5"/>
      <c r="G533" s="5"/>
      <c r="H533" s="5"/>
      <c r="I533" s="5"/>
      <c r="J533" s="6" t="s">
        <v>596</v>
      </c>
      <c r="K533" s="6"/>
      <c r="L533" s="6"/>
      <c r="M533" s="6">
        <v>1</v>
      </c>
      <c r="N533" s="14" t="s">
        <v>587</v>
      </c>
      <c r="O533" s="15">
        <v>4</v>
      </c>
      <c r="P533" s="6"/>
      <c r="Q533" s="14" t="s">
        <v>587</v>
      </c>
      <c r="R533" s="7" t="s">
        <v>548</v>
      </c>
    </row>
    <row r="534" spans="1:20" x14ac:dyDescent="0.25">
      <c r="A534" s="765">
        <v>156</v>
      </c>
      <c r="B534" s="765" t="s">
        <v>1406</v>
      </c>
      <c r="C534" s="49" t="s">
        <v>583</v>
      </c>
      <c r="D534" s="210"/>
      <c r="E534" s="2"/>
      <c r="F534" s="2"/>
      <c r="G534" s="2"/>
      <c r="H534" s="2"/>
      <c r="I534" s="2"/>
      <c r="J534" s="3" t="s">
        <v>596</v>
      </c>
      <c r="K534" s="3"/>
      <c r="L534" s="3"/>
      <c r="M534" s="6">
        <v>1</v>
      </c>
      <c r="N534" s="32" t="s">
        <v>585</v>
      </c>
      <c r="O534" s="29">
        <v>4</v>
      </c>
      <c r="P534" s="3"/>
      <c r="Q534" s="32" t="s">
        <v>882</v>
      </c>
      <c r="R534" s="4" t="s">
        <v>548</v>
      </c>
    </row>
    <row r="535" spans="1:20" x14ac:dyDescent="0.25">
      <c r="A535" s="765">
        <v>257</v>
      </c>
      <c r="B535" s="765" t="s">
        <v>1406</v>
      </c>
      <c r="C535" s="49" t="s">
        <v>588</v>
      </c>
      <c r="D535" s="210"/>
      <c r="E535" s="2"/>
      <c r="F535" s="2"/>
      <c r="G535" s="2"/>
      <c r="H535" s="2"/>
      <c r="I535" s="2"/>
      <c r="J535" s="3" t="s">
        <v>596</v>
      </c>
      <c r="K535" s="3"/>
      <c r="L535" s="3"/>
      <c r="M535" s="3">
        <v>3</v>
      </c>
      <c r="N535" s="37" t="s">
        <v>739</v>
      </c>
      <c r="O535" s="29">
        <v>4</v>
      </c>
      <c r="P535" s="3"/>
      <c r="Q535" s="36"/>
      <c r="R535" s="4" t="s">
        <v>548</v>
      </c>
    </row>
    <row r="536" spans="1:20" x14ac:dyDescent="0.25">
      <c r="A536" s="765">
        <v>157</v>
      </c>
      <c r="B536" s="765" t="s">
        <v>1406</v>
      </c>
      <c r="C536" s="48" t="s">
        <v>589</v>
      </c>
      <c r="D536" s="209"/>
      <c r="E536" s="5"/>
      <c r="F536" s="5"/>
      <c r="G536" s="5"/>
      <c r="H536" s="5"/>
      <c r="I536" s="5"/>
      <c r="J536" s="6" t="s">
        <v>596</v>
      </c>
      <c r="K536" s="6"/>
      <c r="L536" s="6"/>
      <c r="M536" s="6">
        <v>1</v>
      </c>
      <c r="N536" s="14" t="s">
        <v>590</v>
      </c>
      <c r="O536" s="15">
        <v>4</v>
      </c>
      <c r="P536" s="6" t="s">
        <v>50</v>
      </c>
      <c r="Q536" s="14" t="s">
        <v>883</v>
      </c>
      <c r="R536" s="7" t="s">
        <v>548</v>
      </c>
    </row>
    <row r="537" spans="1:20" x14ac:dyDescent="0.25">
      <c r="A537" s="765">
        <v>158</v>
      </c>
      <c r="B537" s="765" t="s">
        <v>1406</v>
      </c>
      <c r="C537" s="49" t="s">
        <v>591</v>
      </c>
      <c r="D537" s="210"/>
      <c r="E537" s="2"/>
      <c r="F537" s="2"/>
      <c r="G537" s="2"/>
      <c r="H537" s="2"/>
      <c r="I537" s="2"/>
      <c r="J537" s="3" t="s">
        <v>596</v>
      </c>
      <c r="K537" s="3"/>
      <c r="L537" s="3"/>
      <c r="M537" s="3">
        <v>2</v>
      </c>
      <c r="N537" s="37" t="s">
        <v>740</v>
      </c>
      <c r="O537" s="29">
        <v>4</v>
      </c>
      <c r="P537" s="3" t="s">
        <v>50</v>
      </c>
      <c r="Q537" s="36" t="s">
        <v>918</v>
      </c>
      <c r="R537" s="4" t="s">
        <v>548</v>
      </c>
    </row>
    <row r="538" spans="1:20" x14ac:dyDescent="0.25">
      <c r="A538" s="765">
        <v>159</v>
      </c>
      <c r="B538" s="765" t="s">
        <v>1406</v>
      </c>
      <c r="C538" s="48" t="s">
        <v>592</v>
      </c>
      <c r="D538" s="209"/>
      <c r="E538" s="5"/>
      <c r="F538" s="5"/>
      <c r="G538" s="5"/>
      <c r="H538" s="5"/>
      <c r="I538" s="5"/>
      <c r="J538" s="6" t="s">
        <v>596</v>
      </c>
      <c r="K538" s="6"/>
      <c r="L538" s="6"/>
      <c r="M538" s="6">
        <v>1</v>
      </c>
      <c r="N538" s="14" t="s">
        <v>593</v>
      </c>
      <c r="O538" s="15">
        <v>4</v>
      </c>
      <c r="P538" s="6" t="s">
        <v>50</v>
      </c>
      <c r="Q538" s="14" t="s">
        <v>884</v>
      </c>
      <c r="R538" s="7" t="s">
        <v>548</v>
      </c>
    </row>
    <row r="539" spans="1:20" x14ac:dyDescent="0.25">
      <c r="B539" s="765" t="s">
        <v>1406</v>
      </c>
      <c r="C539" s="49" t="s">
        <v>594</v>
      </c>
      <c r="D539" s="210"/>
      <c r="E539" s="2"/>
      <c r="F539" s="2"/>
      <c r="G539" s="2"/>
      <c r="H539" s="2"/>
      <c r="I539" s="2"/>
      <c r="J539" s="3" t="s">
        <v>596</v>
      </c>
      <c r="K539" s="3"/>
      <c r="L539" s="3"/>
      <c r="M539" s="3">
        <v>3</v>
      </c>
      <c r="N539" s="6" t="s">
        <v>741</v>
      </c>
      <c r="O539" s="29">
        <v>4</v>
      </c>
      <c r="P539" s="3"/>
      <c r="Q539" s="36"/>
      <c r="R539" s="4" t="s">
        <v>548</v>
      </c>
    </row>
    <row r="540" spans="1:20" ht="15" customHeight="1" x14ac:dyDescent="0.25">
      <c r="C540" s="49"/>
      <c r="D540" s="210"/>
      <c r="E540" s="2"/>
      <c r="F540" s="2"/>
      <c r="G540" s="2"/>
      <c r="H540" s="2"/>
      <c r="I540" s="2"/>
      <c r="J540" s="3"/>
      <c r="K540" s="3"/>
      <c r="L540" s="3"/>
      <c r="M540" s="3">
        <v>1</v>
      </c>
      <c r="N540" s="36"/>
      <c r="O540" s="29"/>
      <c r="P540" s="3"/>
      <c r="Q540" s="36"/>
      <c r="R540" s="4"/>
    </row>
    <row r="541" spans="1:20" ht="15" customHeight="1" x14ac:dyDescent="0.25">
      <c r="A541" s="765">
        <v>159</v>
      </c>
      <c r="B541" s="765" t="s">
        <v>1408</v>
      </c>
      <c r="C541" s="49" t="s">
        <v>851</v>
      </c>
      <c r="D541" s="210"/>
      <c r="E541" s="2"/>
      <c r="F541" s="2"/>
      <c r="G541" s="2"/>
      <c r="H541" s="2"/>
      <c r="I541" s="2"/>
      <c r="J541" s="3" t="s">
        <v>850</v>
      </c>
      <c r="K541" s="3"/>
      <c r="L541" s="3"/>
      <c r="M541" s="3"/>
      <c r="N541" s="14" t="s">
        <v>593</v>
      </c>
      <c r="O541" s="15">
        <v>4</v>
      </c>
      <c r="P541" s="3"/>
      <c r="Q541" s="14" t="s">
        <v>884</v>
      </c>
      <c r="R541" s="4" t="s">
        <v>548</v>
      </c>
    </row>
    <row r="542" spans="1:20" ht="15" customHeight="1" x14ac:dyDescent="0.25">
      <c r="C542" s="49" t="s">
        <v>852</v>
      </c>
      <c r="D542" s="210"/>
      <c r="E542" s="2"/>
      <c r="F542" s="2"/>
      <c r="G542" s="2"/>
      <c r="H542" s="2"/>
      <c r="I542" s="2"/>
      <c r="J542" s="3" t="s">
        <v>850</v>
      </c>
      <c r="K542" s="3"/>
      <c r="L542" s="3"/>
      <c r="M542" s="3"/>
      <c r="N542" s="14" t="s">
        <v>590</v>
      </c>
      <c r="O542" s="15">
        <v>4</v>
      </c>
      <c r="P542" s="3" t="s">
        <v>50</v>
      </c>
      <c r="Q542" s="14" t="s">
        <v>991</v>
      </c>
      <c r="R542" s="4" t="s">
        <v>548</v>
      </c>
    </row>
    <row r="543" spans="1:20" ht="15" customHeight="1" x14ac:dyDescent="0.25">
      <c r="C543" s="49"/>
      <c r="D543" s="210"/>
      <c r="E543" s="2"/>
      <c r="F543" s="2"/>
      <c r="G543" s="2"/>
      <c r="H543" s="2"/>
      <c r="I543" s="2"/>
      <c r="J543" s="3"/>
      <c r="K543" s="3"/>
      <c r="L543" s="3"/>
      <c r="M543" s="3"/>
      <c r="N543" s="36"/>
      <c r="O543" s="29"/>
      <c r="P543" s="3"/>
      <c r="Q543" s="36"/>
      <c r="R543" s="4"/>
    </row>
    <row r="544" spans="1:20" ht="15" customHeight="1" x14ac:dyDescent="0.25">
      <c r="A544" s="765">
        <v>259</v>
      </c>
      <c r="B544" s="765" t="s">
        <v>1416</v>
      </c>
      <c r="C544" s="47" t="s">
        <v>597</v>
      </c>
      <c r="D544" s="208"/>
      <c r="E544" s="5" t="s">
        <v>724</v>
      </c>
      <c r="F544" s="5"/>
      <c r="G544" s="5" t="s">
        <v>724</v>
      </c>
      <c r="H544" s="5"/>
      <c r="I544" s="5"/>
      <c r="J544" s="6" t="s">
        <v>598</v>
      </c>
      <c r="K544" s="6"/>
      <c r="L544" s="6"/>
      <c r="M544" s="6">
        <v>1</v>
      </c>
      <c r="N544" s="6"/>
      <c r="O544" s="15">
        <v>4</v>
      </c>
      <c r="P544" s="6"/>
      <c r="Q544" s="6" t="s">
        <v>993</v>
      </c>
      <c r="R544" s="7" t="s">
        <v>665</v>
      </c>
      <c r="S544">
        <v>25</v>
      </c>
      <c r="T544">
        <v>0.1</v>
      </c>
    </row>
    <row r="545" spans="1:20" ht="15" customHeight="1" x14ac:dyDescent="0.25">
      <c r="A545" s="765">
        <v>164</v>
      </c>
      <c r="B545" s="765" t="s">
        <v>1416</v>
      </c>
      <c r="C545" s="46" t="s">
        <v>204</v>
      </c>
      <c r="D545" s="207"/>
      <c r="E545" s="2" t="s">
        <v>724</v>
      </c>
      <c r="F545" s="2"/>
      <c r="G545" s="2" t="s">
        <v>724</v>
      </c>
      <c r="H545" s="2"/>
      <c r="I545" s="2"/>
      <c r="J545" s="3" t="s">
        <v>598</v>
      </c>
      <c r="K545" s="3"/>
      <c r="L545" s="3"/>
      <c r="M545" s="3">
        <v>1</v>
      </c>
      <c r="N545" s="3"/>
      <c r="O545" s="29">
        <v>4</v>
      </c>
      <c r="P545" s="3"/>
      <c r="Q545" s="6" t="s">
        <v>993</v>
      </c>
      <c r="R545" s="7" t="s">
        <v>665</v>
      </c>
      <c r="S545">
        <v>25</v>
      </c>
      <c r="T545">
        <v>0.1</v>
      </c>
    </row>
    <row r="546" spans="1:20" ht="15" customHeight="1" x14ac:dyDescent="0.25">
      <c r="A546" s="765">
        <v>162</v>
      </c>
      <c r="B546" s="765" t="s">
        <v>1416</v>
      </c>
      <c r="C546" s="47" t="s">
        <v>205</v>
      </c>
      <c r="D546" s="208"/>
      <c r="E546" s="5" t="s">
        <v>724</v>
      </c>
      <c r="F546" s="5"/>
      <c r="G546" s="5" t="s">
        <v>724</v>
      </c>
      <c r="H546" s="5"/>
      <c r="I546" s="5"/>
      <c r="J546" s="6" t="s">
        <v>598</v>
      </c>
      <c r="K546" s="6"/>
      <c r="L546" s="6"/>
      <c r="M546" s="6">
        <v>1</v>
      </c>
      <c r="N546" s="6"/>
      <c r="O546" s="15">
        <v>4</v>
      </c>
      <c r="P546" s="6"/>
      <c r="Q546" s="6" t="s">
        <v>993</v>
      </c>
      <c r="R546" s="7" t="s">
        <v>665</v>
      </c>
      <c r="S546">
        <v>25</v>
      </c>
      <c r="T546">
        <v>0.1</v>
      </c>
    </row>
    <row r="547" spans="1:20" ht="15" customHeight="1" x14ac:dyDescent="0.25">
      <c r="A547" s="765">
        <v>163</v>
      </c>
      <c r="B547" s="765" t="s">
        <v>1416</v>
      </c>
      <c r="C547" s="46" t="s">
        <v>206</v>
      </c>
      <c r="D547" s="207"/>
      <c r="E547" s="2" t="s">
        <v>724</v>
      </c>
      <c r="F547" s="2"/>
      <c r="G547" s="2" t="s">
        <v>724</v>
      </c>
      <c r="H547" s="2"/>
      <c r="I547" s="2"/>
      <c r="J547" s="3" t="s">
        <v>598</v>
      </c>
      <c r="K547" s="3"/>
      <c r="L547" s="3"/>
      <c r="M547" s="3">
        <v>1</v>
      </c>
      <c r="N547" s="3"/>
      <c r="O547" s="29">
        <v>4</v>
      </c>
      <c r="P547" s="3"/>
      <c r="Q547" s="6" t="s">
        <v>993</v>
      </c>
      <c r="R547" s="7" t="s">
        <v>665</v>
      </c>
      <c r="S547">
        <v>25</v>
      </c>
      <c r="T547">
        <v>0.1</v>
      </c>
    </row>
    <row r="548" spans="1:20" ht="15" customHeight="1" x14ac:dyDescent="0.25">
      <c r="A548" s="765">
        <v>165</v>
      </c>
      <c r="B548" s="765" t="s">
        <v>1416</v>
      </c>
      <c r="C548" s="46" t="s">
        <v>207</v>
      </c>
      <c r="D548" s="207"/>
      <c r="E548" s="5" t="s">
        <v>724</v>
      </c>
      <c r="F548" s="5"/>
      <c r="G548" s="5" t="s">
        <v>724</v>
      </c>
      <c r="H548" s="5" t="s">
        <v>724</v>
      </c>
      <c r="I548" s="5"/>
      <c r="J548" s="6" t="s">
        <v>598</v>
      </c>
      <c r="K548" s="6"/>
      <c r="L548" s="6"/>
      <c r="M548" s="6">
        <v>1</v>
      </c>
      <c r="N548" s="6"/>
      <c r="O548" s="15">
        <v>4</v>
      </c>
      <c r="P548" s="6"/>
      <c r="Q548" s="6" t="s">
        <v>993</v>
      </c>
      <c r="R548" s="7" t="s">
        <v>665</v>
      </c>
      <c r="S548">
        <v>25</v>
      </c>
      <c r="T548">
        <v>0.1</v>
      </c>
    </row>
    <row r="549" spans="1:20" ht="15" customHeight="1" x14ac:dyDescent="0.25">
      <c r="A549" s="765">
        <v>161</v>
      </c>
      <c r="B549" s="765" t="s">
        <v>1416</v>
      </c>
      <c r="C549" s="46" t="s">
        <v>600</v>
      </c>
      <c r="D549" s="207"/>
      <c r="E549" s="2" t="s">
        <v>724</v>
      </c>
      <c r="F549" s="2"/>
      <c r="G549" s="2" t="s">
        <v>724</v>
      </c>
      <c r="H549" s="2"/>
      <c r="I549" s="2"/>
      <c r="J549" s="3" t="s">
        <v>598</v>
      </c>
      <c r="K549" s="3"/>
      <c r="L549" s="3"/>
      <c r="M549" s="3">
        <v>1</v>
      </c>
      <c r="N549" s="3"/>
      <c r="O549" s="29">
        <v>4</v>
      </c>
      <c r="P549" s="3"/>
      <c r="Q549" s="6" t="s">
        <v>993</v>
      </c>
      <c r="R549" s="7" t="s">
        <v>665</v>
      </c>
      <c r="S549">
        <v>25</v>
      </c>
      <c r="T549">
        <v>0.1</v>
      </c>
    </row>
    <row r="550" spans="1:20" ht="15" customHeight="1" x14ac:dyDescent="0.25">
      <c r="A550" s="765">
        <v>260</v>
      </c>
      <c r="B550" s="765" t="s">
        <v>1416</v>
      </c>
      <c r="C550" s="47" t="s">
        <v>601</v>
      </c>
      <c r="D550" s="208"/>
      <c r="E550" s="5"/>
      <c r="F550" s="5"/>
      <c r="G550" s="5"/>
      <c r="H550" s="5"/>
      <c r="I550" s="5"/>
      <c r="J550" s="6" t="s">
        <v>598</v>
      </c>
      <c r="K550" s="6"/>
      <c r="L550" s="6"/>
      <c r="M550" s="6">
        <v>1</v>
      </c>
      <c r="N550" s="6"/>
      <c r="O550" s="15">
        <v>4</v>
      </c>
      <c r="P550" s="6"/>
      <c r="Q550" s="6" t="s">
        <v>993</v>
      </c>
      <c r="R550" s="7" t="s">
        <v>665</v>
      </c>
      <c r="S550">
        <v>25</v>
      </c>
      <c r="T550">
        <v>0.1</v>
      </c>
    </row>
    <row r="551" spans="1:20" ht="15" customHeight="1" x14ac:dyDescent="0.25">
      <c r="A551" s="765">
        <v>259</v>
      </c>
      <c r="B551" s="765" t="s">
        <v>1416</v>
      </c>
      <c r="C551" s="46" t="s">
        <v>597</v>
      </c>
      <c r="D551" s="207"/>
      <c r="E551" s="2"/>
      <c r="F551" s="2"/>
      <c r="G551" s="2"/>
      <c r="H551" s="2"/>
      <c r="I551" s="2"/>
      <c r="J551" s="3" t="s">
        <v>602</v>
      </c>
      <c r="K551" s="3"/>
      <c r="L551" s="3"/>
      <c r="M551" s="3">
        <v>1</v>
      </c>
      <c r="N551" s="3"/>
      <c r="O551" s="29">
        <v>4</v>
      </c>
      <c r="P551" s="3"/>
      <c r="Q551" s="6" t="s">
        <v>993</v>
      </c>
      <c r="R551" s="7" t="s">
        <v>665</v>
      </c>
      <c r="S551">
        <v>25</v>
      </c>
      <c r="T551">
        <v>0.1</v>
      </c>
    </row>
    <row r="552" spans="1:20" ht="15" customHeight="1" x14ac:dyDescent="0.25">
      <c r="A552" s="765">
        <v>164</v>
      </c>
      <c r="B552" s="765" t="s">
        <v>1416</v>
      </c>
      <c r="C552" s="47" t="s">
        <v>204</v>
      </c>
      <c r="D552" s="208"/>
      <c r="E552" s="5"/>
      <c r="F552" s="5"/>
      <c r="G552" s="5"/>
      <c r="H552" s="5"/>
      <c r="I552" s="5"/>
      <c r="J552" s="6" t="s">
        <v>602</v>
      </c>
      <c r="K552" s="6"/>
      <c r="L552" s="6"/>
      <c r="M552" s="6">
        <v>1</v>
      </c>
      <c r="N552" s="6"/>
      <c r="O552" s="15">
        <v>4</v>
      </c>
      <c r="P552" s="6"/>
      <c r="Q552" s="6" t="s">
        <v>993</v>
      </c>
      <c r="R552" s="7" t="s">
        <v>665</v>
      </c>
      <c r="S552">
        <v>25</v>
      </c>
      <c r="T552">
        <v>0.1</v>
      </c>
    </row>
    <row r="553" spans="1:20" ht="15" customHeight="1" x14ac:dyDescent="0.25">
      <c r="A553" s="765">
        <v>162</v>
      </c>
      <c r="B553" s="765" t="s">
        <v>1416</v>
      </c>
      <c r="C553" s="46" t="s">
        <v>205</v>
      </c>
      <c r="D553" s="207"/>
      <c r="E553" s="2"/>
      <c r="F553" s="2"/>
      <c r="G553" s="2"/>
      <c r="H553" s="2"/>
      <c r="I553" s="2"/>
      <c r="J553" s="3" t="s">
        <v>602</v>
      </c>
      <c r="K553" s="3"/>
      <c r="L553" s="3"/>
      <c r="M553" s="3">
        <v>1</v>
      </c>
      <c r="N553" s="3"/>
      <c r="O553" s="29">
        <v>4</v>
      </c>
      <c r="P553" s="3"/>
      <c r="Q553" s="6" t="s">
        <v>993</v>
      </c>
      <c r="R553" s="7" t="s">
        <v>665</v>
      </c>
      <c r="S553">
        <v>25</v>
      </c>
      <c r="T553">
        <v>0.1</v>
      </c>
    </row>
    <row r="554" spans="1:20" ht="15" customHeight="1" x14ac:dyDescent="0.25">
      <c r="A554" s="765">
        <v>163</v>
      </c>
      <c r="B554" s="765" t="s">
        <v>1416</v>
      </c>
      <c r="C554" s="47" t="s">
        <v>206</v>
      </c>
      <c r="D554" s="208"/>
      <c r="E554" s="5"/>
      <c r="F554" s="5"/>
      <c r="G554" s="5"/>
      <c r="H554" s="5"/>
      <c r="I554" s="5"/>
      <c r="J554" s="6" t="s">
        <v>602</v>
      </c>
      <c r="K554" s="6"/>
      <c r="L554" s="6"/>
      <c r="M554" s="6">
        <v>1</v>
      </c>
      <c r="N554" s="6"/>
      <c r="O554" s="15">
        <v>4</v>
      </c>
      <c r="P554" s="6"/>
      <c r="Q554" s="6" t="s">
        <v>993</v>
      </c>
      <c r="R554" s="7" t="s">
        <v>665</v>
      </c>
      <c r="S554">
        <v>25</v>
      </c>
      <c r="T554">
        <v>0.1</v>
      </c>
    </row>
    <row r="555" spans="1:20" ht="15" customHeight="1" x14ac:dyDescent="0.25">
      <c r="A555" s="765">
        <v>165</v>
      </c>
      <c r="B555" s="765" t="s">
        <v>1416</v>
      </c>
      <c r="C555" s="46" t="s">
        <v>207</v>
      </c>
      <c r="D555" s="207"/>
      <c r="E555" s="2"/>
      <c r="F555" s="2"/>
      <c r="G555" s="2"/>
      <c r="H555" s="2"/>
      <c r="I555" s="2"/>
      <c r="J555" s="3" t="s">
        <v>602</v>
      </c>
      <c r="K555" s="3"/>
      <c r="L555" s="3"/>
      <c r="M555" s="3">
        <v>1</v>
      </c>
      <c r="N555" s="3"/>
      <c r="O555" s="29">
        <v>4</v>
      </c>
      <c r="P555" s="3"/>
      <c r="Q555" s="6" t="s">
        <v>993</v>
      </c>
      <c r="R555" s="7" t="s">
        <v>665</v>
      </c>
      <c r="S555">
        <v>25</v>
      </c>
      <c r="T555">
        <v>0.1</v>
      </c>
    </row>
    <row r="556" spans="1:20" ht="15" customHeight="1" x14ac:dyDescent="0.25">
      <c r="A556" s="765">
        <v>161</v>
      </c>
      <c r="B556" s="765" t="s">
        <v>1416</v>
      </c>
      <c r="C556" s="47" t="s">
        <v>600</v>
      </c>
      <c r="D556" s="208"/>
      <c r="E556" s="5"/>
      <c r="F556" s="5"/>
      <c r="G556" s="5"/>
      <c r="H556" s="5"/>
      <c r="I556" s="5"/>
      <c r="J556" s="6" t="s">
        <v>602</v>
      </c>
      <c r="K556" s="6"/>
      <c r="L556" s="6"/>
      <c r="M556" s="6">
        <v>1</v>
      </c>
      <c r="N556" s="6"/>
      <c r="O556" s="15">
        <v>4</v>
      </c>
      <c r="P556" s="6"/>
      <c r="Q556" s="6" t="s">
        <v>993</v>
      </c>
      <c r="R556" s="7" t="s">
        <v>665</v>
      </c>
      <c r="S556">
        <v>25</v>
      </c>
      <c r="T556">
        <v>0.1</v>
      </c>
    </row>
    <row r="557" spans="1:20" ht="15" customHeight="1" x14ac:dyDescent="0.25">
      <c r="A557" s="765">
        <v>260</v>
      </c>
      <c r="B557" s="765" t="s">
        <v>1416</v>
      </c>
      <c r="C557" s="47" t="s">
        <v>601</v>
      </c>
      <c r="D557" s="208"/>
      <c r="E557" s="2"/>
      <c r="F557" s="2"/>
      <c r="G557" s="2"/>
      <c r="H557" s="2"/>
      <c r="I557" s="2"/>
      <c r="J557" s="3" t="s">
        <v>602</v>
      </c>
      <c r="K557" s="3"/>
      <c r="L557" s="3"/>
      <c r="M557" s="3">
        <v>1</v>
      </c>
      <c r="N557" s="3"/>
      <c r="O557" s="29">
        <v>4</v>
      </c>
      <c r="P557" s="3"/>
      <c r="Q557" s="6" t="s">
        <v>993</v>
      </c>
      <c r="R557" s="7" t="s">
        <v>665</v>
      </c>
      <c r="S557">
        <v>25</v>
      </c>
      <c r="T557">
        <v>0.1</v>
      </c>
    </row>
    <row r="558" spans="1:20" ht="15" customHeight="1" x14ac:dyDescent="0.25">
      <c r="A558" s="765">
        <v>265</v>
      </c>
      <c r="B558" s="765" t="s">
        <v>1417</v>
      </c>
      <c r="C558" s="47" t="s">
        <v>603</v>
      </c>
      <c r="D558" s="208"/>
      <c r="E558" s="5" t="s">
        <v>724</v>
      </c>
      <c r="F558" s="5"/>
      <c r="G558" s="5"/>
      <c r="H558" s="5"/>
      <c r="I558" s="5"/>
      <c r="J558" s="6" t="s">
        <v>604</v>
      </c>
      <c r="K558" s="6"/>
      <c r="L558" s="6"/>
      <c r="M558" s="6">
        <v>1</v>
      </c>
      <c r="N558" s="6"/>
      <c r="O558" s="15">
        <v>4</v>
      </c>
      <c r="P558" s="6"/>
      <c r="Q558" s="6" t="s">
        <v>993</v>
      </c>
      <c r="R558" s="7" t="s">
        <v>599</v>
      </c>
      <c r="S558">
        <v>25</v>
      </c>
      <c r="T558">
        <f>3/50</f>
        <v>0.06</v>
      </c>
    </row>
    <row r="559" spans="1:20" ht="15" customHeight="1" x14ac:dyDescent="0.25">
      <c r="A559" s="765">
        <v>174</v>
      </c>
      <c r="B559" s="765" t="s">
        <v>1417</v>
      </c>
      <c r="C559" s="46" t="s">
        <v>605</v>
      </c>
      <c r="D559" s="207"/>
      <c r="E559" s="2"/>
      <c r="F559" s="2"/>
      <c r="G559" s="2"/>
      <c r="H559" s="2"/>
      <c r="I559" s="2"/>
      <c r="J559" s="3" t="s">
        <v>604</v>
      </c>
      <c r="K559" s="3"/>
      <c r="L559" s="3"/>
      <c r="M559" s="3">
        <v>1</v>
      </c>
      <c r="N559" s="3"/>
      <c r="O559" s="29">
        <v>4</v>
      </c>
      <c r="P559" s="3" t="s">
        <v>50</v>
      </c>
      <c r="Q559" s="3" t="s">
        <v>889</v>
      </c>
      <c r="R559" s="4" t="s">
        <v>599</v>
      </c>
      <c r="S559">
        <v>25</v>
      </c>
      <c r="T559">
        <f t="shared" ref="T559:T605" si="24">3/50</f>
        <v>0.06</v>
      </c>
    </row>
    <row r="560" spans="1:20" ht="15" customHeight="1" x14ac:dyDescent="0.25">
      <c r="A560" s="765">
        <v>175</v>
      </c>
      <c r="B560" s="765" t="s">
        <v>1417</v>
      </c>
      <c r="C560" s="47" t="s">
        <v>606</v>
      </c>
      <c r="D560" s="208"/>
      <c r="E560" s="5"/>
      <c r="F560" s="5"/>
      <c r="G560" s="5"/>
      <c r="H560" s="5"/>
      <c r="I560" s="5"/>
      <c r="J560" s="6" t="s">
        <v>604</v>
      </c>
      <c r="K560" s="6"/>
      <c r="L560" s="6"/>
      <c r="M560" s="6">
        <v>1</v>
      </c>
      <c r="N560" s="6"/>
      <c r="O560" s="15">
        <v>4</v>
      </c>
      <c r="P560" s="6"/>
      <c r="Q560" s="6" t="s">
        <v>890</v>
      </c>
      <c r="R560" s="7" t="s">
        <v>599</v>
      </c>
      <c r="S560">
        <v>25</v>
      </c>
      <c r="T560">
        <f t="shared" si="24"/>
        <v>0.06</v>
      </c>
    </row>
    <row r="561" spans="1:20" ht="15" customHeight="1" x14ac:dyDescent="0.25">
      <c r="A561" s="765">
        <v>176</v>
      </c>
      <c r="B561" s="765" t="s">
        <v>1417</v>
      </c>
      <c r="C561" s="46" t="s">
        <v>607</v>
      </c>
      <c r="D561" s="207"/>
      <c r="E561" s="2" t="s">
        <v>724</v>
      </c>
      <c r="F561" s="2"/>
      <c r="G561" s="2"/>
      <c r="H561" s="2"/>
      <c r="I561" s="2"/>
      <c r="J561" s="3" t="s">
        <v>604</v>
      </c>
      <c r="K561" s="3"/>
      <c r="L561" s="3"/>
      <c r="M561" s="3">
        <v>1</v>
      </c>
      <c r="N561" s="3"/>
      <c r="O561" s="29">
        <v>4</v>
      </c>
      <c r="P561" s="3"/>
      <c r="Q561" s="3" t="s">
        <v>903</v>
      </c>
      <c r="R561" s="4" t="s">
        <v>599</v>
      </c>
      <c r="S561">
        <v>25</v>
      </c>
      <c r="T561">
        <f t="shared" si="24"/>
        <v>0.06</v>
      </c>
    </row>
    <row r="562" spans="1:20" ht="15" customHeight="1" x14ac:dyDescent="0.25">
      <c r="A562" s="765">
        <v>178</v>
      </c>
      <c r="B562" s="765" t="s">
        <v>1417</v>
      </c>
      <c r="C562" s="47" t="s">
        <v>608</v>
      </c>
      <c r="D562" s="208"/>
      <c r="E562" s="5"/>
      <c r="F562" s="5"/>
      <c r="G562" s="5"/>
      <c r="H562" s="5"/>
      <c r="I562" s="5"/>
      <c r="J562" s="6" t="s">
        <v>604</v>
      </c>
      <c r="K562" s="6"/>
      <c r="L562" s="6"/>
      <c r="M562" s="6">
        <v>1</v>
      </c>
      <c r="N562" s="6"/>
      <c r="O562" s="15">
        <v>4</v>
      </c>
      <c r="P562" s="6"/>
      <c r="Q562" s="6"/>
      <c r="R562" s="7" t="s">
        <v>599</v>
      </c>
      <c r="S562">
        <v>25</v>
      </c>
      <c r="T562">
        <f t="shared" si="24"/>
        <v>0.06</v>
      </c>
    </row>
    <row r="563" spans="1:20" ht="15" customHeight="1" x14ac:dyDescent="0.25">
      <c r="A563" s="765">
        <v>192</v>
      </c>
      <c r="B563" s="765" t="s">
        <v>1417</v>
      </c>
      <c r="C563" s="46" t="s">
        <v>609</v>
      </c>
      <c r="D563" s="207"/>
      <c r="E563" s="2" t="s">
        <v>724</v>
      </c>
      <c r="F563" s="2"/>
      <c r="G563" s="2"/>
      <c r="H563" s="2"/>
      <c r="I563" s="2"/>
      <c r="J563" s="3" t="s">
        <v>604</v>
      </c>
      <c r="K563" s="3"/>
      <c r="L563" s="3"/>
      <c r="M563" s="3">
        <v>1</v>
      </c>
      <c r="N563" s="3"/>
      <c r="O563" s="29">
        <v>4</v>
      </c>
      <c r="P563" s="3"/>
      <c r="Q563" s="3"/>
      <c r="R563" s="4" t="s">
        <v>599</v>
      </c>
      <c r="S563">
        <v>25</v>
      </c>
      <c r="T563">
        <f t="shared" si="24"/>
        <v>0.06</v>
      </c>
    </row>
    <row r="564" spans="1:20" ht="15" customHeight="1" x14ac:dyDescent="0.25">
      <c r="A564" s="765">
        <v>179</v>
      </c>
      <c r="B564" s="765" t="s">
        <v>1417</v>
      </c>
      <c r="C564" s="47" t="s">
        <v>610</v>
      </c>
      <c r="D564" s="208"/>
      <c r="E564" s="5" t="s">
        <v>724</v>
      </c>
      <c r="F564" s="5"/>
      <c r="G564" s="5"/>
      <c r="H564" s="5"/>
      <c r="I564" s="5"/>
      <c r="J564" s="6" t="s">
        <v>604</v>
      </c>
      <c r="K564" s="6"/>
      <c r="L564" s="6"/>
      <c r="M564" s="6">
        <v>1</v>
      </c>
      <c r="N564" s="6"/>
      <c r="O564" s="15">
        <v>4</v>
      </c>
      <c r="P564" s="6"/>
      <c r="Q564" s="6"/>
      <c r="R564" s="7" t="s">
        <v>599</v>
      </c>
      <c r="S564">
        <v>25</v>
      </c>
      <c r="T564">
        <f t="shared" si="24"/>
        <v>0.06</v>
      </c>
    </row>
    <row r="565" spans="1:20" ht="15" customHeight="1" x14ac:dyDescent="0.25">
      <c r="B565" s="765" t="s">
        <v>1417</v>
      </c>
      <c r="C565" s="46" t="s">
        <v>611</v>
      </c>
      <c r="D565" s="207"/>
      <c r="E565" s="2" t="s">
        <v>724</v>
      </c>
      <c r="F565" s="2"/>
      <c r="G565" s="2"/>
      <c r="H565" s="2"/>
      <c r="I565" s="2"/>
      <c r="J565" s="3" t="s">
        <v>604</v>
      </c>
      <c r="K565" s="3"/>
      <c r="L565" s="3"/>
      <c r="M565" s="3">
        <v>1</v>
      </c>
      <c r="N565" s="3"/>
      <c r="O565" s="29">
        <v>4</v>
      </c>
      <c r="P565" s="3"/>
      <c r="Q565" s="3"/>
      <c r="R565" s="4" t="s">
        <v>599</v>
      </c>
      <c r="S565">
        <v>25</v>
      </c>
      <c r="T565">
        <f t="shared" si="24"/>
        <v>0.06</v>
      </c>
    </row>
    <row r="566" spans="1:20" ht="15" customHeight="1" x14ac:dyDescent="0.25">
      <c r="A566" s="765">
        <v>266</v>
      </c>
      <c r="B566" s="765" t="s">
        <v>1417</v>
      </c>
      <c r="C566" s="47" t="s">
        <v>612</v>
      </c>
      <c r="D566" s="208"/>
      <c r="E566" s="5"/>
      <c r="F566" s="5"/>
      <c r="G566" s="5"/>
      <c r="H566" s="5"/>
      <c r="I566" s="5"/>
      <c r="J566" s="6" t="s">
        <v>604</v>
      </c>
      <c r="K566" s="6"/>
      <c r="L566" s="6"/>
      <c r="M566" s="6">
        <v>1</v>
      </c>
      <c r="N566" s="6"/>
      <c r="O566" s="15">
        <v>4</v>
      </c>
      <c r="P566" s="6"/>
      <c r="Q566" s="6"/>
      <c r="R566" s="7" t="s">
        <v>599</v>
      </c>
      <c r="S566">
        <v>25</v>
      </c>
      <c r="T566">
        <f t="shared" si="24"/>
        <v>0.06</v>
      </c>
    </row>
    <row r="567" spans="1:20" ht="15" customHeight="1" x14ac:dyDescent="0.25">
      <c r="A567" s="765">
        <v>181</v>
      </c>
      <c r="B567" s="765" t="s">
        <v>1417</v>
      </c>
      <c r="C567" s="46" t="s">
        <v>613</v>
      </c>
      <c r="D567" s="207"/>
      <c r="E567" s="2"/>
      <c r="F567" s="2"/>
      <c r="G567" s="2"/>
      <c r="H567" s="2"/>
      <c r="I567" s="2"/>
      <c r="J567" s="3" t="s">
        <v>604</v>
      </c>
      <c r="K567" s="3"/>
      <c r="L567" s="3"/>
      <c r="M567" s="3">
        <v>1</v>
      </c>
      <c r="N567" s="3"/>
      <c r="O567" s="29">
        <v>4</v>
      </c>
      <c r="P567" s="3"/>
      <c r="Q567" s="3" t="s">
        <v>900</v>
      </c>
      <c r="R567" s="4" t="s">
        <v>599</v>
      </c>
      <c r="S567">
        <v>25</v>
      </c>
      <c r="T567">
        <f t="shared" si="24"/>
        <v>0.06</v>
      </c>
    </row>
    <row r="568" spans="1:20" ht="15" customHeight="1" x14ac:dyDescent="0.25">
      <c r="A568" s="765">
        <v>267</v>
      </c>
      <c r="B568" s="765" t="s">
        <v>1417</v>
      </c>
      <c r="C568" s="47" t="s">
        <v>614</v>
      </c>
      <c r="D568" s="208"/>
      <c r="E568" s="5"/>
      <c r="F568" s="5"/>
      <c r="G568" s="5"/>
      <c r="H568" s="5"/>
      <c r="I568" s="5"/>
      <c r="J568" s="6" t="s">
        <v>604</v>
      </c>
      <c r="K568" s="6"/>
      <c r="L568" s="6"/>
      <c r="M568" s="6">
        <v>1</v>
      </c>
      <c r="N568" s="6"/>
      <c r="O568" s="15">
        <v>4</v>
      </c>
      <c r="P568" s="6"/>
      <c r="Q568" s="6"/>
      <c r="R568" s="7" t="s">
        <v>599</v>
      </c>
      <c r="S568">
        <v>25</v>
      </c>
      <c r="T568">
        <f t="shared" si="24"/>
        <v>0.06</v>
      </c>
    </row>
    <row r="569" spans="1:20" x14ac:dyDescent="0.25">
      <c r="A569" s="765">
        <v>182</v>
      </c>
      <c r="B569" s="765" t="s">
        <v>1417</v>
      </c>
      <c r="C569" s="46" t="s">
        <v>615</v>
      </c>
      <c r="D569" s="207"/>
      <c r="E569" s="2" t="s">
        <v>724</v>
      </c>
      <c r="F569" s="2"/>
      <c r="G569" s="2"/>
      <c r="H569" s="2"/>
      <c r="I569" s="2"/>
      <c r="J569" s="3" t="s">
        <v>604</v>
      </c>
      <c r="K569" s="3"/>
      <c r="L569" s="3"/>
      <c r="M569" s="3">
        <v>1</v>
      </c>
      <c r="N569" s="3"/>
      <c r="O569" s="29">
        <v>4</v>
      </c>
      <c r="P569" s="3"/>
      <c r="Q569" s="3" t="s">
        <v>905</v>
      </c>
      <c r="R569" s="4" t="s">
        <v>599</v>
      </c>
      <c r="S569">
        <v>25</v>
      </c>
      <c r="T569">
        <f t="shared" si="24"/>
        <v>0.06</v>
      </c>
    </row>
    <row r="570" spans="1:20" x14ac:dyDescent="0.25">
      <c r="A570" s="765">
        <v>183</v>
      </c>
      <c r="B570" s="765" t="s">
        <v>1417</v>
      </c>
      <c r="C570" s="47" t="s">
        <v>616</v>
      </c>
      <c r="D570" s="208"/>
      <c r="E570" s="5"/>
      <c r="F570" s="5"/>
      <c r="G570" s="5"/>
      <c r="H570" s="5"/>
      <c r="I570" s="5"/>
      <c r="J570" s="6" t="s">
        <v>604</v>
      </c>
      <c r="K570" s="6"/>
      <c r="L570" s="6"/>
      <c r="M570" s="6">
        <v>1</v>
      </c>
      <c r="N570" s="6"/>
      <c r="O570" s="15">
        <v>4</v>
      </c>
      <c r="P570" s="6"/>
      <c r="Q570" s="6"/>
      <c r="R570" s="7" t="s">
        <v>599</v>
      </c>
      <c r="S570">
        <v>25</v>
      </c>
      <c r="T570">
        <f t="shared" si="24"/>
        <v>0.06</v>
      </c>
    </row>
    <row r="571" spans="1:20" x14ac:dyDescent="0.25">
      <c r="B571" s="765" t="s">
        <v>1417</v>
      </c>
      <c r="C571" s="46" t="s">
        <v>617</v>
      </c>
      <c r="D571" s="207"/>
      <c r="E571" s="2"/>
      <c r="F571" s="2"/>
      <c r="G571" s="2"/>
      <c r="H571" s="2"/>
      <c r="I571" s="2"/>
      <c r="J571" s="3" t="s">
        <v>604</v>
      </c>
      <c r="K571" s="3"/>
      <c r="L571" s="3"/>
      <c r="M571" s="3">
        <v>1</v>
      </c>
      <c r="N571" s="3"/>
      <c r="O571" s="29">
        <v>4</v>
      </c>
      <c r="P571" s="3"/>
      <c r="Q571" s="3"/>
      <c r="R571" s="4" t="s">
        <v>599</v>
      </c>
      <c r="S571">
        <v>25</v>
      </c>
      <c r="T571">
        <f t="shared" si="24"/>
        <v>0.06</v>
      </c>
    </row>
    <row r="572" spans="1:20" x14ac:dyDescent="0.25">
      <c r="A572" s="765">
        <v>184</v>
      </c>
      <c r="B572" s="765" t="s">
        <v>1417</v>
      </c>
      <c r="C572" s="47" t="s">
        <v>618</v>
      </c>
      <c r="D572" s="208"/>
      <c r="E572" s="5"/>
      <c r="F572" s="5"/>
      <c r="G572" s="5"/>
      <c r="H572" s="5"/>
      <c r="I572" s="5"/>
      <c r="J572" s="6" t="s">
        <v>604</v>
      </c>
      <c r="K572" s="6"/>
      <c r="L572" s="6"/>
      <c r="M572" s="6">
        <v>1</v>
      </c>
      <c r="N572" s="6"/>
      <c r="O572" s="15">
        <v>4</v>
      </c>
      <c r="P572" s="6"/>
      <c r="Q572" s="6"/>
      <c r="R572" s="7" t="s">
        <v>599</v>
      </c>
      <c r="S572">
        <v>25</v>
      </c>
      <c r="T572">
        <f t="shared" si="24"/>
        <v>0.06</v>
      </c>
    </row>
    <row r="573" spans="1:20" x14ac:dyDescent="0.25">
      <c r="A573" s="765">
        <v>185</v>
      </c>
      <c r="B573" s="765" t="s">
        <v>1417</v>
      </c>
      <c r="C573" s="46" t="s">
        <v>619</v>
      </c>
      <c r="D573" s="207"/>
      <c r="E573" s="2"/>
      <c r="F573" s="2"/>
      <c r="G573" s="2"/>
      <c r="H573" s="2"/>
      <c r="I573" s="2"/>
      <c r="J573" s="3" t="s">
        <v>604</v>
      </c>
      <c r="K573" s="3"/>
      <c r="L573" s="3"/>
      <c r="M573" s="3">
        <v>1</v>
      </c>
      <c r="N573" s="3"/>
      <c r="O573" s="29">
        <v>4</v>
      </c>
      <c r="P573" s="3"/>
      <c r="Q573" s="3"/>
      <c r="R573" s="4" t="s">
        <v>599</v>
      </c>
      <c r="S573">
        <v>25</v>
      </c>
      <c r="T573">
        <f t="shared" si="24"/>
        <v>0.06</v>
      </c>
    </row>
    <row r="574" spans="1:20" x14ac:dyDescent="0.25">
      <c r="A574" s="765">
        <v>186</v>
      </c>
      <c r="B574" s="765" t="s">
        <v>1417</v>
      </c>
      <c r="C574" s="47" t="s">
        <v>620</v>
      </c>
      <c r="D574" s="208"/>
      <c r="E574" s="5"/>
      <c r="F574" s="5"/>
      <c r="G574" s="5"/>
      <c r="H574" s="5"/>
      <c r="I574" s="5"/>
      <c r="J574" s="6" t="s">
        <v>604</v>
      </c>
      <c r="K574" s="6"/>
      <c r="L574" s="6"/>
      <c r="M574" s="6">
        <v>1</v>
      </c>
      <c r="N574" s="6"/>
      <c r="O574" s="15">
        <v>4</v>
      </c>
      <c r="P574" s="6"/>
      <c r="Q574" s="6"/>
      <c r="R574" s="7" t="s">
        <v>599</v>
      </c>
      <c r="S574">
        <v>25</v>
      </c>
      <c r="T574">
        <f t="shared" si="24"/>
        <v>0.06</v>
      </c>
    </row>
    <row r="575" spans="1:20" x14ac:dyDescent="0.25">
      <c r="A575" s="765">
        <v>187</v>
      </c>
      <c r="B575" s="765" t="s">
        <v>1417</v>
      </c>
      <c r="C575" s="46" t="s">
        <v>621</v>
      </c>
      <c r="D575" s="207"/>
      <c r="E575" s="2"/>
      <c r="F575" s="2"/>
      <c r="G575" s="2"/>
      <c r="H575" s="2"/>
      <c r="I575" s="2"/>
      <c r="J575" s="3" t="s">
        <v>604</v>
      </c>
      <c r="K575" s="3"/>
      <c r="L575" s="3"/>
      <c r="M575" s="3">
        <v>1</v>
      </c>
      <c r="N575" s="3"/>
      <c r="O575" s="29">
        <v>4</v>
      </c>
      <c r="P575" s="3"/>
      <c r="Q575" s="3"/>
      <c r="R575" s="4" t="s">
        <v>599</v>
      </c>
      <c r="S575">
        <v>25</v>
      </c>
      <c r="T575">
        <f t="shared" si="24"/>
        <v>0.06</v>
      </c>
    </row>
    <row r="576" spans="1:20" x14ac:dyDescent="0.25">
      <c r="A576" s="765">
        <v>188</v>
      </c>
      <c r="B576" s="765" t="s">
        <v>1417</v>
      </c>
      <c r="C576" s="47" t="s">
        <v>622</v>
      </c>
      <c r="D576" s="208"/>
      <c r="E576" s="5"/>
      <c r="F576" s="5"/>
      <c r="G576" s="5"/>
      <c r="H576" s="5"/>
      <c r="I576" s="5"/>
      <c r="J576" s="6" t="s">
        <v>604</v>
      </c>
      <c r="K576" s="6"/>
      <c r="L576" s="6"/>
      <c r="M576" s="6">
        <v>1</v>
      </c>
      <c r="N576" s="6"/>
      <c r="O576" s="15">
        <v>4</v>
      </c>
      <c r="P576" s="6"/>
      <c r="Q576" s="6" t="s">
        <v>894</v>
      </c>
      <c r="R576" s="7" t="s">
        <v>599</v>
      </c>
      <c r="S576">
        <v>25</v>
      </c>
      <c r="T576">
        <f t="shared" si="24"/>
        <v>0.06</v>
      </c>
    </row>
    <row r="577" spans="1:20" x14ac:dyDescent="0.25">
      <c r="A577" s="765">
        <v>269</v>
      </c>
      <c r="B577" s="765" t="s">
        <v>1417</v>
      </c>
      <c r="C577" s="46" t="s">
        <v>623</v>
      </c>
      <c r="D577" s="207"/>
      <c r="E577" s="2" t="s">
        <v>724</v>
      </c>
      <c r="F577" s="2"/>
      <c r="G577" s="2"/>
      <c r="H577" s="2"/>
      <c r="I577" s="2"/>
      <c r="J577" s="3" t="s">
        <v>604</v>
      </c>
      <c r="K577" s="3"/>
      <c r="L577" s="3"/>
      <c r="M577" s="3">
        <v>1</v>
      </c>
      <c r="N577" s="3"/>
      <c r="O577" s="29">
        <v>4</v>
      </c>
      <c r="P577" s="3"/>
      <c r="Q577" s="3" t="s">
        <v>994</v>
      </c>
      <c r="R577" s="4" t="s">
        <v>599</v>
      </c>
      <c r="S577">
        <v>25</v>
      </c>
      <c r="T577">
        <f t="shared" si="24"/>
        <v>0.06</v>
      </c>
    </row>
    <row r="578" spans="1:20" x14ac:dyDescent="0.25">
      <c r="A578" s="765">
        <v>270</v>
      </c>
      <c r="B578" s="765" t="s">
        <v>1417</v>
      </c>
      <c r="C578" s="47" t="s">
        <v>624</v>
      </c>
      <c r="D578" s="208"/>
      <c r="E578" s="5" t="s">
        <v>724</v>
      </c>
      <c r="F578" s="5"/>
      <c r="G578" s="5" t="s">
        <v>724</v>
      </c>
      <c r="H578" s="5"/>
      <c r="I578" s="5"/>
      <c r="J578" s="6" t="s">
        <v>604</v>
      </c>
      <c r="K578" s="6"/>
      <c r="L578" s="6"/>
      <c r="M578" s="6">
        <v>1</v>
      </c>
      <c r="N578" s="6"/>
      <c r="O578" s="15">
        <v>4</v>
      </c>
      <c r="P578" s="6"/>
      <c r="Q578" s="6"/>
      <c r="R578" s="7" t="s">
        <v>599</v>
      </c>
      <c r="S578">
        <v>25</v>
      </c>
      <c r="T578">
        <f t="shared" si="24"/>
        <v>0.06</v>
      </c>
    </row>
    <row r="579" spans="1:20" x14ac:dyDescent="0.25">
      <c r="A579" s="765">
        <v>190</v>
      </c>
      <c r="B579" s="765" t="s">
        <v>1417</v>
      </c>
      <c r="C579" s="46" t="s">
        <v>625</v>
      </c>
      <c r="D579" s="207"/>
      <c r="E579" s="2" t="s">
        <v>724</v>
      </c>
      <c r="F579" s="2"/>
      <c r="G579" s="2" t="s">
        <v>724</v>
      </c>
      <c r="H579" s="2"/>
      <c r="I579" s="2"/>
      <c r="J579" s="3" t="s">
        <v>604</v>
      </c>
      <c r="K579" s="3"/>
      <c r="L579" s="3"/>
      <c r="M579" s="3">
        <v>1</v>
      </c>
      <c r="N579" s="3"/>
      <c r="O579" s="29">
        <v>4</v>
      </c>
      <c r="P579" s="3"/>
      <c r="Q579" s="3"/>
      <c r="R579" s="4" t="s">
        <v>599</v>
      </c>
      <c r="S579">
        <v>25</v>
      </c>
      <c r="T579">
        <f t="shared" si="24"/>
        <v>0.06</v>
      </c>
    </row>
    <row r="580" spans="1:20" x14ac:dyDescent="0.25">
      <c r="A580" s="765">
        <v>191</v>
      </c>
      <c r="B580" s="765" t="s">
        <v>1417</v>
      </c>
      <c r="C580" s="47" t="s">
        <v>626</v>
      </c>
      <c r="D580" s="208"/>
      <c r="E580" s="5"/>
      <c r="F580" s="5"/>
      <c r="G580" s="5"/>
      <c r="H580" s="5"/>
      <c r="I580" s="5"/>
      <c r="J580" s="6" t="s">
        <v>604</v>
      </c>
      <c r="K580" s="6"/>
      <c r="L580" s="6"/>
      <c r="M580" s="6">
        <v>1</v>
      </c>
      <c r="N580" s="6"/>
      <c r="O580" s="15">
        <v>4</v>
      </c>
      <c r="P580" s="6"/>
      <c r="Q580" s="6"/>
      <c r="R580" s="7" t="s">
        <v>599</v>
      </c>
      <c r="S580">
        <v>25</v>
      </c>
      <c r="T580">
        <f t="shared" si="24"/>
        <v>0.06</v>
      </c>
    </row>
    <row r="581" spans="1:20" x14ac:dyDescent="0.25">
      <c r="B581" s="765" t="s">
        <v>1417</v>
      </c>
      <c r="C581" s="46" t="s">
        <v>627</v>
      </c>
      <c r="D581" s="207"/>
      <c r="E581" s="2"/>
      <c r="F581" s="2"/>
      <c r="G581" s="2"/>
      <c r="H581" s="2"/>
      <c r="I581" s="2"/>
      <c r="J581" s="3" t="s">
        <v>604</v>
      </c>
      <c r="K581" s="3"/>
      <c r="L581" s="3"/>
      <c r="M581" s="3">
        <v>1</v>
      </c>
      <c r="N581" s="3"/>
      <c r="O581" s="29">
        <v>4</v>
      </c>
      <c r="P581" s="3"/>
      <c r="Q581" s="3"/>
      <c r="R581" s="4" t="s">
        <v>599</v>
      </c>
      <c r="S581">
        <v>25</v>
      </c>
      <c r="T581">
        <f t="shared" si="24"/>
        <v>0.06</v>
      </c>
    </row>
    <row r="582" spans="1:20" x14ac:dyDescent="0.25">
      <c r="A582" s="765">
        <v>166</v>
      </c>
      <c r="B582" s="765" t="s">
        <v>1417</v>
      </c>
      <c r="C582" s="47" t="s">
        <v>628</v>
      </c>
      <c r="D582" s="208"/>
      <c r="E582" s="5"/>
      <c r="F582" s="5"/>
      <c r="G582" s="5"/>
      <c r="H582" s="5"/>
      <c r="I582" s="5"/>
      <c r="J582" s="6" t="s">
        <v>604</v>
      </c>
      <c r="K582" s="6"/>
      <c r="L582" s="6"/>
      <c r="M582" s="6">
        <v>1</v>
      </c>
      <c r="N582" s="6"/>
      <c r="O582" s="15">
        <v>4</v>
      </c>
      <c r="P582" s="6"/>
      <c r="Q582" s="6"/>
      <c r="R582" s="7" t="s">
        <v>599</v>
      </c>
      <c r="S582">
        <v>25</v>
      </c>
      <c r="T582">
        <f t="shared" si="24"/>
        <v>0.06</v>
      </c>
    </row>
    <row r="583" spans="1:20" x14ac:dyDescent="0.25">
      <c r="A583" s="765">
        <v>192</v>
      </c>
      <c r="B583" s="765" t="s">
        <v>1417</v>
      </c>
      <c r="C583" s="46" t="s">
        <v>629</v>
      </c>
      <c r="D583" s="207"/>
      <c r="E583" s="2" t="s">
        <v>724</v>
      </c>
      <c r="F583" s="2"/>
      <c r="G583" s="2"/>
      <c r="H583" s="2"/>
      <c r="I583" s="2"/>
      <c r="J583" s="3" t="s">
        <v>604</v>
      </c>
      <c r="K583" s="3"/>
      <c r="L583" s="3"/>
      <c r="M583" s="3">
        <v>1</v>
      </c>
      <c r="N583" s="3"/>
      <c r="O583" s="29">
        <v>4</v>
      </c>
      <c r="P583" s="3"/>
      <c r="Q583" s="3" t="s">
        <v>896</v>
      </c>
      <c r="R583" s="4" t="s">
        <v>599</v>
      </c>
      <c r="S583">
        <v>25</v>
      </c>
      <c r="T583">
        <f t="shared" si="24"/>
        <v>0.06</v>
      </c>
    </row>
    <row r="584" spans="1:20" x14ac:dyDescent="0.25">
      <c r="A584" s="765">
        <v>180</v>
      </c>
      <c r="B584" s="765" t="s">
        <v>1417</v>
      </c>
      <c r="C584" s="47" t="s">
        <v>630</v>
      </c>
      <c r="D584" s="208"/>
      <c r="E584" s="5"/>
      <c r="F584" s="5"/>
      <c r="G584" s="5"/>
      <c r="H584" s="5"/>
      <c r="I584" s="5"/>
      <c r="J584" s="6" t="s">
        <v>604</v>
      </c>
      <c r="K584" s="6"/>
      <c r="L584" s="6"/>
      <c r="M584" s="6">
        <v>1</v>
      </c>
      <c r="N584" s="6"/>
      <c r="O584" s="15">
        <v>4</v>
      </c>
      <c r="P584" s="6"/>
      <c r="Q584" s="6"/>
      <c r="R584" s="7" t="s">
        <v>599</v>
      </c>
      <c r="S584">
        <v>25</v>
      </c>
      <c r="T584">
        <f t="shared" si="24"/>
        <v>0.06</v>
      </c>
    </row>
    <row r="585" spans="1:20" x14ac:dyDescent="0.25">
      <c r="A585" s="765"/>
      <c r="B585" s="765" t="s">
        <v>1417</v>
      </c>
      <c r="C585" s="46" t="s">
        <v>773</v>
      </c>
      <c r="D585" s="207"/>
      <c r="E585" s="2"/>
      <c r="F585" s="2"/>
      <c r="G585" s="2"/>
      <c r="H585" s="2"/>
      <c r="I585" s="2"/>
      <c r="J585" s="3" t="s">
        <v>604</v>
      </c>
      <c r="K585" s="3"/>
      <c r="L585" s="3"/>
      <c r="M585" s="3">
        <v>1</v>
      </c>
      <c r="N585" s="3"/>
      <c r="O585" s="29">
        <v>4</v>
      </c>
      <c r="P585" s="3"/>
      <c r="Q585" s="3"/>
      <c r="R585" s="4" t="s">
        <v>599</v>
      </c>
      <c r="S585">
        <v>25</v>
      </c>
      <c r="T585">
        <f t="shared" si="24"/>
        <v>0.06</v>
      </c>
    </row>
    <row r="586" spans="1:20" x14ac:dyDescent="0.25">
      <c r="A586" s="765">
        <v>193</v>
      </c>
      <c r="B586" s="765" t="s">
        <v>1417</v>
      </c>
      <c r="C586" s="46" t="s">
        <v>631</v>
      </c>
      <c r="D586" s="207"/>
      <c r="E586" s="2"/>
      <c r="F586" s="5"/>
      <c r="G586" s="5"/>
      <c r="H586" s="5"/>
      <c r="I586" s="5"/>
      <c r="J586" s="6" t="s">
        <v>604</v>
      </c>
      <c r="K586" s="6"/>
      <c r="L586" s="6"/>
      <c r="M586" s="6">
        <v>1</v>
      </c>
      <c r="N586" s="6"/>
      <c r="O586" s="15">
        <v>4</v>
      </c>
      <c r="P586" s="6"/>
      <c r="Q586" s="6"/>
      <c r="R586" s="7" t="s">
        <v>599</v>
      </c>
      <c r="S586">
        <v>25</v>
      </c>
      <c r="T586">
        <f t="shared" si="24"/>
        <v>0.06</v>
      </c>
    </row>
    <row r="587" spans="1:20" x14ac:dyDescent="0.25">
      <c r="A587" s="765">
        <v>194</v>
      </c>
      <c r="B587" s="765" t="s">
        <v>1417</v>
      </c>
      <c r="C587" s="47" t="s">
        <v>632</v>
      </c>
      <c r="D587" s="208"/>
      <c r="E587" s="5"/>
      <c r="F587" s="2"/>
      <c r="G587" s="2"/>
      <c r="H587" s="2"/>
      <c r="I587" s="2"/>
      <c r="J587" s="3" t="s">
        <v>604</v>
      </c>
      <c r="K587" s="3"/>
      <c r="L587" s="3"/>
      <c r="M587" s="3">
        <v>1</v>
      </c>
      <c r="N587" s="3"/>
      <c r="O587" s="29">
        <v>4</v>
      </c>
      <c r="P587" s="3"/>
      <c r="Q587" s="3"/>
      <c r="R587" s="4" t="s">
        <v>599</v>
      </c>
      <c r="S587">
        <v>25</v>
      </c>
      <c r="T587">
        <f t="shared" si="24"/>
        <v>0.06</v>
      </c>
    </row>
    <row r="588" spans="1:20" x14ac:dyDescent="0.25">
      <c r="A588" s="765">
        <v>195</v>
      </c>
      <c r="B588" s="765" t="s">
        <v>1417</v>
      </c>
      <c r="C588" s="46" t="s">
        <v>633</v>
      </c>
      <c r="D588" s="207"/>
      <c r="E588" s="2"/>
      <c r="F588" s="5"/>
      <c r="G588" s="5"/>
      <c r="H588" s="5"/>
      <c r="I588" s="5"/>
      <c r="J588" s="6" t="s">
        <v>604</v>
      </c>
      <c r="K588" s="6"/>
      <c r="L588" s="6"/>
      <c r="M588" s="6">
        <v>1</v>
      </c>
      <c r="N588" s="6"/>
      <c r="O588" s="15">
        <v>4</v>
      </c>
      <c r="P588" s="6"/>
      <c r="Q588" s="6"/>
      <c r="R588" s="7" t="s">
        <v>599</v>
      </c>
      <c r="S588">
        <v>25</v>
      </c>
      <c r="T588">
        <f t="shared" si="24"/>
        <v>0.06</v>
      </c>
    </row>
    <row r="589" spans="1:20" x14ac:dyDescent="0.25">
      <c r="A589" s="765">
        <v>196</v>
      </c>
      <c r="B589" s="765" t="s">
        <v>1417</v>
      </c>
      <c r="C589" s="47" t="s">
        <v>634</v>
      </c>
      <c r="D589" s="208"/>
      <c r="E589" s="5"/>
      <c r="F589" s="2"/>
      <c r="G589" s="2"/>
      <c r="H589" s="2"/>
      <c r="I589" s="2"/>
      <c r="J589" s="3" t="s">
        <v>604</v>
      </c>
      <c r="K589" s="3"/>
      <c r="L589" s="3"/>
      <c r="M589" s="3">
        <v>1</v>
      </c>
      <c r="N589" s="3"/>
      <c r="O589" s="29">
        <v>4</v>
      </c>
      <c r="P589" s="3"/>
      <c r="Q589" s="3"/>
      <c r="R589" s="4" t="s">
        <v>599</v>
      </c>
      <c r="S589">
        <v>25</v>
      </c>
      <c r="T589">
        <f t="shared" si="24"/>
        <v>0.06</v>
      </c>
    </row>
    <row r="590" spans="1:20" x14ac:dyDescent="0.25">
      <c r="A590" s="765">
        <v>197</v>
      </c>
      <c r="B590" s="765" t="s">
        <v>1417</v>
      </c>
      <c r="C590" s="46" t="s">
        <v>635</v>
      </c>
      <c r="D590" s="207"/>
      <c r="E590" s="2"/>
      <c r="F590" s="5"/>
      <c r="G590" s="5"/>
      <c r="H590" s="5"/>
      <c r="I590" s="5"/>
      <c r="J590" s="6" t="s">
        <v>604</v>
      </c>
      <c r="K590" s="6"/>
      <c r="L590" s="6"/>
      <c r="M590" s="6">
        <v>1</v>
      </c>
      <c r="N590" s="6"/>
      <c r="O590" s="15">
        <v>4</v>
      </c>
      <c r="P590" s="6"/>
      <c r="Q590" s="6"/>
      <c r="R590" s="7" t="s">
        <v>599</v>
      </c>
      <c r="S590">
        <v>25</v>
      </c>
      <c r="T590">
        <f t="shared" si="24"/>
        <v>0.06</v>
      </c>
    </row>
    <row r="591" spans="1:20" x14ac:dyDescent="0.25">
      <c r="A591" s="765">
        <v>198</v>
      </c>
      <c r="B591" s="765" t="s">
        <v>1417</v>
      </c>
      <c r="C591" s="47" t="s">
        <v>636</v>
      </c>
      <c r="D591" s="208"/>
      <c r="E591" s="5"/>
      <c r="F591" s="2"/>
      <c r="G591" s="2"/>
      <c r="H591" s="2"/>
      <c r="I591" s="2"/>
      <c r="J591" s="3" t="s">
        <v>604</v>
      </c>
      <c r="K591" s="3"/>
      <c r="L591" s="3"/>
      <c r="M591" s="3">
        <v>1</v>
      </c>
      <c r="N591" s="3"/>
      <c r="O591" s="29">
        <v>4</v>
      </c>
      <c r="P591" s="3"/>
      <c r="Q591" s="3"/>
      <c r="R591" s="4" t="s">
        <v>599</v>
      </c>
      <c r="S591">
        <v>25</v>
      </c>
      <c r="T591">
        <f t="shared" si="24"/>
        <v>0.06</v>
      </c>
    </row>
    <row r="592" spans="1:20" x14ac:dyDescent="0.25">
      <c r="A592" s="765">
        <v>199</v>
      </c>
      <c r="B592" s="765" t="s">
        <v>1417</v>
      </c>
      <c r="C592" s="46" t="s">
        <v>637</v>
      </c>
      <c r="D592" s="207"/>
      <c r="E592" s="2"/>
      <c r="F592" s="5"/>
      <c r="G592" s="5"/>
      <c r="H592" s="5"/>
      <c r="I592" s="5"/>
      <c r="J592" s="6" t="s">
        <v>604</v>
      </c>
      <c r="K592" s="6"/>
      <c r="L592" s="6"/>
      <c r="M592" s="6">
        <v>1</v>
      </c>
      <c r="N592" s="6"/>
      <c r="O592" s="15">
        <v>4</v>
      </c>
      <c r="P592" s="6"/>
      <c r="Q592" s="6"/>
      <c r="R592" s="7" t="s">
        <v>599</v>
      </c>
      <c r="S592">
        <v>25</v>
      </c>
      <c r="T592">
        <f t="shared" si="24"/>
        <v>0.06</v>
      </c>
    </row>
    <row r="593" spans="1:20" x14ac:dyDescent="0.25">
      <c r="A593" s="765">
        <v>200</v>
      </c>
      <c r="B593" s="765" t="s">
        <v>1417</v>
      </c>
      <c r="C593" s="47" t="s">
        <v>638</v>
      </c>
      <c r="D593" s="208"/>
      <c r="E593" s="5" t="s">
        <v>724</v>
      </c>
      <c r="F593" s="2"/>
      <c r="G593" s="2"/>
      <c r="H593" s="2"/>
      <c r="I593" s="2"/>
      <c r="J593" s="3" t="s">
        <v>604</v>
      </c>
      <c r="K593" s="3"/>
      <c r="L593" s="3"/>
      <c r="M593" s="3">
        <v>1</v>
      </c>
      <c r="N593" s="3"/>
      <c r="O593" s="29">
        <v>4</v>
      </c>
      <c r="P593" s="3"/>
      <c r="Q593" s="3" t="s">
        <v>898</v>
      </c>
      <c r="R593" s="4" t="s">
        <v>599</v>
      </c>
      <c r="S593">
        <v>25</v>
      </c>
      <c r="T593">
        <f t="shared" si="24"/>
        <v>0.06</v>
      </c>
    </row>
    <row r="594" spans="1:20" x14ac:dyDescent="0.25">
      <c r="A594" s="765">
        <v>201</v>
      </c>
      <c r="B594" s="765" t="s">
        <v>1417</v>
      </c>
      <c r="C594" s="46" t="s">
        <v>639</v>
      </c>
      <c r="D594" s="207"/>
      <c r="E594" s="2"/>
      <c r="F594" s="5"/>
      <c r="G594" s="5"/>
      <c r="H594" s="5"/>
      <c r="I594" s="5"/>
      <c r="J594" s="6" t="s">
        <v>604</v>
      </c>
      <c r="K594" s="6"/>
      <c r="L594" s="6"/>
      <c r="M594" s="6">
        <v>1</v>
      </c>
      <c r="N594" s="6"/>
      <c r="O594" s="15">
        <v>4</v>
      </c>
      <c r="P594" s="6"/>
      <c r="Q594" s="6"/>
      <c r="R594" s="7" t="s">
        <v>599</v>
      </c>
      <c r="S594">
        <v>25</v>
      </c>
      <c r="T594">
        <f t="shared" si="24"/>
        <v>0.06</v>
      </c>
    </row>
    <row r="595" spans="1:20" x14ac:dyDescent="0.25">
      <c r="A595" s="765">
        <v>202</v>
      </c>
      <c r="B595" s="765" t="s">
        <v>1417</v>
      </c>
      <c r="C595" s="47" t="s">
        <v>640</v>
      </c>
      <c r="D595" s="208"/>
      <c r="E595" s="5"/>
      <c r="F595" s="2"/>
      <c r="G595" s="2"/>
      <c r="H595" s="2"/>
      <c r="I595" s="2"/>
      <c r="J595" s="3" t="s">
        <v>604</v>
      </c>
      <c r="K595" s="3"/>
      <c r="L595" s="3"/>
      <c r="M595" s="3">
        <v>1</v>
      </c>
      <c r="N595" s="3"/>
      <c r="O595" s="29">
        <v>4</v>
      </c>
      <c r="P595" s="3"/>
      <c r="Q595" s="3"/>
      <c r="R595" s="4" t="s">
        <v>599</v>
      </c>
      <c r="S595">
        <v>25</v>
      </c>
      <c r="T595">
        <f t="shared" si="24"/>
        <v>0.06</v>
      </c>
    </row>
    <row r="596" spans="1:20" x14ac:dyDescent="0.25">
      <c r="A596" s="765">
        <v>272</v>
      </c>
      <c r="B596" s="765" t="s">
        <v>1417</v>
      </c>
      <c r="C596" s="46" t="s">
        <v>641</v>
      </c>
      <c r="D596" s="207"/>
      <c r="E596" s="2"/>
      <c r="F596" s="5"/>
      <c r="G596" s="5"/>
      <c r="H596" s="5"/>
      <c r="I596" s="5"/>
      <c r="J596" s="6" t="s">
        <v>604</v>
      </c>
      <c r="K596" s="6"/>
      <c r="L596" s="6"/>
      <c r="M596" s="6">
        <v>1</v>
      </c>
      <c r="N596" s="6"/>
      <c r="O596" s="15">
        <v>4</v>
      </c>
      <c r="P596" s="6"/>
      <c r="Q596" s="6" t="s">
        <v>995</v>
      </c>
      <c r="R596" s="7" t="s">
        <v>599</v>
      </c>
      <c r="S596">
        <v>25</v>
      </c>
      <c r="T596">
        <f t="shared" si="24"/>
        <v>0.06</v>
      </c>
    </row>
    <row r="597" spans="1:20" x14ac:dyDescent="0.25">
      <c r="A597" s="765">
        <v>260</v>
      </c>
      <c r="B597" s="765" t="s">
        <v>1417</v>
      </c>
      <c r="C597" s="47" t="s">
        <v>642</v>
      </c>
      <c r="D597" s="208"/>
      <c r="E597" s="5"/>
      <c r="F597" s="2"/>
      <c r="G597" s="2"/>
      <c r="H597" s="2"/>
      <c r="I597" s="2"/>
      <c r="J597" s="3" t="s">
        <v>604</v>
      </c>
      <c r="K597" s="3"/>
      <c r="L597" s="3"/>
      <c r="M597" s="3">
        <v>1</v>
      </c>
      <c r="N597" s="3"/>
      <c r="O597" s="29">
        <v>4</v>
      </c>
      <c r="P597" s="3"/>
      <c r="Q597" s="3"/>
      <c r="R597" s="4" t="s">
        <v>599</v>
      </c>
      <c r="S597">
        <v>25</v>
      </c>
      <c r="T597">
        <f t="shared" si="24"/>
        <v>0.06</v>
      </c>
    </row>
    <row r="598" spans="1:20" x14ac:dyDescent="0.25">
      <c r="A598" s="765">
        <v>167</v>
      </c>
      <c r="B598" s="765" t="s">
        <v>1417</v>
      </c>
      <c r="C598" s="47" t="s">
        <v>654</v>
      </c>
      <c r="D598" s="208"/>
      <c r="E598" s="5"/>
      <c r="F598" s="5"/>
      <c r="G598" s="5"/>
      <c r="H598" s="5"/>
      <c r="I598" s="5"/>
      <c r="J598" s="6" t="s">
        <v>604</v>
      </c>
      <c r="K598" s="6"/>
      <c r="L598" s="6"/>
      <c r="M598" s="6">
        <v>1</v>
      </c>
      <c r="N598" s="6"/>
      <c r="O598" s="15">
        <v>4</v>
      </c>
      <c r="P598" s="6"/>
      <c r="Q598" s="6"/>
      <c r="R598" s="7" t="s">
        <v>599</v>
      </c>
      <c r="S598">
        <v>25</v>
      </c>
      <c r="T598">
        <f t="shared" si="24"/>
        <v>0.06</v>
      </c>
    </row>
    <row r="599" spans="1:20" x14ac:dyDescent="0.25">
      <c r="A599" s="765">
        <v>262</v>
      </c>
      <c r="B599" s="765" t="s">
        <v>1417</v>
      </c>
      <c r="C599" s="50" t="s">
        <v>643</v>
      </c>
      <c r="D599" s="211"/>
      <c r="E599" s="5" t="s">
        <v>724</v>
      </c>
      <c r="F599" s="5"/>
      <c r="G599" s="5" t="s">
        <v>724</v>
      </c>
      <c r="H599" s="5" t="s">
        <v>724</v>
      </c>
      <c r="I599" s="5" t="s">
        <v>724</v>
      </c>
      <c r="J599" s="6" t="s">
        <v>644</v>
      </c>
      <c r="K599" s="6"/>
      <c r="L599" s="6"/>
      <c r="M599" s="6">
        <v>1</v>
      </c>
      <c r="N599" s="6"/>
      <c r="O599" s="15">
        <v>4</v>
      </c>
      <c r="P599" s="6"/>
      <c r="Q599" s="6" t="s">
        <v>587</v>
      </c>
      <c r="R599" s="7" t="s">
        <v>599</v>
      </c>
      <c r="S599">
        <v>25</v>
      </c>
      <c r="T599">
        <f t="shared" si="24"/>
        <v>0.06</v>
      </c>
    </row>
    <row r="600" spans="1:20" x14ac:dyDescent="0.25">
      <c r="B600" s="765" t="s">
        <v>1417</v>
      </c>
      <c r="C600" s="49" t="s">
        <v>645</v>
      </c>
      <c r="D600" s="210"/>
      <c r="E600" s="2" t="s">
        <v>724</v>
      </c>
      <c r="F600" s="2"/>
      <c r="G600" s="2"/>
      <c r="H600" s="2"/>
      <c r="I600" s="2"/>
      <c r="J600" s="3" t="s">
        <v>644</v>
      </c>
      <c r="K600" s="3"/>
      <c r="L600" s="3"/>
      <c r="M600" s="3">
        <v>1</v>
      </c>
      <c r="N600" s="3"/>
      <c r="O600" s="29">
        <v>4</v>
      </c>
      <c r="P600" s="3"/>
      <c r="Q600" s="3" t="s">
        <v>885</v>
      </c>
      <c r="R600" s="4" t="s">
        <v>599</v>
      </c>
      <c r="S600">
        <v>25</v>
      </c>
      <c r="T600">
        <f t="shared" si="24"/>
        <v>0.06</v>
      </c>
    </row>
    <row r="601" spans="1:20" x14ac:dyDescent="0.25">
      <c r="B601" s="765" t="s">
        <v>1417</v>
      </c>
      <c r="C601" s="50" t="s">
        <v>646</v>
      </c>
      <c r="D601" s="211"/>
      <c r="E601" s="5" t="s">
        <v>724</v>
      </c>
      <c r="F601" s="5"/>
      <c r="G601" s="5"/>
      <c r="H601" s="5"/>
      <c r="I601" s="5"/>
      <c r="J601" s="6" t="s">
        <v>644</v>
      </c>
      <c r="K601" s="6"/>
      <c r="L601" s="6"/>
      <c r="M601" s="6">
        <v>1</v>
      </c>
      <c r="N601" s="6"/>
      <c r="O601" s="15">
        <v>4</v>
      </c>
      <c r="P601" s="6"/>
      <c r="Q601" s="6" t="s">
        <v>888</v>
      </c>
      <c r="R601" s="7" t="s">
        <v>599</v>
      </c>
      <c r="S601">
        <v>25</v>
      </c>
      <c r="T601">
        <f t="shared" si="24"/>
        <v>0.06</v>
      </c>
    </row>
    <row r="602" spans="1:20" x14ac:dyDescent="0.25">
      <c r="B602" s="765" t="s">
        <v>1417</v>
      </c>
      <c r="C602" s="51" t="s">
        <v>647</v>
      </c>
      <c r="D602" s="212"/>
      <c r="E602" s="2" t="s">
        <v>724</v>
      </c>
      <c r="F602" s="2"/>
      <c r="G602" s="2"/>
      <c r="H602" s="2"/>
      <c r="I602" s="2"/>
      <c r="J602" s="3" t="s">
        <v>644</v>
      </c>
      <c r="K602" s="3"/>
      <c r="L602" s="3"/>
      <c r="M602" s="3">
        <v>1</v>
      </c>
      <c r="N602" s="3"/>
      <c r="O602" s="29">
        <v>4</v>
      </c>
      <c r="P602" s="3"/>
      <c r="Q602" s="3" t="s">
        <v>886</v>
      </c>
      <c r="R602" s="4" t="s">
        <v>599</v>
      </c>
      <c r="S602">
        <v>25</v>
      </c>
      <c r="T602">
        <f t="shared" si="24"/>
        <v>0.06</v>
      </c>
    </row>
    <row r="603" spans="1:20" x14ac:dyDescent="0.25">
      <c r="B603" s="765" t="s">
        <v>1417</v>
      </c>
      <c r="C603" s="50" t="s">
        <v>648</v>
      </c>
      <c r="D603" s="211"/>
      <c r="E603" s="5" t="s">
        <v>724</v>
      </c>
      <c r="F603" s="5"/>
      <c r="G603" s="5" t="s">
        <v>724</v>
      </c>
      <c r="H603" s="5"/>
      <c r="I603" s="5"/>
      <c r="J603" s="6" t="s">
        <v>644</v>
      </c>
      <c r="K603" s="6"/>
      <c r="L603" s="6"/>
      <c r="M603" s="6">
        <v>1</v>
      </c>
      <c r="N603" s="6"/>
      <c r="O603" s="15">
        <v>4</v>
      </c>
      <c r="P603" s="6"/>
      <c r="Q603" s="6" t="s">
        <v>887</v>
      </c>
      <c r="R603" s="7" t="s">
        <v>599</v>
      </c>
      <c r="S603">
        <v>25</v>
      </c>
      <c r="T603">
        <f t="shared" si="24"/>
        <v>0.06</v>
      </c>
    </row>
    <row r="604" spans="1:20" x14ac:dyDescent="0.25">
      <c r="B604" s="765" t="s">
        <v>1417</v>
      </c>
      <c r="C604" s="50" t="s">
        <v>1395</v>
      </c>
      <c r="D604" s="211"/>
      <c r="E604" s="5" t="s">
        <v>724</v>
      </c>
      <c r="F604" s="5"/>
      <c r="G604" s="5" t="s">
        <v>724</v>
      </c>
      <c r="H604" s="5"/>
      <c r="I604" s="5"/>
      <c r="J604" s="6" t="s">
        <v>644</v>
      </c>
      <c r="K604" s="6"/>
      <c r="L604" s="6"/>
      <c r="M604" s="6">
        <v>1</v>
      </c>
      <c r="N604" s="6"/>
      <c r="O604" s="15">
        <v>4</v>
      </c>
      <c r="P604" s="6"/>
      <c r="Q604" s="6" t="s">
        <v>888</v>
      </c>
      <c r="R604" s="7" t="s">
        <v>599</v>
      </c>
      <c r="S604">
        <v>25</v>
      </c>
      <c r="T604">
        <f t="shared" si="24"/>
        <v>0.06</v>
      </c>
    </row>
    <row r="605" spans="1:20" x14ac:dyDescent="0.25">
      <c r="B605" s="765" t="s">
        <v>1417</v>
      </c>
      <c r="C605" s="50" t="s">
        <v>1396</v>
      </c>
      <c r="D605" s="211"/>
      <c r="E605" s="5" t="s">
        <v>724</v>
      </c>
      <c r="F605" s="5"/>
      <c r="G605" s="5"/>
      <c r="H605" s="5"/>
      <c r="I605" s="5"/>
      <c r="J605" s="3" t="s">
        <v>644</v>
      </c>
      <c r="K605" s="3"/>
      <c r="L605" s="3"/>
      <c r="M605" s="3">
        <v>1</v>
      </c>
      <c r="N605" s="3"/>
      <c r="O605" s="29">
        <v>4</v>
      </c>
      <c r="P605" s="3"/>
      <c r="Q605" s="3" t="s">
        <v>885</v>
      </c>
      <c r="R605" s="4" t="s">
        <v>599</v>
      </c>
      <c r="S605">
        <v>25</v>
      </c>
      <c r="T605">
        <f t="shared" si="24"/>
        <v>0.06</v>
      </c>
    </row>
    <row r="606" spans="1:20" x14ac:dyDescent="0.25">
      <c r="A606" s="765">
        <v>259</v>
      </c>
      <c r="B606" s="765" t="s">
        <v>1403</v>
      </c>
      <c r="C606" s="47" t="s">
        <v>597</v>
      </c>
      <c r="D606" s="208"/>
      <c r="E606" s="5" t="s">
        <v>724</v>
      </c>
      <c r="F606" s="5"/>
      <c r="G606" s="5" t="s">
        <v>724</v>
      </c>
      <c r="H606" s="5" t="s">
        <v>724</v>
      </c>
      <c r="I606" s="5" t="s">
        <v>724</v>
      </c>
      <c r="J606" s="6" t="s">
        <v>649</v>
      </c>
      <c r="K606" s="6"/>
      <c r="L606" s="6"/>
      <c r="M606" s="6">
        <v>1</v>
      </c>
      <c r="N606" s="6"/>
      <c r="O606" s="15">
        <v>4</v>
      </c>
      <c r="P606" s="6"/>
      <c r="Q606" s="6" t="s">
        <v>993</v>
      </c>
      <c r="R606" s="7" t="s">
        <v>599</v>
      </c>
      <c r="S606">
        <v>35</v>
      </c>
      <c r="T606">
        <f>1/8</f>
        <v>0.125</v>
      </c>
    </row>
    <row r="607" spans="1:20" x14ac:dyDescent="0.25">
      <c r="A607" s="765">
        <v>164</v>
      </c>
      <c r="B607" s="765" t="s">
        <v>1403</v>
      </c>
      <c r="C607" s="46" t="s">
        <v>204</v>
      </c>
      <c r="D607" s="207"/>
      <c r="E607" s="2" t="s">
        <v>724</v>
      </c>
      <c r="F607" s="2"/>
      <c r="G607" s="2" t="s">
        <v>724</v>
      </c>
      <c r="H607" s="2" t="s">
        <v>724</v>
      </c>
      <c r="I607" s="2" t="s">
        <v>724</v>
      </c>
      <c r="J607" s="3" t="s">
        <v>649</v>
      </c>
      <c r="K607" s="3"/>
      <c r="L607" s="3"/>
      <c r="M607" s="3">
        <v>1</v>
      </c>
      <c r="N607" s="3"/>
      <c r="O607" s="29">
        <v>4</v>
      </c>
      <c r="P607" s="3"/>
      <c r="Q607" s="6" t="s">
        <v>993</v>
      </c>
      <c r="R607" s="4" t="s">
        <v>599</v>
      </c>
      <c r="S607">
        <v>35</v>
      </c>
      <c r="T607">
        <f t="shared" ref="T607:T670" si="25">1/8</f>
        <v>0.125</v>
      </c>
    </row>
    <row r="608" spans="1:20" x14ac:dyDescent="0.25">
      <c r="A608" s="765">
        <v>162</v>
      </c>
      <c r="B608" s="765" t="s">
        <v>1403</v>
      </c>
      <c r="C608" s="47" t="s">
        <v>205</v>
      </c>
      <c r="D608" s="208"/>
      <c r="E608" s="5" t="s">
        <v>724</v>
      </c>
      <c r="F608" s="5"/>
      <c r="G608" s="5" t="s">
        <v>724</v>
      </c>
      <c r="H608" s="5" t="s">
        <v>724</v>
      </c>
      <c r="I608" s="5" t="s">
        <v>1178</v>
      </c>
      <c r="J608" s="6" t="s">
        <v>649</v>
      </c>
      <c r="K608" s="6"/>
      <c r="L608" s="6"/>
      <c r="M608" s="6">
        <v>1</v>
      </c>
      <c r="N608" s="6"/>
      <c r="O608" s="15">
        <v>4</v>
      </c>
      <c r="P608" s="6"/>
      <c r="Q608" s="6" t="s">
        <v>993</v>
      </c>
      <c r="R608" s="7" t="s">
        <v>599</v>
      </c>
      <c r="S608">
        <v>35</v>
      </c>
      <c r="T608">
        <f t="shared" si="25"/>
        <v>0.125</v>
      </c>
    </row>
    <row r="609" spans="1:20" x14ac:dyDescent="0.25">
      <c r="A609" s="765">
        <v>163</v>
      </c>
      <c r="B609" s="765" t="s">
        <v>1403</v>
      </c>
      <c r="C609" s="46" t="s">
        <v>206</v>
      </c>
      <c r="D609" s="207"/>
      <c r="E609" s="2" t="s">
        <v>724</v>
      </c>
      <c r="F609" s="2"/>
      <c r="G609" s="2" t="s">
        <v>724</v>
      </c>
      <c r="H609" s="2" t="s">
        <v>724</v>
      </c>
      <c r="I609" s="2" t="s">
        <v>724</v>
      </c>
      <c r="J609" s="3" t="s">
        <v>649</v>
      </c>
      <c r="K609" s="3"/>
      <c r="L609" s="3"/>
      <c r="M609" s="3">
        <v>1</v>
      </c>
      <c r="N609" s="3"/>
      <c r="O609" s="29">
        <v>4</v>
      </c>
      <c r="P609" s="3"/>
      <c r="Q609" s="6" t="s">
        <v>993</v>
      </c>
      <c r="R609" s="4" t="s">
        <v>599</v>
      </c>
      <c r="S609">
        <v>35</v>
      </c>
      <c r="T609">
        <f t="shared" si="25"/>
        <v>0.125</v>
      </c>
    </row>
    <row r="610" spans="1:20" x14ac:dyDescent="0.25">
      <c r="A610" s="765">
        <v>165</v>
      </c>
      <c r="B610" s="765" t="s">
        <v>1403</v>
      </c>
      <c r="C610" s="47" t="s">
        <v>207</v>
      </c>
      <c r="D610" s="208"/>
      <c r="E610" s="5" t="s">
        <v>724</v>
      </c>
      <c r="F610" s="5"/>
      <c r="G610" s="5" t="s">
        <v>724</v>
      </c>
      <c r="H610" s="5"/>
      <c r="I610" s="5"/>
      <c r="J610" s="6" t="s">
        <v>649</v>
      </c>
      <c r="K610" s="6"/>
      <c r="L610" s="6"/>
      <c r="M610" s="6">
        <v>1</v>
      </c>
      <c r="N610" s="6"/>
      <c r="O610" s="15">
        <v>4</v>
      </c>
      <c r="P610" s="6"/>
      <c r="Q610" s="6" t="s">
        <v>993</v>
      </c>
      <c r="R610" s="7" t="s">
        <v>599</v>
      </c>
      <c r="S610">
        <v>35</v>
      </c>
      <c r="T610">
        <f t="shared" si="25"/>
        <v>0.125</v>
      </c>
    </row>
    <row r="611" spans="1:20" x14ac:dyDescent="0.25">
      <c r="A611" s="765">
        <v>161</v>
      </c>
      <c r="B611" s="765" t="s">
        <v>1403</v>
      </c>
      <c r="C611" s="46" t="s">
        <v>600</v>
      </c>
      <c r="D611" s="207"/>
      <c r="E611" s="2"/>
      <c r="F611" s="2"/>
      <c r="G611" s="2"/>
      <c r="H611" s="2"/>
      <c r="I611" s="2"/>
      <c r="J611" s="3" t="s">
        <v>649</v>
      </c>
      <c r="K611" s="3"/>
      <c r="L611" s="3"/>
      <c r="M611" s="3">
        <v>1</v>
      </c>
      <c r="N611" s="3"/>
      <c r="O611" s="29">
        <v>4</v>
      </c>
      <c r="P611" s="3"/>
      <c r="Q611" s="6" t="s">
        <v>993</v>
      </c>
      <c r="R611" s="4" t="s">
        <v>599</v>
      </c>
      <c r="S611">
        <v>35</v>
      </c>
      <c r="T611">
        <f t="shared" si="25"/>
        <v>0.125</v>
      </c>
    </row>
    <row r="612" spans="1:20" x14ac:dyDescent="0.25">
      <c r="A612" s="765">
        <v>260</v>
      </c>
      <c r="B612" s="765" t="s">
        <v>1403</v>
      </c>
      <c r="C612" s="47" t="s">
        <v>1006</v>
      </c>
      <c r="D612" s="208"/>
      <c r="E612" s="5"/>
      <c r="F612" s="5"/>
      <c r="G612" s="5"/>
      <c r="H612" s="5"/>
      <c r="I612" s="5"/>
      <c r="J612" s="6" t="s">
        <v>649</v>
      </c>
      <c r="K612" s="6"/>
      <c r="L612" s="6"/>
      <c r="M612" s="6">
        <v>1</v>
      </c>
      <c r="N612" s="6"/>
      <c r="O612" s="15">
        <v>4</v>
      </c>
      <c r="P612" s="6"/>
      <c r="Q612" s="6" t="s">
        <v>993</v>
      </c>
      <c r="R612" s="7" t="s">
        <v>599</v>
      </c>
      <c r="S612">
        <v>35</v>
      </c>
      <c r="T612">
        <f t="shared" si="25"/>
        <v>0.125</v>
      </c>
    </row>
    <row r="613" spans="1:20" x14ac:dyDescent="0.25">
      <c r="A613" s="765">
        <v>259</v>
      </c>
      <c r="B613" s="765" t="s">
        <v>1403</v>
      </c>
      <c r="C613" s="46" t="s">
        <v>597</v>
      </c>
      <c r="D613" s="207"/>
      <c r="E613" s="2"/>
      <c r="F613" s="2"/>
      <c r="G613" s="2"/>
      <c r="H613" s="2"/>
      <c r="I613" s="2"/>
      <c r="J613" s="3" t="s">
        <v>650</v>
      </c>
      <c r="K613" s="3"/>
      <c r="L613" s="3"/>
      <c r="M613" s="3">
        <v>1</v>
      </c>
      <c r="N613" s="3"/>
      <c r="O613" s="29">
        <v>4</v>
      </c>
      <c r="P613" s="3"/>
      <c r="Q613" s="6" t="s">
        <v>993</v>
      </c>
      <c r="R613" s="4" t="s">
        <v>599</v>
      </c>
      <c r="S613">
        <v>35</v>
      </c>
      <c r="T613">
        <f t="shared" si="25"/>
        <v>0.125</v>
      </c>
    </row>
    <row r="614" spans="1:20" x14ac:dyDescent="0.25">
      <c r="A614" s="765">
        <v>164</v>
      </c>
      <c r="B614" s="765" t="s">
        <v>1403</v>
      </c>
      <c r="C614" s="47" t="s">
        <v>204</v>
      </c>
      <c r="D614" s="208"/>
      <c r="E614" s="5"/>
      <c r="F614" s="5"/>
      <c r="G614" s="5"/>
      <c r="H614" s="5"/>
      <c r="I614" s="5"/>
      <c r="J614" s="6" t="s">
        <v>650</v>
      </c>
      <c r="K614" s="6"/>
      <c r="L614" s="6"/>
      <c r="M614" s="6">
        <v>1</v>
      </c>
      <c r="N614" s="6"/>
      <c r="O614" s="15">
        <v>4</v>
      </c>
      <c r="P614" s="6"/>
      <c r="Q614" s="6" t="s">
        <v>993</v>
      </c>
      <c r="R614" s="7" t="s">
        <v>599</v>
      </c>
      <c r="S614">
        <v>35</v>
      </c>
      <c r="T614">
        <f t="shared" si="25"/>
        <v>0.125</v>
      </c>
    </row>
    <row r="615" spans="1:20" x14ac:dyDescent="0.25">
      <c r="A615" s="765">
        <v>162</v>
      </c>
      <c r="B615" s="765" t="s">
        <v>1403</v>
      </c>
      <c r="C615" s="46" t="s">
        <v>205</v>
      </c>
      <c r="D615" s="207"/>
      <c r="E615" s="2"/>
      <c r="F615" s="2"/>
      <c r="G615" s="2"/>
      <c r="H615" s="2"/>
      <c r="I615" s="2"/>
      <c r="J615" s="3" t="s">
        <v>650</v>
      </c>
      <c r="K615" s="3"/>
      <c r="L615" s="3"/>
      <c r="M615" s="3">
        <v>1</v>
      </c>
      <c r="N615" s="3"/>
      <c r="O615" s="29">
        <v>4</v>
      </c>
      <c r="P615" s="3"/>
      <c r="Q615" s="6" t="s">
        <v>993</v>
      </c>
      <c r="R615" s="4" t="s">
        <v>599</v>
      </c>
      <c r="S615">
        <v>35</v>
      </c>
      <c r="T615">
        <f t="shared" si="25"/>
        <v>0.125</v>
      </c>
    </row>
    <row r="616" spans="1:20" x14ac:dyDescent="0.25">
      <c r="A616" s="765">
        <v>163</v>
      </c>
      <c r="B616" s="765" t="s">
        <v>1403</v>
      </c>
      <c r="C616" s="47" t="s">
        <v>206</v>
      </c>
      <c r="D616" s="208"/>
      <c r="E616" s="5"/>
      <c r="F616" s="5"/>
      <c r="G616" s="5"/>
      <c r="H616" s="5"/>
      <c r="I616" s="5"/>
      <c r="J616" s="6" t="s">
        <v>650</v>
      </c>
      <c r="K616" s="6"/>
      <c r="L616" s="6"/>
      <c r="M616" s="6">
        <v>1</v>
      </c>
      <c r="N616" s="6"/>
      <c r="O616" s="15">
        <v>4</v>
      </c>
      <c r="P616" s="6"/>
      <c r="Q616" s="6" t="s">
        <v>993</v>
      </c>
      <c r="R616" s="7" t="s">
        <v>599</v>
      </c>
      <c r="S616">
        <v>35</v>
      </c>
      <c r="T616">
        <f t="shared" si="25"/>
        <v>0.125</v>
      </c>
    </row>
    <row r="617" spans="1:20" x14ac:dyDescent="0.25">
      <c r="A617" s="765">
        <v>165</v>
      </c>
      <c r="B617" s="765" t="s">
        <v>1403</v>
      </c>
      <c r="C617" s="46" t="s">
        <v>207</v>
      </c>
      <c r="D617" s="207"/>
      <c r="E617" s="2"/>
      <c r="F617" s="2"/>
      <c r="G617" s="2"/>
      <c r="H617" s="2"/>
      <c r="I617" s="2"/>
      <c r="J617" s="3" t="s">
        <v>650</v>
      </c>
      <c r="K617" s="3"/>
      <c r="L617" s="3"/>
      <c r="M617" s="3">
        <v>1</v>
      </c>
      <c r="N617" s="3"/>
      <c r="O617" s="29">
        <v>4</v>
      </c>
      <c r="P617" s="3"/>
      <c r="Q617" s="6" t="s">
        <v>993</v>
      </c>
      <c r="R617" s="4" t="s">
        <v>599</v>
      </c>
      <c r="S617">
        <v>35</v>
      </c>
      <c r="T617">
        <f t="shared" si="25"/>
        <v>0.125</v>
      </c>
    </row>
    <row r="618" spans="1:20" x14ac:dyDescent="0.25">
      <c r="A618" s="765">
        <v>161</v>
      </c>
      <c r="B618" s="765" t="s">
        <v>1403</v>
      </c>
      <c r="C618" s="47" t="s">
        <v>600</v>
      </c>
      <c r="D618" s="208"/>
      <c r="E618" s="5"/>
      <c r="F618" s="5"/>
      <c r="G618" s="5"/>
      <c r="H618" s="5"/>
      <c r="I618" s="5"/>
      <c r="J618" s="6" t="s">
        <v>650</v>
      </c>
      <c r="K618" s="6"/>
      <c r="L618" s="6"/>
      <c r="M618" s="6">
        <v>1</v>
      </c>
      <c r="N618" s="6"/>
      <c r="O618" s="15">
        <v>4</v>
      </c>
      <c r="P618" s="6"/>
      <c r="Q618" s="6" t="s">
        <v>993</v>
      </c>
      <c r="R618" s="7" t="s">
        <v>599</v>
      </c>
      <c r="S618">
        <v>35</v>
      </c>
      <c r="T618">
        <f t="shared" si="25"/>
        <v>0.125</v>
      </c>
    </row>
    <row r="619" spans="1:20" x14ac:dyDescent="0.25">
      <c r="A619" s="765">
        <v>260</v>
      </c>
      <c r="B619" s="765" t="s">
        <v>1403</v>
      </c>
      <c r="C619" s="46" t="s">
        <v>601</v>
      </c>
      <c r="D619" s="207"/>
      <c r="E619" s="2"/>
      <c r="F619" s="2"/>
      <c r="G619" s="2"/>
      <c r="H619" s="2"/>
      <c r="I619" s="2"/>
      <c r="J619" s="3" t="s">
        <v>650</v>
      </c>
      <c r="K619" s="3"/>
      <c r="L619" s="3"/>
      <c r="M619" s="3">
        <v>1</v>
      </c>
      <c r="N619" s="3"/>
      <c r="O619" s="29">
        <v>4</v>
      </c>
      <c r="P619" s="3"/>
      <c r="Q619" s="6" t="s">
        <v>993</v>
      </c>
      <c r="R619" s="4" t="s">
        <v>599</v>
      </c>
      <c r="S619">
        <v>35</v>
      </c>
      <c r="T619">
        <f t="shared" si="25"/>
        <v>0.125</v>
      </c>
    </row>
    <row r="620" spans="1:20" x14ac:dyDescent="0.25">
      <c r="A620" s="765">
        <v>265</v>
      </c>
      <c r="B620" s="765" t="s">
        <v>1403</v>
      </c>
      <c r="C620" s="47" t="s">
        <v>603</v>
      </c>
      <c r="D620" s="208"/>
      <c r="E620" s="5" t="s">
        <v>724</v>
      </c>
      <c r="F620" s="5"/>
      <c r="G620" s="5"/>
      <c r="H620" s="5"/>
      <c r="I620" s="5"/>
      <c r="J620" s="6" t="s">
        <v>651</v>
      </c>
      <c r="K620" s="6"/>
      <c r="L620" s="6"/>
      <c r="M620" s="6">
        <v>1</v>
      </c>
      <c r="N620" s="6"/>
      <c r="O620" s="15">
        <v>4</v>
      </c>
      <c r="P620" s="6"/>
      <c r="Q620" s="6" t="s">
        <v>993</v>
      </c>
      <c r="R620" s="7" t="s">
        <v>599</v>
      </c>
      <c r="S620">
        <v>35</v>
      </c>
      <c r="T620">
        <f t="shared" si="25"/>
        <v>0.125</v>
      </c>
    </row>
    <row r="621" spans="1:20" x14ac:dyDescent="0.25">
      <c r="A621" s="765">
        <v>174</v>
      </c>
      <c r="B621" s="765" t="s">
        <v>1403</v>
      </c>
      <c r="C621" s="46" t="s">
        <v>605</v>
      </c>
      <c r="D621" s="207"/>
      <c r="E621" s="2"/>
      <c r="F621" s="2"/>
      <c r="G621" s="2"/>
      <c r="H621" s="2"/>
      <c r="I621" s="2"/>
      <c r="J621" s="3" t="s">
        <v>651</v>
      </c>
      <c r="K621" s="3"/>
      <c r="L621" s="3"/>
      <c r="M621" s="3">
        <v>1</v>
      </c>
      <c r="N621" s="3"/>
      <c r="O621" s="29">
        <v>4</v>
      </c>
      <c r="P621" s="3" t="s">
        <v>50</v>
      </c>
      <c r="Q621" s="3" t="s">
        <v>889</v>
      </c>
      <c r="R621" s="4" t="s">
        <v>599</v>
      </c>
      <c r="S621">
        <v>35</v>
      </c>
      <c r="T621">
        <f t="shared" si="25"/>
        <v>0.125</v>
      </c>
    </row>
    <row r="622" spans="1:20" x14ac:dyDescent="0.25">
      <c r="A622" s="765">
        <v>175</v>
      </c>
      <c r="B622" s="765" t="s">
        <v>1403</v>
      </c>
      <c r="C622" s="47" t="s">
        <v>606</v>
      </c>
      <c r="D622" s="208"/>
      <c r="E622" s="5"/>
      <c r="F622" s="5"/>
      <c r="G622" s="5"/>
      <c r="H622" s="5"/>
      <c r="I622" s="5"/>
      <c r="J622" s="6" t="s">
        <v>651</v>
      </c>
      <c r="K622" s="6"/>
      <c r="L622" s="6"/>
      <c r="M622" s="6">
        <v>1</v>
      </c>
      <c r="N622" s="6"/>
      <c r="O622" s="15">
        <v>4</v>
      </c>
      <c r="P622" s="6"/>
      <c r="Q622" s="6" t="s">
        <v>890</v>
      </c>
      <c r="R622" s="7" t="s">
        <v>599</v>
      </c>
      <c r="S622">
        <v>35</v>
      </c>
      <c r="T622">
        <f t="shared" si="25"/>
        <v>0.125</v>
      </c>
    </row>
    <row r="623" spans="1:20" x14ac:dyDescent="0.25">
      <c r="A623" s="765">
        <v>176</v>
      </c>
      <c r="B623" s="765" t="s">
        <v>1403</v>
      </c>
      <c r="C623" s="46" t="s">
        <v>607</v>
      </c>
      <c r="D623" s="207"/>
      <c r="E623" s="2" t="s">
        <v>724</v>
      </c>
      <c r="F623" s="2"/>
      <c r="G623" s="2" t="s">
        <v>724</v>
      </c>
      <c r="H623" s="2"/>
      <c r="I623" s="2" t="s">
        <v>724</v>
      </c>
      <c r="J623" s="3" t="s">
        <v>651</v>
      </c>
      <c r="K623" s="3"/>
      <c r="L623" s="3"/>
      <c r="M623" s="3">
        <v>1</v>
      </c>
      <c r="N623" s="3"/>
      <c r="O623" s="29">
        <v>4</v>
      </c>
      <c r="P623" s="3"/>
      <c r="Q623" s="3" t="s">
        <v>903</v>
      </c>
      <c r="R623" s="4" t="s">
        <v>599</v>
      </c>
      <c r="S623">
        <v>35</v>
      </c>
      <c r="T623">
        <f t="shared" si="25"/>
        <v>0.125</v>
      </c>
    </row>
    <row r="624" spans="1:20" x14ac:dyDescent="0.25">
      <c r="A624" s="765">
        <v>178</v>
      </c>
      <c r="B624" s="765" t="s">
        <v>1403</v>
      </c>
      <c r="C624" s="47" t="s">
        <v>608</v>
      </c>
      <c r="D624" s="208"/>
      <c r="E624" s="5"/>
      <c r="F624" s="5"/>
      <c r="G624" s="5"/>
      <c r="H624" s="5"/>
      <c r="I624" s="5"/>
      <c r="J624" s="6" t="s">
        <v>651</v>
      </c>
      <c r="K624" s="6"/>
      <c r="L624" s="6"/>
      <c r="M624" s="6">
        <v>1</v>
      </c>
      <c r="N624" s="6"/>
      <c r="O624" s="15">
        <v>4</v>
      </c>
      <c r="P624" s="6"/>
      <c r="Q624" s="6"/>
      <c r="R624" s="7" t="s">
        <v>599</v>
      </c>
      <c r="S624">
        <v>35</v>
      </c>
      <c r="T624">
        <f t="shared" si="25"/>
        <v>0.125</v>
      </c>
    </row>
    <row r="625" spans="1:20" x14ac:dyDescent="0.25">
      <c r="A625" s="765">
        <v>179</v>
      </c>
      <c r="B625" s="765" t="s">
        <v>1403</v>
      </c>
      <c r="C625" s="47" t="s">
        <v>610</v>
      </c>
      <c r="D625" s="208"/>
      <c r="E625" s="5" t="s">
        <v>724</v>
      </c>
      <c r="F625" s="2"/>
      <c r="G625" s="2" t="s">
        <v>724</v>
      </c>
      <c r="H625" s="2"/>
      <c r="I625" s="2" t="s">
        <v>724</v>
      </c>
      <c r="J625" s="3" t="s">
        <v>651</v>
      </c>
      <c r="K625" s="3"/>
      <c r="L625" s="3"/>
      <c r="M625" s="3">
        <v>1</v>
      </c>
      <c r="N625" s="3"/>
      <c r="O625" s="29">
        <v>4</v>
      </c>
      <c r="P625" s="3"/>
      <c r="Q625" s="6" t="s">
        <v>904</v>
      </c>
      <c r="R625" s="4" t="s">
        <v>599</v>
      </c>
      <c r="S625">
        <v>35</v>
      </c>
      <c r="T625">
        <f t="shared" si="25"/>
        <v>0.125</v>
      </c>
    </row>
    <row r="626" spans="1:20" x14ac:dyDescent="0.25">
      <c r="A626" s="765"/>
      <c r="B626" s="765" t="s">
        <v>1403</v>
      </c>
      <c r="C626" s="46" t="s">
        <v>967</v>
      </c>
      <c r="D626" s="207"/>
      <c r="E626" s="2"/>
      <c r="F626" s="2"/>
      <c r="G626" s="2"/>
      <c r="H626" s="2"/>
      <c r="I626" s="2"/>
      <c r="J626" s="6" t="s">
        <v>651</v>
      </c>
      <c r="K626" s="6"/>
      <c r="L626" s="6"/>
      <c r="M626" s="6">
        <v>1</v>
      </c>
      <c r="N626" s="6"/>
      <c r="O626" s="15">
        <v>4</v>
      </c>
      <c r="P626" s="6"/>
      <c r="Q626" s="3" t="s">
        <v>1001</v>
      </c>
      <c r="R626" s="7" t="s">
        <v>599</v>
      </c>
      <c r="S626">
        <v>35</v>
      </c>
      <c r="T626">
        <f t="shared" si="25"/>
        <v>0.125</v>
      </c>
    </row>
    <row r="627" spans="1:20" x14ac:dyDescent="0.25">
      <c r="A627" s="765"/>
      <c r="B627" s="765" t="s">
        <v>1403</v>
      </c>
      <c r="C627" s="46" t="s">
        <v>611</v>
      </c>
      <c r="D627" s="207"/>
      <c r="E627" s="2"/>
      <c r="F627" s="5"/>
      <c r="G627" s="5"/>
      <c r="H627" s="5"/>
      <c r="I627" s="5"/>
      <c r="J627" s="3" t="s">
        <v>651</v>
      </c>
      <c r="K627" s="3"/>
      <c r="L627" s="3"/>
      <c r="M627" s="3">
        <v>1</v>
      </c>
      <c r="N627" s="3"/>
      <c r="O627" s="29">
        <v>4</v>
      </c>
      <c r="P627" s="3"/>
      <c r="Q627" s="3"/>
      <c r="R627" s="4" t="s">
        <v>599</v>
      </c>
      <c r="S627">
        <v>35</v>
      </c>
      <c r="T627">
        <f t="shared" si="25"/>
        <v>0.125</v>
      </c>
    </row>
    <row r="628" spans="1:20" x14ac:dyDescent="0.25">
      <c r="A628" s="765">
        <v>266</v>
      </c>
      <c r="B628" s="765" t="s">
        <v>1403</v>
      </c>
      <c r="C628" s="47" t="s">
        <v>612</v>
      </c>
      <c r="D628" s="208"/>
      <c r="E628" s="5"/>
      <c r="F628" s="2"/>
      <c r="G628" s="2"/>
      <c r="H628" s="2"/>
      <c r="I628" s="2"/>
      <c r="J628" s="6" t="s">
        <v>651</v>
      </c>
      <c r="K628" s="6"/>
      <c r="L628" s="6"/>
      <c r="M628" s="6">
        <v>1</v>
      </c>
      <c r="N628" s="6"/>
      <c r="O628" s="15">
        <v>4</v>
      </c>
      <c r="P628" s="6"/>
      <c r="Q628" s="6"/>
      <c r="R628" s="7" t="s">
        <v>599</v>
      </c>
      <c r="S628">
        <v>35</v>
      </c>
      <c r="T628">
        <f t="shared" si="25"/>
        <v>0.125</v>
      </c>
    </row>
    <row r="629" spans="1:20" x14ac:dyDescent="0.25">
      <c r="A629" s="765">
        <v>181</v>
      </c>
      <c r="B629" s="765" t="s">
        <v>1403</v>
      </c>
      <c r="C629" s="46" t="s">
        <v>613</v>
      </c>
      <c r="D629" s="207"/>
      <c r="E629" s="2" t="s">
        <v>724</v>
      </c>
      <c r="F629" s="5"/>
      <c r="G629" s="5"/>
      <c r="H629" s="5"/>
      <c r="I629" s="5"/>
      <c r="J629" s="3" t="s">
        <v>651</v>
      </c>
      <c r="K629" s="3"/>
      <c r="L629" s="3"/>
      <c r="M629" s="3">
        <v>1</v>
      </c>
      <c r="N629" s="3"/>
      <c r="O629" s="29">
        <v>4</v>
      </c>
      <c r="P629" s="3"/>
      <c r="Q629" s="3" t="s">
        <v>900</v>
      </c>
      <c r="R629" s="4" t="s">
        <v>599</v>
      </c>
      <c r="S629">
        <v>35</v>
      </c>
      <c r="T629">
        <f t="shared" si="25"/>
        <v>0.125</v>
      </c>
    </row>
    <row r="630" spans="1:20" x14ac:dyDescent="0.25">
      <c r="A630" s="765">
        <v>267</v>
      </c>
      <c r="B630" s="765" t="s">
        <v>1403</v>
      </c>
      <c r="C630" s="47" t="s">
        <v>614</v>
      </c>
      <c r="D630" s="208"/>
      <c r="E630" s="5"/>
      <c r="F630" s="2"/>
      <c r="G630" s="2"/>
      <c r="H630" s="2"/>
      <c r="I630" s="2"/>
      <c r="J630" s="6" t="s">
        <v>651</v>
      </c>
      <c r="K630" s="6"/>
      <c r="L630" s="6"/>
      <c r="M630" s="6">
        <v>1</v>
      </c>
      <c r="N630" s="6"/>
      <c r="O630" s="15">
        <v>4</v>
      </c>
      <c r="P630" s="6"/>
      <c r="Q630" s="6"/>
      <c r="R630" s="7" t="s">
        <v>599</v>
      </c>
      <c r="S630">
        <v>35</v>
      </c>
      <c r="T630">
        <f t="shared" si="25"/>
        <v>0.125</v>
      </c>
    </row>
    <row r="631" spans="1:20" x14ac:dyDescent="0.25">
      <c r="A631" s="765">
        <v>182</v>
      </c>
      <c r="B631" s="765" t="s">
        <v>1403</v>
      </c>
      <c r="C631" s="46" t="s">
        <v>615</v>
      </c>
      <c r="D631" s="207"/>
      <c r="E631" s="2"/>
      <c r="F631" s="5"/>
      <c r="G631" s="5"/>
      <c r="H631" s="5"/>
      <c r="I631" s="5"/>
      <c r="J631" s="3" t="s">
        <v>651</v>
      </c>
      <c r="K631" s="3"/>
      <c r="L631" s="3"/>
      <c r="M631" s="3">
        <v>1</v>
      </c>
      <c r="N631" s="3"/>
      <c r="O631" s="29">
        <v>4</v>
      </c>
      <c r="P631" s="3"/>
      <c r="Q631" s="3" t="s">
        <v>905</v>
      </c>
      <c r="R631" s="4" t="s">
        <v>599</v>
      </c>
      <c r="S631">
        <v>35</v>
      </c>
      <c r="T631">
        <f t="shared" si="25"/>
        <v>0.125</v>
      </c>
    </row>
    <row r="632" spans="1:20" x14ac:dyDescent="0.25">
      <c r="A632" s="765">
        <v>183</v>
      </c>
      <c r="B632" s="765" t="s">
        <v>1403</v>
      </c>
      <c r="C632" s="47" t="s">
        <v>616</v>
      </c>
      <c r="D632" s="208"/>
      <c r="E632" s="5"/>
      <c r="F632" s="2"/>
      <c r="G632" s="2"/>
      <c r="H632" s="2"/>
      <c r="I632" s="2"/>
      <c r="J632" s="6" t="s">
        <v>651</v>
      </c>
      <c r="K632" s="6"/>
      <c r="L632" s="6"/>
      <c r="M632" s="6">
        <v>1</v>
      </c>
      <c r="N632" s="6"/>
      <c r="O632" s="15">
        <v>4</v>
      </c>
      <c r="P632" s="6"/>
      <c r="Q632" s="6"/>
      <c r="R632" s="7" t="s">
        <v>599</v>
      </c>
      <c r="S632">
        <v>35</v>
      </c>
      <c r="T632">
        <f t="shared" si="25"/>
        <v>0.125</v>
      </c>
    </row>
    <row r="633" spans="1:20" x14ac:dyDescent="0.25">
      <c r="B633" s="765" t="s">
        <v>1403</v>
      </c>
      <c r="C633" s="46" t="s">
        <v>617</v>
      </c>
      <c r="D633" s="207"/>
      <c r="E633" s="2"/>
      <c r="F633" s="5"/>
      <c r="G633" s="5"/>
      <c r="H633" s="5"/>
      <c r="I633" s="5"/>
      <c r="J633" s="3" t="s">
        <v>651</v>
      </c>
      <c r="K633" s="3"/>
      <c r="L633" s="3"/>
      <c r="M633" s="3">
        <v>1</v>
      </c>
      <c r="N633" s="3"/>
      <c r="O633" s="29">
        <v>4</v>
      </c>
      <c r="P633" s="3"/>
      <c r="Q633" s="3"/>
      <c r="R633" s="4" t="s">
        <v>599</v>
      </c>
      <c r="S633">
        <v>35</v>
      </c>
      <c r="T633">
        <f t="shared" si="25"/>
        <v>0.125</v>
      </c>
    </row>
    <row r="634" spans="1:20" x14ac:dyDescent="0.25">
      <c r="A634" s="765">
        <v>184</v>
      </c>
      <c r="B634" s="765" t="s">
        <v>1403</v>
      </c>
      <c r="C634" s="47" t="s">
        <v>618</v>
      </c>
      <c r="D634" s="208"/>
      <c r="E634" s="5"/>
      <c r="F634" s="2"/>
      <c r="G634" s="2"/>
      <c r="H634" s="2"/>
      <c r="I634" s="2"/>
      <c r="J634" s="6" t="s">
        <v>651</v>
      </c>
      <c r="K634" s="6"/>
      <c r="L634" s="6"/>
      <c r="M634" s="6">
        <v>1</v>
      </c>
      <c r="N634" s="6"/>
      <c r="O634" s="15">
        <v>4</v>
      </c>
      <c r="P634" s="6"/>
      <c r="Q634" s="6"/>
      <c r="R634" s="7" t="s">
        <v>599</v>
      </c>
      <c r="S634">
        <v>35</v>
      </c>
      <c r="T634">
        <f t="shared" si="25"/>
        <v>0.125</v>
      </c>
    </row>
    <row r="635" spans="1:20" x14ac:dyDescent="0.25">
      <c r="A635" s="765">
        <v>185</v>
      </c>
      <c r="B635" s="765" t="s">
        <v>1403</v>
      </c>
      <c r="C635" s="46" t="s">
        <v>619</v>
      </c>
      <c r="D635" s="207"/>
      <c r="E635" s="2"/>
      <c r="F635" s="5"/>
      <c r="G635" s="5"/>
      <c r="H635" s="5"/>
      <c r="I635" s="5"/>
      <c r="J635" s="3" t="s">
        <v>651</v>
      </c>
      <c r="K635" s="3"/>
      <c r="L635" s="3"/>
      <c r="M635" s="3">
        <v>1</v>
      </c>
      <c r="N635" s="3"/>
      <c r="O635" s="29">
        <v>4</v>
      </c>
      <c r="P635" s="3"/>
      <c r="Q635" s="3" t="s">
        <v>892</v>
      </c>
      <c r="R635" s="4" t="s">
        <v>599</v>
      </c>
      <c r="S635">
        <v>35</v>
      </c>
      <c r="T635">
        <f t="shared" si="25"/>
        <v>0.125</v>
      </c>
    </row>
    <row r="636" spans="1:20" x14ac:dyDescent="0.25">
      <c r="A636" s="765">
        <v>186</v>
      </c>
      <c r="B636" s="765" t="s">
        <v>1403</v>
      </c>
      <c r="C636" s="47" t="s">
        <v>620</v>
      </c>
      <c r="D636" s="208"/>
      <c r="E636" s="5"/>
      <c r="F636" s="2"/>
      <c r="G636" s="2"/>
      <c r="H636" s="2"/>
      <c r="I636" s="2"/>
      <c r="J636" s="6" t="s">
        <v>651</v>
      </c>
      <c r="K636" s="6"/>
      <c r="L636" s="6"/>
      <c r="M636" s="6">
        <v>1</v>
      </c>
      <c r="N636" s="6"/>
      <c r="O636" s="15">
        <v>4</v>
      </c>
      <c r="P636" s="6"/>
      <c r="Q636" s="6"/>
      <c r="R636" s="7" t="s">
        <v>599</v>
      </c>
      <c r="S636">
        <v>35</v>
      </c>
      <c r="T636">
        <f t="shared" si="25"/>
        <v>0.125</v>
      </c>
    </row>
    <row r="637" spans="1:20" x14ac:dyDescent="0.25">
      <c r="A637" s="765">
        <v>187</v>
      </c>
      <c r="B637" s="765" t="s">
        <v>1403</v>
      </c>
      <c r="C637" s="46" t="s">
        <v>621</v>
      </c>
      <c r="D637" s="207"/>
      <c r="E637" s="2"/>
      <c r="F637" s="5"/>
      <c r="G637" s="5"/>
      <c r="H637" s="5"/>
      <c r="I637" s="5"/>
      <c r="J637" s="3" t="s">
        <v>651</v>
      </c>
      <c r="K637" s="3"/>
      <c r="L637" s="3"/>
      <c r="M637" s="3">
        <v>1</v>
      </c>
      <c r="N637" s="3"/>
      <c r="O637" s="29">
        <v>4</v>
      </c>
      <c r="P637" s="3"/>
      <c r="Q637" s="3"/>
      <c r="R637" s="4" t="s">
        <v>599</v>
      </c>
      <c r="S637">
        <v>35</v>
      </c>
      <c r="T637">
        <f t="shared" si="25"/>
        <v>0.125</v>
      </c>
    </row>
    <row r="638" spans="1:20" x14ac:dyDescent="0.25">
      <c r="A638" s="765">
        <v>188</v>
      </c>
      <c r="B638" s="765" t="s">
        <v>1403</v>
      </c>
      <c r="C638" s="47" t="s">
        <v>622</v>
      </c>
      <c r="D638" s="208"/>
      <c r="E638" s="5"/>
      <c r="F638" s="2"/>
      <c r="G638" s="2"/>
      <c r="H638" s="2"/>
      <c r="I638" s="2"/>
      <c r="J638" s="6" t="s">
        <v>651</v>
      </c>
      <c r="K638" s="6"/>
      <c r="L638" s="6"/>
      <c r="M638" s="6">
        <v>1</v>
      </c>
      <c r="N638" s="6"/>
      <c r="O638" s="15">
        <v>4</v>
      </c>
      <c r="P638" s="6"/>
      <c r="Q638" s="6" t="s">
        <v>894</v>
      </c>
      <c r="R638" s="7" t="s">
        <v>599</v>
      </c>
      <c r="S638">
        <v>35</v>
      </c>
      <c r="T638">
        <f t="shared" si="25"/>
        <v>0.125</v>
      </c>
    </row>
    <row r="639" spans="1:20" x14ac:dyDescent="0.25">
      <c r="A639" s="765">
        <v>269</v>
      </c>
      <c r="B639" s="765" t="s">
        <v>1403</v>
      </c>
      <c r="C639" s="46" t="s">
        <v>623</v>
      </c>
      <c r="D639" s="207"/>
      <c r="E639" s="2"/>
      <c r="F639" s="5"/>
      <c r="G639" s="5"/>
      <c r="H639" s="5"/>
      <c r="I639" s="5"/>
      <c r="J639" s="3" t="s">
        <v>651</v>
      </c>
      <c r="K639" s="3"/>
      <c r="L639" s="3"/>
      <c r="M639" s="3">
        <v>1</v>
      </c>
      <c r="N639" s="3"/>
      <c r="O639" s="29">
        <v>4</v>
      </c>
      <c r="P639" s="3"/>
      <c r="Q639" s="3" t="s">
        <v>994</v>
      </c>
      <c r="R639" s="4" t="s">
        <v>599</v>
      </c>
      <c r="S639">
        <v>35</v>
      </c>
      <c r="T639">
        <f t="shared" si="25"/>
        <v>0.125</v>
      </c>
    </row>
    <row r="640" spans="1:20" x14ac:dyDescent="0.25">
      <c r="A640" s="765">
        <v>270</v>
      </c>
      <c r="B640" s="765" t="s">
        <v>1403</v>
      </c>
      <c r="C640" s="47" t="s">
        <v>624</v>
      </c>
      <c r="D640" s="208"/>
      <c r="E640" s="5" t="s">
        <v>724</v>
      </c>
      <c r="F640" s="2"/>
      <c r="G640" s="2" t="s">
        <v>724</v>
      </c>
      <c r="H640" s="2"/>
      <c r="I640" s="2" t="s">
        <v>724</v>
      </c>
      <c r="J640" s="6" t="s">
        <v>651</v>
      </c>
      <c r="K640" s="6"/>
      <c r="L640" s="6"/>
      <c r="M640" s="6">
        <v>1</v>
      </c>
      <c r="N640" s="6"/>
      <c r="O640" s="15">
        <v>4</v>
      </c>
      <c r="P640" s="6"/>
      <c r="Q640" s="6" t="s">
        <v>907</v>
      </c>
      <c r="R640" s="7" t="s">
        <v>599</v>
      </c>
      <c r="S640">
        <v>35</v>
      </c>
      <c r="T640">
        <f t="shared" si="25"/>
        <v>0.125</v>
      </c>
    </row>
    <row r="641" spans="1:20" x14ac:dyDescent="0.25">
      <c r="A641" s="765">
        <v>190</v>
      </c>
      <c r="B641" s="765" t="s">
        <v>1403</v>
      </c>
      <c r="C641" s="46" t="s">
        <v>625</v>
      </c>
      <c r="D641" s="207"/>
      <c r="E641" s="2" t="s">
        <v>724</v>
      </c>
      <c r="F641" s="5"/>
      <c r="G641" s="5"/>
      <c r="H641" s="5"/>
      <c r="I641" s="5"/>
      <c r="J641" s="3" t="s">
        <v>651</v>
      </c>
      <c r="K641" s="3"/>
      <c r="L641" s="3"/>
      <c r="M641" s="3">
        <v>1</v>
      </c>
      <c r="N641" s="3"/>
      <c r="O641" s="29">
        <v>4</v>
      </c>
      <c r="P641" s="3"/>
      <c r="Q641" s="3" t="s">
        <v>901</v>
      </c>
      <c r="R641" s="4" t="s">
        <v>599</v>
      </c>
      <c r="S641">
        <v>35</v>
      </c>
      <c r="T641">
        <f t="shared" si="25"/>
        <v>0.125</v>
      </c>
    </row>
    <row r="642" spans="1:20" x14ac:dyDescent="0.25">
      <c r="A642" s="765">
        <v>191</v>
      </c>
      <c r="B642" s="765" t="s">
        <v>1403</v>
      </c>
      <c r="C642" s="47" t="s">
        <v>626</v>
      </c>
      <c r="D642" s="208"/>
      <c r="E642" s="5"/>
      <c r="F642" s="2"/>
      <c r="G642" s="2"/>
      <c r="H642" s="2"/>
      <c r="I642" s="2"/>
      <c r="J642" s="6" t="s">
        <v>651</v>
      </c>
      <c r="K642" s="6"/>
      <c r="L642" s="6"/>
      <c r="M642" s="6">
        <v>1</v>
      </c>
      <c r="N642" s="6"/>
      <c r="O642" s="15">
        <v>4</v>
      </c>
      <c r="P642" s="6"/>
      <c r="Q642" s="6"/>
      <c r="R642" s="7" t="s">
        <v>599</v>
      </c>
      <c r="S642">
        <v>35</v>
      </c>
      <c r="T642">
        <f t="shared" si="25"/>
        <v>0.125</v>
      </c>
    </row>
    <row r="643" spans="1:20" x14ac:dyDescent="0.25">
      <c r="A643" s="765">
        <v>187</v>
      </c>
      <c r="B643" s="765" t="s">
        <v>1403</v>
      </c>
      <c r="C643" s="46" t="s">
        <v>627</v>
      </c>
      <c r="D643" s="207"/>
      <c r="E643" s="2"/>
      <c r="F643" s="5"/>
      <c r="G643" s="5"/>
      <c r="H643" s="5"/>
      <c r="I643" s="5"/>
      <c r="J643" s="3" t="s">
        <v>651</v>
      </c>
      <c r="K643" s="3"/>
      <c r="L643" s="3"/>
      <c r="M643" s="3">
        <v>1</v>
      </c>
      <c r="N643" s="3"/>
      <c r="O643" s="29">
        <v>4</v>
      </c>
      <c r="P643" s="3"/>
      <c r="Q643" s="3" t="s">
        <v>895</v>
      </c>
      <c r="R643" s="4" t="s">
        <v>599</v>
      </c>
      <c r="S643">
        <v>35</v>
      </c>
      <c r="T643">
        <f t="shared" si="25"/>
        <v>0.125</v>
      </c>
    </row>
    <row r="644" spans="1:20" x14ac:dyDescent="0.25">
      <c r="B644" s="765" t="s">
        <v>1403</v>
      </c>
      <c r="C644" s="46" t="s">
        <v>1052</v>
      </c>
      <c r="D644" s="207"/>
      <c r="E644" s="2"/>
      <c r="F644" s="5"/>
      <c r="G644" s="5"/>
      <c r="H644" s="5"/>
      <c r="I644" s="5"/>
      <c r="J644" s="3" t="s">
        <v>651</v>
      </c>
      <c r="K644" s="3"/>
      <c r="L644" s="3"/>
      <c r="M644" s="3">
        <v>1</v>
      </c>
      <c r="N644" s="3"/>
      <c r="O644" s="29">
        <v>4</v>
      </c>
      <c r="P644" s="3"/>
      <c r="Q644" s="3" t="s">
        <v>1055</v>
      </c>
      <c r="R644" s="4" t="s">
        <v>599</v>
      </c>
      <c r="S644">
        <v>35</v>
      </c>
      <c r="T644">
        <f t="shared" si="25"/>
        <v>0.125</v>
      </c>
    </row>
    <row r="645" spans="1:20" x14ac:dyDescent="0.25">
      <c r="B645" s="765" t="s">
        <v>1403</v>
      </c>
      <c r="C645" s="47" t="s">
        <v>628</v>
      </c>
      <c r="D645" s="208"/>
      <c r="E645" s="5" t="s">
        <v>724</v>
      </c>
      <c r="F645" s="2"/>
      <c r="G645" s="2" t="s">
        <v>1178</v>
      </c>
      <c r="H645" s="2"/>
      <c r="I645" s="2"/>
      <c r="J645" s="6" t="s">
        <v>651</v>
      </c>
      <c r="K645" s="6"/>
      <c r="L645" s="6"/>
      <c r="M645" s="6">
        <v>1</v>
      </c>
      <c r="N645" s="6"/>
      <c r="O645" s="15">
        <v>4</v>
      </c>
      <c r="P645" s="6"/>
      <c r="Q645" s="3" t="s">
        <v>1058</v>
      </c>
      <c r="R645" s="7" t="s">
        <v>599</v>
      </c>
      <c r="S645">
        <v>35</v>
      </c>
      <c r="T645">
        <f t="shared" si="25"/>
        <v>0.125</v>
      </c>
    </row>
    <row r="646" spans="1:20" x14ac:dyDescent="0.25">
      <c r="A646" s="765">
        <v>192</v>
      </c>
      <c r="B646" s="765" t="s">
        <v>1403</v>
      </c>
      <c r="C646" s="46" t="s">
        <v>629</v>
      </c>
      <c r="D646" s="207"/>
      <c r="E646" s="2" t="s">
        <v>724</v>
      </c>
      <c r="F646" s="5"/>
      <c r="G646" s="5" t="s">
        <v>724</v>
      </c>
      <c r="H646" s="5" t="s">
        <v>724</v>
      </c>
      <c r="I646" s="5"/>
      <c r="J646" s="3" t="s">
        <v>651</v>
      </c>
      <c r="K646" s="3"/>
      <c r="L646" s="3"/>
      <c r="M646" s="3">
        <v>1</v>
      </c>
      <c r="N646" s="3"/>
      <c r="O646" s="29">
        <v>4</v>
      </c>
      <c r="P646" s="3"/>
      <c r="Q646" s="3" t="s">
        <v>1225</v>
      </c>
      <c r="R646" s="4" t="s">
        <v>599</v>
      </c>
      <c r="S646">
        <v>35</v>
      </c>
      <c r="T646">
        <f t="shared" si="25"/>
        <v>0.125</v>
      </c>
    </row>
    <row r="647" spans="1:20" x14ac:dyDescent="0.25">
      <c r="A647" s="765">
        <v>180</v>
      </c>
      <c r="B647" s="765" t="s">
        <v>1403</v>
      </c>
      <c r="C647" s="47" t="s">
        <v>630</v>
      </c>
      <c r="D647" s="208"/>
      <c r="E647" s="5" t="s">
        <v>724</v>
      </c>
      <c r="F647" s="2"/>
      <c r="G647" s="2"/>
      <c r="H647" s="2"/>
      <c r="I647" s="2"/>
      <c r="J647" s="6" t="s">
        <v>651</v>
      </c>
      <c r="K647" s="6"/>
      <c r="L647" s="6"/>
      <c r="M647" s="6">
        <v>1</v>
      </c>
      <c r="N647" s="6"/>
      <c r="O647" s="15">
        <v>4</v>
      </c>
      <c r="P647" s="6"/>
      <c r="Q647" s="6" t="s">
        <v>1224</v>
      </c>
      <c r="R647" s="7" t="s">
        <v>599</v>
      </c>
      <c r="S647">
        <v>35</v>
      </c>
      <c r="T647">
        <f t="shared" si="25"/>
        <v>0.125</v>
      </c>
    </row>
    <row r="648" spans="1:20" x14ac:dyDescent="0.25">
      <c r="B648" s="765" t="s">
        <v>1403</v>
      </c>
      <c r="C648" s="46" t="s">
        <v>773</v>
      </c>
      <c r="D648" s="207"/>
      <c r="E648" s="2" t="s">
        <v>724</v>
      </c>
      <c r="F648" s="5"/>
      <c r="G648" s="5" t="s">
        <v>1178</v>
      </c>
      <c r="H648" s="5"/>
      <c r="I648" s="5"/>
      <c r="J648" s="3" t="s">
        <v>651</v>
      </c>
      <c r="K648" s="3"/>
      <c r="L648" s="3"/>
      <c r="M648" s="3">
        <v>1</v>
      </c>
      <c r="N648" s="3"/>
      <c r="O648" s="29">
        <v>4</v>
      </c>
      <c r="P648" s="3"/>
      <c r="Q648" s="3" t="s">
        <v>1222</v>
      </c>
      <c r="R648" s="4" t="s">
        <v>599</v>
      </c>
      <c r="S648">
        <v>35</v>
      </c>
      <c r="T648">
        <f t="shared" si="25"/>
        <v>0.125</v>
      </c>
    </row>
    <row r="649" spans="1:20" x14ac:dyDescent="0.25">
      <c r="B649" s="765" t="s">
        <v>1403</v>
      </c>
      <c r="C649" s="46" t="s">
        <v>998</v>
      </c>
      <c r="D649" s="207"/>
      <c r="E649" s="2"/>
      <c r="F649" s="5"/>
      <c r="G649" s="5"/>
      <c r="H649" s="5"/>
      <c r="I649" s="5"/>
      <c r="J649" s="3" t="s">
        <v>651</v>
      </c>
      <c r="K649" s="3"/>
      <c r="L649" s="3"/>
      <c r="M649" s="3">
        <v>1</v>
      </c>
      <c r="N649" s="3"/>
      <c r="O649" s="29">
        <v>4</v>
      </c>
      <c r="P649" s="3"/>
      <c r="Q649" s="3" t="s">
        <v>999</v>
      </c>
      <c r="R649" s="4" t="s">
        <v>599</v>
      </c>
      <c r="S649">
        <v>35</v>
      </c>
      <c r="T649">
        <f t="shared" si="25"/>
        <v>0.125</v>
      </c>
    </row>
    <row r="650" spans="1:20" x14ac:dyDescent="0.25">
      <c r="A650" s="765">
        <v>193</v>
      </c>
      <c r="B650" s="765" t="s">
        <v>1403</v>
      </c>
      <c r="C650" s="46" t="s">
        <v>631</v>
      </c>
      <c r="D650" s="207"/>
      <c r="E650" s="2"/>
      <c r="F650" s="2"/>
      <c r="G650" s="2"/>
      <c r="H650" s="2"/>
      <c r="I650" s="2"/>
      <c r="J650" s="6" t="s">
        <v>651</v>
      </c>
      <c r="K650" s="6"/>
      <c r="L650" s="6"/>
      <c r="M650" s="6">
        <v>1</v>
      </c>
      <c r="N650" s="6"/>
      <c r="O650" s="15">
        <v>4</v>
      </c>
      <c r="P650" s="6"/>
      <c r="Q650" s="6"/>
      <c r="R650" s="7" t="s">
        <v>599</v>
      </c>
      <c r="S650">
        <v>35</v>
      </c>
      <c r="T650">
        <f t="shared" si="25"/>
        <v>0.125</v>
      </c>
    </row>
    <row r="651" spans="1:20" x14ac:dyDescent="0.25">
      <c r="A651" s="765">
        <v>194</v>
      </c>
      <c r="B651" s="765" t="s">
        <v>1403</v>
      </c>
      <c r="C651" s="47" t="s">
        <v>632</v>
      </c>
      <c r="D651" s="208"/>
      <c r="E651" s="5"/>
      <c r="F651" s="5"/>
      <c r="G651" s="5"/>
      <c r="H651" s="5"/>
      <c r="I651" s="5"/>
      <c r="J651" s="3" t="s">
        <v>651</v>
      </c>
      <c r="K651" s="3"/>
      <c r="L651" s="3"/>
      <c r="M651" s="3">
        <v>1</v>
      </c>
      <c r="N651" s="3"/>
      <c r="O651" s="29">
        <v>4</v>
      </c>
      <c r="P651" s="3"/>
      <c r="Q651" s="6" t="s">
        <v>902</v>
      </c>
      <c r="R651" s="4" t="s">
        <v>599</v>
      </c>
      <c r="S651">
        <v>35</v>
      </c>
      <c r="T651">
        <f t="shared" si="25"/>
        <v>0.125</v>
      </c>
    </row>
    <row r="652" spans="1:20" x14ac:dyDescent="0.25">
      <c r="A652" s="765">
        <v>195</v>
      </c>
      <c r="B652" s="765" t="s">
        <v>1403</v>
      </c>
      <c r="C652" s="46" t="s">
        <v>633</v>
      </c>
      <c r="D652" s="207"/>
      <c r="E652" s="2"/>
      <c r="F652" s="2"/>
      <c r="G652" s="2"/>
      <c r="H652" s="2"/>
      <c r="I652" s="2"/>
      <c r="J652" s="6" t="s">
        <v>651</v>
      </c>
      <c r="K652" s="6"/>
      <c r="L652" s="6"/>
      <c r="M652" s="6">
        <v>1</v>
      </c>
      <c r="N652" s="6"/>
      <c r="O652" s="15">
        <v>4</v>
      </c>
      <c r="P652" s="6"/>
      <c r="Q652" s="3" t="s">
        <v>919</v>
      </c>
      <c r="R652" s="7" t="s">
        <v>599</v>
      </c>
      <c r="S652">
        <v>35</v>
      </c>
      <c r="T652">
        <f t="shared" si="25"/>
        <v>0.125</v>
      </c>
    </row>
    <row r="653" spans="1:20" x14ac:dyDescent="0.25">
      <c r="A653" s="765">
        <v>196</v>
      </c>
      <c r="B653" s="765" t="s">
        <v>1403</v>
      </c>
      <c r="C653" s="47" t="s">
        <v>634</v>
      </c>
      <c r="D653" s="208"/>
      <c r="E653" s="5"/>
      <c r="F653" s="5"/>
      <c r="G653" s="5"/>
      <c r="H653" s="5"/>
      <c r="I653" s="5"/>
      <c r="J653" s="3" t="s">
        <v>651</v>
      </c>
      <c r="K653" s="3"/>
      <c r="L653" s="3"/>
      <c r="M653" s="3">
        <v>1</v>
      </c>
      <c r="N653" s="3"/>
      <c r="O653" s="29">
        <v>4</v>
      </c>
      <c r="P653" s="3"/>
      <c r="Q653" s="3"/>
      <c r="R653" s="4" t="s">
        <v>599</v>
      </c>
      <c r="S653">
        <v>35</v>
      </c>
      <c r="T653">
        <f t="shared" si="25"/>
        <v>0.125</v>
      </c>
    </row>
    <row r="654" spans="1:20" x14ac:dyDescent="0.25">
      <c r="A654" s="765">
        <v>197</v>
      </c>
      <c r="B654" s="765" t="s">
        <v>1403</v>
      </c>
      <c r="C654" s="46" t="s">
        <v>635</v>
      </c>
      <c r="D654" s="207"/>
      <c r="E654" s="2"/>
      <c r="F654" s="2"/>
      <c r="G654" s="2"/>
      <c r="H654" s="2"/>
      <c r="I654" s="2"/>
      <c r="J654" s="6" t="s">
        <v>651</v>
      </c>
      <c r="K654" s="6"/>
      <c r="L654" s="6"/>
      <c r="M654" s="6">
        <v>1</v>
      </c>
      <c r="N654" s="6"/>
      <c r="O654" s="15">
        <v>4</v>
      </c>
      <c r="P654" s="6"/>
      <c r="Q654" s="6"/>
      <c r="R654" s="7" t="s">
        <v>599</v>
      </c>
      <c r="S654">
        <v>35</v>
      </c>
      <c r="T654">
        <f t="shared" si="25"/>
        <v>0.125</v>
      </c>
    </row>
    <row r="655" spans="1:20" x14ac:dyDescent="0.25">
      <c r="B655" s="765" t="s">
        <v>1403</v>
      </c>
      <c r="C655" s="46" t="s">
        <v>1025</v>
      </c>
      <c r="D655" s="207"/>
      <c r="E655" s="2"/>
      <c r="F655" s="2"/>
      <c r="G655" s="2"/>
      <c r="H655" s="2"/>
      <c r="I655" s="2"/>
      <c r="J655" s="6" t="s">
        <v>651</v>
      </c>
      <c r="K655" s="6"/>
      <c r="L655" s="6"/>
      <c r="M655" s="6"/>
      <c r="N655" s="6"/>
      <c r="O655" s="15"/>
      <c r="P655" s="6"/>
      <c r="Q655" s="6" t="s">
        <v>1000</v>
      </c>
      <c r="R655" s="7" t="s">
        <v>599</v>
      </c>
      <c r="S655">
        <v>35</v>
      </c>
      <c r="T655">
        <f t="shared" si="25"/>
        <v>0.125</v>
      </c>
    </row>
    <row r="656" spans="1:20" x14ac:dyDescent="0.25">
      <c r="A656" s="765">
        <v>198</v>
      </c>
      <c r="B656" s="765" t="s">
        <v>1403</v>
      </c>
      <c r="C656" s="47" t="s">
        <v>636</v>
      </c>
      <c r="D656" s="208"/>
      <c r="E656" s="5"/>
      <c r="F656" s="5"/>
      <c r="G656" s="5"/>
      <c r="H656" s="5"/>
      <c r="I656" s="5"/>
      <c r="J656" s="3" t="s">
        <v>651</v>
      </c>
      <c r="K656" s="3"/>
      <c r="L656" s="3"/>
      <c r="M656" s="3">
        <v>1</v>
      </c>
      <c r="N656" s="3"/>
      <c r="O656" s="29">
        <v>4</v>
      </c>
      <c r="P656" s="3"/>
      <c r="Q656" s="3" t="s">
        <v>1223</v>
      </c>
      <c r="R656" s="4" t="s">
        <v>599</v>
      </c>
      <c r="S656">
        <v>35</v>
      </c>
      <c r="T656">
        <f t="shared" si="25"/>
        <v>0.125</v>
      </c>
    </row>
    <row r="657" spans="1:20" x14ac:dyDescent="0.25">
      <c r="A657" s="765">
        <v>199</v>
      </c>
      <c r="B657" s="765" t="s">
        <v>1403</v>
      </c>
      <c r="C657" s="46" t="s">
        <v>637</v>
      </c>
      <c r="D657" s="207"/>
      <c r="E657" s="2"/>
      <c r="F657" s="2"/>
      <c r="G657" s="2"/>
      <c r="H657" s="2"/>
      <c r="I657" s="2"/>
      <c r="J657" s="6" t="s">
        <v>651</v>
      </c>
      <c r="K657" s="6"/>
      <c r="L657" s="6"/>
      <c r="M657" s="6">
        <v>1</v>
      </c>
      <c r="N657" s="6"/>
      <c r="O657" s="15">
        <v>4</v>
      </c>
      <c r="P657" s="6"/>
      <c r="Q657" s="6"/>
      <c r="R657" s="7" t="s">
        <v>599</v>
      </c>
      <c r="S657">
        <v>35</v>
      </c>
      <c r="T657">
        <f t="shared" si="25"/>
        <v>0.125</v>
      </c>
    </row>
    <row r="658" spans="1:20" x14ac:dyDescent="0.25">
      <c r="A658" s="765">
        <v>200</v>
      </c>
      <c r="B658" s="765" t="s">
        <v>1403</v>
      </c>
      <c r="C658" s="47" t="s">
        <v>638</v>
      </c>
      <c r="D658" s="208"/>
      <c r="E658" s="5"/>
      <c r="F658" s="5"/>
      <c r="G658" s="5"/>
      <c r="H658" s="5"/>
      <c r="I658" s="5"/>
      <c r="J658" s="3" t="s">
        <v>651</v>
      </c>
      <c r="K658" s="3"/>
      <c r="L658" s="3"/>
      <c r="M658" s="3">
        <v>1</v>
      </c>
      <c r="N658" s="3"/>
      <c r="O658" s="29">
        <v>4</v>
      </c>
      <c r="P658" s="3"/>
      <c r="Q658" s="3" t="s">
        <v>898</v>
      </c>
      <c r="R658" s="4" t="s">
        <v>599</v>
      </c>
      <c r="S658">
        <v>35</v>
      </c>
      <c r="T658">
        <f t="shared" si="25"/>
        <v>0.125</v>
      </c>
    </row>
    <row r="659" spans="1:20" x14ac:dyDescent="0.25">
      <c r="A659" s="765">
        <v>201</v>
      </c>
      <c r="B659" s="765" t="s">
        <v>1403</v>
      </c>
      <c r="C659" s="46" t="s">
        <v>639</v>
      </c>
      <c r="D659" s="207"/>
      <c r="E659" s="2"/>
      <c r="F659" s="2"/>
      <c r="G659" s="2"/>
      <c r="H659" s="2"/>
      <c r="I659" s="2"/>
      <c r="J659" s="6" t="s">
        <v>651</v>
      </c>
      <c r="K659" s="6"/>
      <c r="L659" s="6"/>
      <c r="M659" s="6">
        <v>1</v>
      </c>
      <c r="N659" s="6"/>
      <c r="O659" s="15">
        <v>4</v>
      </c>
      <c r="P659" s="6"/>
      <c r="Q659" s="6"/>
      <c r="R659" s="7" t="s">
        <v>599</v>
      </c>
      <c r="S659">
        <v>35</v>
      </c>
      <c r="T659">
        <f t="shared" si="25"/>
        <v>0.125</v>
      </c>
    </row>
    <row r="660" spans="1:20" x14ac:dyDescent="0.25">
      <c r="B660" s="765" t="s">
        <v>1403</v>
      </c>
      <c r="C660" s="46" t="s">
        <v>1012</v>
      </c>
      <c r="D660" s="207"/>
      <c r="E660" s="2"/>
      <c r="F660" s="2"/>
      <c r="G660" s="2"/>
      <c r="H660" s="2"/>
      <c r="I660" s="2"/>
      <c r="J660" s="6" t="s">
        <v>651</v>
      </c>
      <c r="K660" s="6"/>
      <c r="L660" s="6"/>
      <c r="M660" s="6">
        <v>1</v>
      </c>
      <c r="N660" s="6"/>
      <c r="O660" s="15">
        <v>4</v>
      </c>
      <c r="P660" s="6"/>
      <c r="Q660" s="6" t="s">
        <v>1013</v>
      </c>
      <c r="R660" s="7" t="s">
        <v>599</v>
      </c>
      <c r="S660">
        <v>35</v>
      </c>
      <c r="T660">
        <f t="shared" si="25"/>
        <v>0.125</v>
      </c>
    </row>
    <row r="661" spans="1:20" x14ac:dyDescent="0.25">
      <c r="A661" s="765">
        <v>202</v>
      </c>
      <c r="B661" s="765" t="s">
        <v>1403</v>
      </c>
      <c r="C661" s="47" t="s">
        <v>640</v>
      </c>
      <c r="D661" s="208"/>
      <c r="E661" s="5"/>
      <c r="F661" s="5"/>
      <c r="G661" s="5"/>
      <c r="H661" s="5"/>
      <c r="I661" s="5"/>
      <c r="J661" s="3" t="s">
        <v>651</v>
      </c>
      <c r="K661" s="3"/>
      <c r="L661" s="3"/>
      <c r="M661" s="3">
        <v>1</v>
      </c>
      <c r="N661" s="3"/>
      <c r="O661" s="29">
        <v>4</v>
      </c>
      <c r="P661" s="3"/>
      <c r="Q661" s="3"/>
      <c r="R661" s="4" t="s">
        <v>599</v>
      </c>
      <c r="S661">
        <v>35</v>
      </c>
      <c r="T661">
        <f t="shared" si="25"/>
        <v>0.125</v>
      </c>
    </row>
    <row r="662" spans="1:20" x14ac:dyDescent="0.25">
      <c r="A662" s="765">
        <v>272</v>
      </c>
      <c r="B662" s="765" t="s">
        <v>1403</v>
      </c>
      <c r="C662" s="46" t="s">
        <v>641</v>
      </c>
      <c r="D662" s="207"/>
      <c r="E662" s="5" t="s">
        <v>724</v>
      </c>
      <c r="F662" s="5"/>
      <c r="G662" s="5" t="s">
        <v>724</v>
      </c>
      <c r="H662" s="5"/>
      <c r="I662" s="5"/>
      <c r="J662" s="6" t="s">
        <v>651</v>
      </c>
      <c r="K662" s="6"/>
      <c r="L662" s="6"/>
      <c r="M662" s="6">
        <v>1</v>
      </c>
      <c r="N662" s="6"/>
      <c r="O662" s="15">
        <v>4</v>
      </c>
      <c r="P662" s="6"/>
      <c r="Q662" s="6" t="s">
        <v>995</v>
      </c>
      <c r="R662" s="7" t="s">
        <v>599</v>
      </c>
      <c r="S662">
        <v>35</v>
      </c>
      <c r="T662">
        <f t="shared" si="25"/>
        <v>0.125</v>
      </c>
    </row>
    <row r="663" spans="1:20" x14ac:dyDescent="0.25">
      <c r="C663" s="47" t="s">
        <v>642</v>
      </c>
      <c r="D663" s="208"/>
      <c r="E663" s="5"/>
      <c r="F663" s="5"/>
      <c r="G663" s="5"/>
      <c r="H663" s="5"/>
      <c r="I663" s="5"/>
      <c r="J663" s="3" t="s">
        <v>651</v>
      </c>
      <c r="K663" s="3"/>
      <c r="L663" s="3"/>
      <c r="M663" s="3">
        <v>1</v>
      </c>
      <c r="N663" s="3"/>
      <c r="O663" s="2">
        <v>4</v>
      </c>
      <c r="P663" s="3"/>
      <c r="Q663" s="3"/>
      <c r="R663" s="4" t="s">
        <v>599</v>
      </c>
      <c r="S663">
        <v>35</v>
      </c>
      <c r="T663">
        <f t="shared" si="25"/>
        <v>0.125</v>
      </c>
    </row>
    <row r="664" spans="1:20" x14ac:dyDescent="0.25">
      <c r="C664" s="46" t="s">
        <v>1053</v>
      </c>
      <c r="D664" s="207"/>
      <c r="E664" s="2"/>
      <c r="F664" s="2"/>
      <c r="G664" s="2"/>
      <c r="H664" s="2"/>
      <c r="I664" s="2"/>
      <c r="J664" s="6" t="s">
        <v>651</v>
      </c>
      <c r="K664" s="6"/>
      <c r="L664" s="6"/>
      <c r="M664" s="6">
        <v>1</v>
      </c>
      <c r="N664" s="6"/>
      <c r="O664" s="5">
        <v>4</v>
      </c>
      <c r="P664" s="6"/>
      <c r="Q664" s="6" t="s">
        <v>1054</v>
      </c>
      <c r="R664" s="7" t="s">
        <v>599</v>
      </c>
      <c r="S664">
        <v>35</v>
      </c>
      <c r="T664">
        <f t="shared" si="25"/>
        <v>0.125</v>
      </c>
    </row>
    <row r="665" spans="1:20" x14ac:dyDescent="0.25">
      <c r="C665" s="46" t="s">
        <v>968</v>
      </c>
      <c r="D665" s="207"/>
      <c r="E665" s="2" t="s">
        <v>724</v>
      </c>
      <c r="F665" s="2"/>
      <c r="G665" s="2"/>
      <c r="H665" s="2"/>
      <c r="I665" s="2"/>
      <c r="J665" s="3" t="s">
        <v>651</v>
      </c>
      <c r="K665" s="3"/>
      <c r="L665" s="3"/>
      <c r="M665" s="3">
        <v>1</v>
      </c>
      <c r="N665" s="3"/>
      <c r="O665" s="2">
        <v>4</v>
      </c>
      <c r="P665" s="3"/>
      <c r="Q665" s="3" t="s">
        <v>996</v>
      </c>
      <c r="R665" s="4" t="s">
        <v>599</v>
      </c>
      <c r="S665">
        <v>35</v>
      </c>
      <c r="T665">
        <f t="shared" si="25"/>
        <v>0.125</v>
      </c>
    </row>
    <row r="666" spans="1:20" x14ac:dyDescent="0.25">
      <c r="C666" s="47" t="s">
        <v>597</v>
      </c>
      <c r="D666" s="208"/>
      <c r="E666" s="5"/>
      <c r="F666" s="5"/>
      <c r="G666" s="5"/>
      <c r="H666" s="5"/>
      <c r="I666" s="5"/>
      <c r="J666" s="6" t="s">
        <v>652</v>
      </c>
      <c r="K666" s="6"/>
      <c r="L666" s="6"/>
      <c r="M666" s="6">
        <v>1</v>
      </c>
      <c r="N666" s="6"/>
      <c r="O666" s="15">
        <v>4</v>
      </c>
      <c r="P666" s="6"/>
      <c r="Q666" s="6" t="s">
        <v>993</v>
      </c>
      <c r="R666" s="7" t="s">
        <v>599</v>
      </c>
      <c r="S666">
        <v>35</v>
      </c>
      <c r="T666">
        <f t="shared" si="25"/>
        <v>0.125</v>
      </c>
    </row>
    <row r="667" spans="1:20" x14ac:dyDescent="0.25">
      <c r="C667" s="46" t="s">
        <v>653</v>
      </c>
      <c r="D667" s="207"/>
      <c r="E667" s="2"/>
      <c r="F667" s="2"/>
      <c r="G667" s="2"/>
      <c r="H667" s="2"/>
      <c r="I667" s="2"/>
      <c r="J667" s="3" t="s">
        <v>652</v>
      </c>
      <c r="K667" s="3"/>
      <c r="L667" s="3"/>
      <c r="M667" s="3">
        <v>1</v>
      </c>
      <c r="N667" s="3"/>
      <c r="O667" s="29">
        <v>4</v>
      </c>
      <c r="P667" s="3"/>
      <c r="Q667" s="3"/>
      <c r="R667" s="4" t="s">
        <v>599</v>
      </c>
      <c r="S667">
        <v>35</v>
      </c>
      <c r="T667">
        <f t="shared" si="25"/>
        <v>0.125</v>
      </c>
    </row>
    <row r="668" spans="1:20" x14ac:dyDescent="0.25">
      <c r="C668" s="47" t="s">
        <v>654</v>
      </c>
      <c r="D668" s="208"/>
      <c r="E668" s="5"/>
      <c r="F668" s="5"/>
      <c r="G668" s="5"/>
      <c r="H668" s="5"/>
      <c r="I668" s="5"/>
      <c r="J668" s="6" t="s">
        <v>652</v>
      </c>
      <c r="K668" s="6"/>
      <c r="L668" s="6"/>
      <c r="M668" s="6">
        <v>1</v>
      </c>
      <c r="N668" s="6"/>
      <c r="O668" s="15">
        <v>4</v>
      </c>
      <c r="P668" s="6"/>
      <c r="Q668" s="6"/>
      <c r="R668" s="7" t="s">
        <v>599</v>
      </c>
      <c r="S668">
        <v>35</v>
      </c>
      <c r="T668">
        <f t="shared" si="25"/>
        <v>0.125</v>
      </c>
    </row>
    <row r="669" spans="1:20" x14ac:dyDescent="0.25">
      <c r="C669" s="46" t="s">
        <v>655</v>
      </c>
      <c r="D669" s="207"/>
      <c r="E669" s="2"/>
      <c r="F669" s="2"/>
      <c r="G669" s="2"/>
      <c r="H669" s="2"/>
      <c r="I669" s="2"/>
      <c r="J669" s="3" t="s">
        <v>652</v>
      </c>
      <c r="K669" s="3"/>
      <c r="L669" s="3"/>
      <c r="M669" s="3">
        <v>1</v>
      </c>
      <c r="N669" s="3"/>
      <c r="O669" s="29">
        <v>4</v>
      </c>
      <c r="P669" s="3"/>
      <c r="Q669" s="3"/>
      <c r="R669" s="4" t="s">
        <v>599</v>
      </c>
      <c r="S669">
        <v>35</v>
      </c>
      <c r="T669">
        <f t="shared" si="25"/>
        <v>0.125</v>
      </c>
    </row>
    <row r="670" spans="1:20" x14ac:dyDescent="0.25">
      <c r="C670" s="47" t="s">
        <v>656</v>
      </c>
      <c r="D670" s="208"/>
      <c r="E670" s="5"/>
      <c r="F670" s="5"/>
      <c r="G670" s="5"/>
      <c r="H670" s="5"/>
      <c r="I670" s="5"/>
      <c r="J670" s="6" t="s">
        <v>652</v>
      </c>
      <c r="K670" s="6"/>
      <c r="L670" s="6"/>
      <c r="M670" s="6">
        <v>1</v>
      </c>
      <c r="N670" s="6"/>
      <c r="O670" s="15">
        <v>4</v>
      </c>
      <c r="P670" s="6"/>
      <c r="Q670" s="6"/>
      <c r="R670" s="7" t="s">
        <v>599</v>
      </c>
      <c r="S670">
        <v>35</v>
      </c>
      <c r="T670">
        <f t="shared" si="25"/>
        <v>0.125</v>
      </c>
    </row>
    <row r="671" spans="1:20" x14ac:dyDescent="0.25">
      <c r="C671" s="46" t="s">
        <v>657</v>
      </c>
      <c r="D671" s="207"/>
      <c r="E671" s="2"/>
      <c r="F671" s="2"/>
      <c r="G671" s="2"/>
      <c r="H671" s="2"/>
      <c r="I671" s="2"/>
      <c r="J671" s="3" t="s">
        <v>652</v>
      </c>
      <c r="K671" s="3"/>
      <c r="L671" s="3"/>
      <c r="M671" s="3">
        <v>1</v>
      </c>
      <c r="N671" s="3"/>
      <c r="O671" s="29">
        <v>4</v>
      </c>
      <c r="P671" s="3"/>
      <c r="Q671" s="3"/>
      <c r="R671" s="4" t="s">
        <v>599</v>
      </c>
      <c r="S671">
        <v>35</v>
      </c>
      <c r="T671">
        <f t="shared" ref="T671:T677" si="26">1/8</f>
        <v>0.125</v>
      </c>
    </row>
    <row r="672" spans="1:20" x14ac:dyDescent="0.25">
      <c r="C672" s="47" t="s">
        <v>658</v>
      </c>
      <c r="D672" s="208"/>
      <c r="E672" s="5"/>
      <c r="F672" s="5"/>
      <c r="G672" s="5"/>
      <c r="H672" s="5"/>
      <c r="I672" s="5"/>
      <c r="J672" s="6" t="s">
        <v>652</v>
      </c>
      <c r="K672" s="6"/>
      <c r="L672" s="6"/>
      <c r="M672" s="6">
        <v>1</v>
      </c>
      <c r="N672" s="6"/>
      <c r="O672" s="15">
        <v>4</v>
      </c>
      <c r="P672" s="6"/>
      <c r="Q672" s="6"/>
      <c r="R672" s="7" t="s">
        <v>599</v>
      </c>
      <c r="S672">
        <v>35</v>
      </c>
      <c r="T672">
        <f t="shared" si="26"/>
        <v>0.125</v>
      </c>
    </row>
    <row r="673" spans="1:20" x14ac:dyDescent="0.25">
      <c r="C673" s="46" t="s">
        <v>659</v>
      </c>
      <c r="D673" s="207"/>
      <c r="E673" s="2"/>
      <c r="F673" s="2"/>
      <c r="G673" s="2"/>
      <c r="H673" s="2"/>
      <c r="I673" s="2"/>
      <c r="J673" s="3" t="s">
        <v>652</v>
      </c>
      <c r="K673" s="3"/>
      <c r="L673" s="3"/>
      <c r="M673" s="3">
        <v>1</v>
      </c>
      <c r="N673" s="3"/>
      <c r="O673" s="29">
        <v>4</v>
      </c>
      <c r="P673" s="3"/>
      <c r="Q673" t="s">
        <v>997</v>
      </c>
      <c r="R673" s="4" t="s">
        <v>599</v>
      </c>
      <c r="S673">
        <v>35</v>
      </c>
      <c r="T673">
        <f t="shared" si="26"/>
        <v>0.125</v>
      </c>
    </row>
    <row r="674" spans="1:20" x14ac:dyDescent="0.25">
      <c r="C674" s="47" t="s">
        <v>660</v>
      </c>
      <c r="D674" s="208"/>
      <c r="E674" s="5"/>
      <c r="F674" s="5"/>
      <c r="G674" s="5"/>
      <c r="H674" s="5"/>
      <c r="I674" s="5"/>
      <c r="J674" s="6" t="s">
        <v>652</v>
      </c>
      <c r="K674" s="6"/>
      <c r="L674" s="6"/>
      <c r="M674" s="6">
        <v>1</v>
      </c>
      <c r="N674" s="6"/>
      <c r="O674" s="15">
        <v>4</v>
      </c>
      <c r="P674" s="6"/>
      <c r="Q674" s="6"/>
      <c r="R674" s="7" t="s">
        <v>599</v>
      </c>
      <c r="S674">
        <v>35</v>
      </c>
      <c r="T674">
        <f t="shared" si="26"/>
        <v>0.125</v>
      </c>
    </row>
    <row r="675" spans="1:20" x14ac:dyDescent="0.25">
      <c r="C675" s="46" t="s">
        <v>661</v>
      </c>
      <c r="D675" s="207"/>
      <c r="E675" s="2"/>
      <c r="F675" s="2"/>
      <c r="G675" s="2"/>
      <c r="H675" s="2"/>
      <c r="I675" s="2"/>
      <c r="J675" s="3" t="s">
        <v>652</v>
      </c>
      <c r="K675" s="3"/>
      <c r="L675" s="3"/>
      <c r="M675" s="3">
        <v>1</v>
      </c>
      <c r="N675" s="3"/>
      <c r="O675" s="29">
        <v>4</v>
      </c>
      <c r="P675" s="3"/>
      <c r="Q675" s="3"/>
      <c r="R675" s="4" t="s">
        <v>599</v>
      </c>
      <c r="S675">
        <v>35</v>
      </c>
      <c r="T675">
        <f t="shared" si="26"/>
        <v>0.125</v>
      </c>
    </row>
    <row r="676" spans="1:20" x14ac:dyDescent="0.25">
      <c r="C676" s="47" t="s">
        <v>662</v>
      </c>
      <c r="D676" s="208"/>
      <c r="E676" s="5"/>
      <c r="F676" s="5"/>
      <c r="G676" s="5"/>
      <c r="H676" s="5"/>
      <c r="I676" s="5"/>
      <c r="J676" s="6" t="s">
        <v>652</v>
      </c>
      <c r="K676" s="6"/>
      <c r="L676" s="6"/>
      <c r="M676" s="6">
        <v>1</v>
      </c>
      <c r="N676" s="6"/>
      <c r="O676" s="15">
        <v>4</v>
      </c>
      <c r="P676" s="6"/>
      <c r="Q676" s="6"/>
      <c r="R676" s="7" t="s">
        <v>599</v>
      </c>
      <c r="S676">
        <v>35</v>
      </c>
      <c r="T676">
        <f t="shared" si="26"/>
        <v>0.125</v>
      </c>
    </row>
    <row r="677" spans="1:20" x14ac:dyDescent="0.25">
      <c r="A677" s="765"/>
      <c r="C677" s="46" t="s">
        <v>663</v>
      </c>
      <c r="D677" s="207"/>
      <c r="E677" s="2" t="s">
        <v>724</v>
      </c>
      <c r="F677" s="2" t="s">
        <v>724</v>
      </c>
      <c r="G677" s="2" t="s">
        <v>724</v>
      </c>
      <c r="H677" s="2"/>
      <c r="I677" s="2"/>
      <c r="J677" s="3" t="s">
        <v>652</v>
      </c>
      <c r="K677" s="3"/>
      <c r="L677" s="3"/>
      <c r="M677" s="3">
        <v>1</v>
      </c>
      <c r="N677" s="3"/>
      <c r="O677" s="29">
        <v>4</v>
      </c>
      <c r="P677" s="3"/>
      <c r="Q677" s="6" t="s">
        <v>995</v>
      </c>
      <c r="R677" s="4" t="s">
        <v>599</v>
      </c>
      <c r="S677">
        <v>35</v>
      </c>
      <c r="T677">
        <f t="shared" si="26"/>
        <v>0.125</v>
      </c>
    </row>
    <row r="678" spans="1:20" x14ac:dyDescent="0.25">
      <c r="C678" s="46" t="s">
        <v>597</v>
      </c>
      <c r="D678" s="207"/>
      <c r="E678" s="2"/>
      <c r="F678" s="2"/>
      <c r="G678" s="2"/>
      <c r="H678" s="2"/>
      <c r="I678" s="2"/>
      <c r="J678" s="3" t="s">
        <v>664</v>
      </c>
      <c r="K678" s="3"/>
      <c r="L678" s="3"/>
      <c r="M678" s="3">
        <v>1</v>
      </c>
      <c r="N678" s="3"/>
      <c r="O678" s="29">
        <v>4</v>
      </c>
      <c r="P678" s="3"/>
      <c r="Q678" s="6" t="s">
        <v>1026</v>
      </c>
      <c r="R678" s="4" t="s">
        <v>665</v>
      </c>
    </row>
    <row r="679" spans="1:20" x14ac:dyDescent="0.25">
      <c r="C679" s="47" t="s">
        <v>204</v>
      </c>
      <c r="D679" s="208"/>
      <c r="E679" s="5"/>
      <c r="F679" s="5"/>
      <c r="G679" s="5"/>
      <c r="H679" s="5"/>
      <c r="I679" s="5"/>
      <c r="J679" s="6" t="s">
        <v>664</v>
      </c>
      <c r="K679" s="6"/>
      <c r="L679" s="6"/>
      <c r="M679" s="6">
        <v>1</v>
      </c>
      <c r="N679" s="6"/>
      <c r="O679" s="15">
        <v>4</v>
      </c>
      <c r="P679" s="6"/>
      <c r="Q679" s="6" t="s">
        <v>993</v>
      </c>
      <c r="R679" s="7" t="s">
        <v>665</v>
      </c>
    </row>
    <row r="680" spans="1:20" x14ac:dyDescent="0.25">
      <c r="C680" s="46" t="s">
        <v>205</v>
      </c>
      <c r="D680" s="207"/>
      <c r="E680" s="2"/>
      <c r="F680" s="2"/>
      <c r="G680" s="2"/>
      <c r="H680" s="2"/>
      <c r="I680" s="2"/>
      <c r="J680" s="3" t="s">
        <v>664</v>
      </c>
      <c r="K680" s="3"/>
      <c r="L680" s="3"/>
      <c r="M680" s="3">
        <v>1</v>
      </c>
      <c r="N680" s="3"/>
      <c r="O680" s="29">
        <v>4</v>
      </c>
      <c r="P680" s="3"/>
      <c r="Q680" s="6" t="s">
        <v>993</v>
      </c>
      <c r="R680" s="4" t="s">
        <v>665</v>
      </c>
    </row>
    <row r="681" spans="1:20" x14ac:dyDescent="0.25">
      <c r="C681" s="47" t="s">
        <v>206</v>
      </c>
      <c r="D681" s="208"/>
      <c r="E681" s="5"/>
      <c r="F681" s="5"/>
      <c r="G681" s="5"/>
      <c r="H681" s="5"/>
      <c r="I681" s="5"/>
      <c r="J681" s="6" t="s">
        <v>664</v>
      </c>
      <c r="K681" s="6"/>
      <c r="L681" s="6"/>
      <c r="M681" s="6">
        <v>1</v>
      </c>
      <c r="N681" s="6"/>
      <c r="O681" s="15">
        <v>4</v>
      </c>
      <c r="P681" s="6"/>
      <c r="Q681" s="6" t="s">
        <v>993</v>
      </c>
      <c r="R681" s="7" t="s">
        <v>665</v>
      </c>
    </row>
    <row r="682" spans="1:20" x14ac:dyDescent="0.25">
      <c r="C682" s="46" t="s">
        <v>207</v>
      </c>
      <c r="D682" s="207"/>
      <c r="E682" s="2"/>
      <c r="F682" s="2"/>
      <c r="G682" s="2"/>
      <c r="H682" s="2"/>
      <c r="I682" s="2"/>
      <c r="J682" s="3" t="s">
        <v>664</v>
      </c>
      <c r="K682" s="3"/>
      <c r="L682" s="3"/>
      <c r="M682" s="3">
        <v>1</v>
      </c>
      <c r="N682" s="3"/>
      <c r="O682" s="29">
        <v>4</v>
      </c>
      <c r="P682" s="3"/>
      <c r="Q682" s="6" t="s">
        <v>993</v>
      </c>
      <c r="R682" s="4" t="s">
        <v>665</v>
      </c>
    </row>
    <row r="683" spans="1:20" x14ac:dyDescent="0.25">
      <c r="C683" s="47" t="s">
        <v>600</v>
      </c>
      <c r="D683" s="208"/>
      <c r="E683" s="5"/>
      <c r="F683" s="5"/>
      <c r="G683" s="5"/>
      <c r="H683" s="5"/>
      <c r="I683" s="5"/>
      <c r="J683" s="6" t="s">
        <v>664</v>
      </c>
      <c r="K683" s="6"/>
      <c r="L683" s="6"/>
      <c r="M683" s="6">
        <v>2</v>
      </c>
      <c r="N683" s="6"/>
      <c r="O683" s="15">
        <v>4</v>
      </c>
      <c r="P683" s="6"/>
      <c r="Q683" s="6" t="s">
        <v>993</v>
      </c>
      <c r="R683" s="7" t="s">
        <v>665</v>
      </c>
    </row>
    <row r="684" spans="1:20" x14ac:dyDescent="0.25">
      <c r="C684" s="46" t="s">
        <v>601</v>
      </c>
      <c r="D684" s="207"/>
      <c r="E684" s="2"/>
      <c r="F684" s="2"/>
      <c r="G684" s="2"/>
      <c r="H684" s="2"/>
      <c r="I684" s="2"/>
      <c r="J684" s="3" t="s">
        <v>664</v>
      </c>
      <c r="K684" s="3"/>
      <c r="L684" s="3"/>
      <c r="M684" s="3">
        <v>1</v>
      </c>
      <c r="N684" s="3"/>
      <c r="O684" s="29">
        <v>4</v>
      </c>
      <c r="P684" s="3"/>
      <c r="Q684" s="6" t="s">
        <v>993</v>
      </c>
      <c r="R684" s="4" t="s">
        <v>665</v>
      </c>
    </row>
    <row r="685" spans="1:20" x14ac:dyDescent="0.25">
      <c r="C685" s="47" t="s">
        <v>597</v>
      </c>
      <c r="D685" s="208"/>
      <c r="E685" s="5"/>
      <c r="F685" s="5"/>
      <c r="G685" s="5"/>
      <c r="H685" s="5"/>
      <c r="I685" s="5"/>
      <c r="J685" s="6" t="s">
        <v>666</v>
      </c>
      <c r="K685" s="6"/>
      <c r="L685" s="6"/>
      <c r="M685" s="6">
        <v>1</v>
      </c>
      <c r="N685" s="6"/>
      <c r="O685" s="15">
        <v>4</v>
      </c>
      <c r="P685" s="6"/>
      <c r="Q685" s="6" t="s">
        <v>993</v>
      </c>
      <c r="R685" s="7" t="s">
        <v>665</v>
      </c>
    </row>
    <row r="686" spans="1:20" x14ac:dyDescent="0.25">
      <c r="C686" s="46" t="s">
        <v>600</v>
      </c>
      <c r="D686" s="207"/>
      <c r="E686" s="2"/>
      <c r="F686" s="2"/>
      <c r="G686" s="2"/>
      <c r="H686" s="2"/>
      <c r="I686" s="2"/>
      <c r="J686" s="3" t="s">
        <v>666</v>
      </c>
      <c r="K686" s="3"/>
      <c r="L686" s="3"/>
      <c r="M686" s="3">
        <v>1</v>
      </c>
      <c r="N686" s="3"/>
      <c r="O686" s="29">
        <v>4</v>
      </c>
      <c r="P686" s="3"/>
      <c r="Q686" s="6" t="s">
        <v>993</v>
      </c>
      <c r="R686" s="4" t="s">
        <v>665</v>
      </c>
    </row>
    <row r="687" spans="1:20" x14ac:dyDescent="0.25">
      <c r="C687" s="47" t="s">
        <v>205</v>
      </c>
      <c r="D687" s="208"/>
      <c r="E687" s="5"/>
      <c r="F687" s="5"/>
      <c r="G687" s="5"/>
      <c r="H687" s="5"/>
      <c r="I687" s="5"/>
      <c r="J687" s="6" t="s">
        <v>666</v>
      </c>
      <c r="K687" s="6"/>
      <c r="L687" s="6"/>
      <c r="M687" s="6">
        <v>1</v>
      </c>
      <c r="N687" s="6"/>
      <c r="O687" s="15">
        <v>4</v>
      </c>
      <c r="P687" s="6"/>
      <c r="Q687" s="6" t="s">
        <v>993</v>
      </c>
      <c r="R687" s="7" t="s">
        <v>665</v>
      </c>
    </row>
    <row r="688" spans="1:20" x14ac:dyDescent="0.25">
      <c r="C688" s="46" t="s">
        <v>206</v>
      </c>
      <c r="D688" s="207"/>
      <c r="E688" s="2"/>
      <c r="F688" s="2"/>
      <c r="G688" s="2"/>
      <c r="H688" s="2"/>
      <c r="I688" s="2"/>
      <c r="J688" s="3" t="s">
        <v>666</v>
      </c>
      <c r="K688" s="3"/>
      <c r="L688" s="3"/>
      <c r="M688" s="3">
        <v>1</v>
      </c>
      <c r="N688" s="3"/>
      <c r="O688" s="29">
        <v>4</v>
      </c>
      <c r="P688" s="3"/>
      <c r="Q688" s="6" t="s">
        <v>993</v>
      </c>
      <c r="R688" s="4" t="s">
        <v>665</v>
      </c>
    </row>
    <row r="689" spans="3:18" x14ac:dyDescent="0.25">
      <c r="C689" s="47" t="s">
        <v>601</v>
      </c>
      <c r="D689" s="208"/>
      <c r="E689" s="5"/>
      <c r="F689" s="5"/>
      <c r="G689" s="5"/>
      <c r="H689" s="5"/>
      <c r="I689" s="5"/>
      <c r="J689" s="6" t="s">
        <v>666</v>
      </c>
      <c r="K689" s="6"/>
      <c r="L689" s="6"/>
      <c r="M689" s="6">
        <v>1</v>
      </c>
      <c r="N689" s="6"/>
      <c r="O689" s="15">
        <v>4</v>
      </c>
      <c r="P689" s="6"/>
      <c r="Q689" s="6" t="s">
        <v>993</v>
      </c>
      <c r="R689" s="7" t="s">
        <v>665</v>
      </c>
    </row>
    <row r="690" spans="3:18" x14ac:dyDescent="0.25">
      <c r="C690" s="46" t="s">
        <v>204</v>
      </c>
      <c r="D690" s="207"/>
      <c r="E690" s="2"/>
      <c r="F690" s="2"/>
      <c r="G690" s="2"/>
      <c r="H690" s="2"/>
      <c r="I690" s="2"/>
      <c r="J690" s="3" t="s">
        <v>666</v>
      </c>
      <c r="K690" s="3"/>
      <c r="L690" s="3"/>
      <c r="M690" s="3">
        <v>1</v>
      </c>
      <c r="N690" s="3"/>
      <c r="O690" s="29">
        <v>4</v>
      </c>
      <c r="P690" s="3"/>
      <c r="Q690" s="6" t="s">
        <v>993</v>
      </c>
      <c r="R690" s="4" t="s">
        <v>665</v>
      </c>
    </row>
    <row r="691" spans="3:18" x14ac:dyDescent="0.25">
      <c r="C691" s="47" t="s">
        <v>207</v>
      </c>
      <c r="D691" s="208"/>
      <c r="E691" s="5"/>
      <c r="F691" s="5"/>
      <c r="G691" s="5"/>
      <c r="H691" s="5"/>
      <c r="I691" s="5"/>
      <c r="J691" s="6" t="s">
        <v>666</v>
      </c>
      <c r="K691" s="6"/>
      <c r="L691" s="6"/>
      <c r="M691" s="6">
        <v>1</v>
      </c>
      <c r="N691" s="6"/>
      <c r="O691" s="15">
        <v>4</v>
      </c>
      <c r="P691" s="6"/>
      <c r="Q691" s="6" t="s">
        <v>993</v>
      </c>
      <c r="R691" s="7" t="s">
        <v>665</v>
      </c>
    </row>
    <row r="692" spans="3:18" x14ac:dyDescent="0.25">
      <c r="C692" s="46" t="s">
        <v>603</v>
      </c>
      <c r="D692" s="207"/>
      <c r="E692" s="2"/>
      <c r="F692" s="2"/>
      <c r="G692" s="2"/>
      <c r="H692" s="2"/>
      <c r="I692" s="2"/>
      <c r="J692" s="3" t="s">
        <v>667</v>
      </c>
      <c r="K692" s="3"/>
      <c r="L692" s="3"/>
      <c r="M692" s="3">
        <v>1</v>
      </c>
      <c r="N692" s="3"/>
      <c r="O692" s="29">
        <v>4</v>
      </c>
      <c r="P692" s="3"/>
      <c r="Q692" s="6" t="s">
        <v>993</v>
      </c>
      <c r="R692" s="4" t="s">
        <v>548</v>
      </c>
    </row>
    <row r="693" spans="3:18" x14ac:dyDescent="0.25">
      <c r="C693" s="47" t="s">
        <v>605</v>
      </c>
      <c r="D693" s="208"/>
      <c r="E693" s="5"/>
      <c r="F693" s="5"/>
      <c r="G693" s="5"/>
      <c r="H693" s="5"/>
      <c r="I693" s="5"/>
      <c r="J693" s="6" t="s">
        <v>667</v>
      </c>
      <c r="K693" s="6"/>
      <c r="L693" s="6"/>
      <c r="M693" s="6">
        <v>1</v>
      </c>
      <c r="N693" s="6"/>
      <c r="O693" s="15">
        <v>4</v>
      </c>
      <c r="P693" s="6" t="s">
        <v>50</v>
      </c>
      <c r="Q693" s="3" t="s">
        <v>889</v>
      </c>
      <c r="R693" s="7" t="s">
        <v>548</v>
      </c>
    </row>
    <row r="694" spans="3:18" x14ac:dyDescent="0.25">
      <c r="C694" s="46" t="s">
        <v>606</v>
      </c>
      <c r="D694" s="207"/>
      <c r="E694" s="2"/>
      <c r="F694" s="2"/>
      <c r="G694" s="2"/>
      <c r="H694" s="2"/>
      <c r="I694" s="2"/>
      <c r="J694" s="3" t="s">
        <v>667</v>
      </c>
      <c r="K694" s="3"/>
      <c r="L694" s="3"/>
      <c r="M694" s="3">
        <v>1</v>
      </c>
      <c r="N694" s="3"/>
      <c r="O694" s="29">
        <v>4</v>
      </c>
      <c r="P694" s="3"/>
      <c r="Q694" s="6" t="s">
        <v>890</v>
      </c>
      <c r="R694" s="4" t="s">
        <v>548</v>
      </c>
    </row>
    <row r="695" spans="3:18" x14ac:dyDescent="0.25">
      <c r="C695" s="47" t="s">
        <v>976</v>
      </c>
      <c r="D695" s="208"/>
      <c r="E695" s="5"/>
      <c r="F695" s="5"/>
      <c r="G695" s="5"/>
      <c r="H695" s="5"/>
      <c r="I695" s="5"/>
      <c r="J695" s="6" t="s">
        <v>667</v>
      </c>
      <c r="K695" s="6"/>
      <c r="L695" s="6"/>
      <c r="M695" s="6">
        <v>1</v>
      </c>
      <c r="N695" s="6"/>
      <c r="O695" s="15">
        <v>4</v>
      </c>
      <c r="P695" s="6"/>
      <c r="Q695" s="3" t="s">
        <v>1027</v>
      </c>
      <c r="R695" s="7" t="s">
        <v>548</v>
      </c>
    </row>
    <row r="696" spans="3:18" x14ac:dyDescent="0.25">
      <c r="C696" s="47" t="s">
        <v>607</v>
      </c>
      <c r="D696" s="208"/>
      <c r="E696" s="5"/>
      <c r="F696" s="5"/>
      <c r="G696" s="5"/>
      <c r="H696" s="5"/>
      <c r="I696" s="5"/>
      <c r="J696" s="3" t="s">
        <v>667</v>
      </c>
      <c r="K696" s="3"/>
      <c r="L696" s="3"/>
      <c r="M696" s="3">
        <v>1</v>
      </c>
      <c r="N696" s="3"/>
      <c r="O696" s="29">
        <v>4</v>
      </c>
      <c r="P696" s="3"/>
      <c r="Q696" s="3" t="s">
        <v>903</v>
      </c>
      <c r="R696" s="4" t="s">
        <v>548</v>
      </c>
    </row>
    <row r="697" spans="3:18" x14ac:dyDescent="0.25">
      <c r="C697" s="46" t="s">
        <v>608</v>
      </c>
      <c r="D697" s="207"/>
      <c r="E697" s="2"/>
      <c r="F697" s="2"/>
      <c r="G697" s="2"/>
      <c r="H697" s="2"/>
      <c r="I697" s="2"/>
      <c r="J697" s="6" t="s">
        <v>667</v>
      </c>
      <c r="K697" s="6"/>
      <c r="L697" s="6"/>
      <c r="M697" s="6">
        <v>1</v>
      </c>
      <c r="N697" s="6"/>
      <c r="O697" s="15">
        <v>4</v>
      </c>
      <c r="P697" s="6"/>
      <c r="Q697" s="6"/>
      <c r="R697" s="7" t="s">
        <v>548</v>
      </c>
    </row>
    <row r="698" spans="3:18" x14ac:dyDescent="0.25">
      <c r="C698" s="46" t="s">
        <v>610</v>
      </c>
      <c r="D698" s="207"/>
      <c r="E698" s="2"/>
      <c r="F698" s="5"/>
      <c r="G698" s="5"/>
      <c r="H698" s="5"/>
      <c r="I698" s="5"/>
      <c r="J698" s="3" t="s">
        <v>667</v>
      </c>
      <c r="K698" s="3"/>
      <c r="L698" s="3"/>
      <c r="M698" s="3">
        <v>1</v>
      </c>
      <c r="N698" s="3"/>
      <c r="O698" s="29">
        <v>4</v>
      </c>
      <c r="P698" s="3"/>
      <c r="Q698" s="3"/>
      <c r="R698" s="4" t="s">
        <v>548</v>
      </c>
    </row>
    <row r="699" spans="3:18" x14ac:dyDescent="0.25">
      <c r="C699" s="47" t="s">
        <v>611</v>
      </c>
      <c r="D699" s="208"/>
      <c r="E699" s="5"/>
      <c r="F699" s="2"/>
      <c r="G699" s="2"/>
      <c r="H699" s="2"/>
      <c r="I699" s="2"/>
      <c r="J699" s="6" t="s">
        <v>667</v>
      </c>
      <c r="K699" s="6"/>
      <c r="L699" s="6"/>
      <c r="M699" s="6">
        <v>1</v>
      </c>
      <c r="N699" s="6"/>
      <c r="O699" s="15">
        <v>4</v>
      </c>
      <c r="P699" s="6"/>
      <c r="Q699" s="6"/>
      <c r="R699" s="7" t="s">
        <v>548</v>
      </c>
    </row>
    <row r="700" spans="3:18" x14ac:dyDescent="0.25">
      <c r="C700" s="46" t="s">
        <v>612</v>
      </c>
      <c r="D700" s="207"/>
      <c r="E700" s="2"/>
      <c r="F700" s="5"/>
      <c r="G700" s="5"/>
      <c r="H700" s="5"/>
      <c r="I700" s="5"/>
      <c r="J700" s="3" t="s">
        <v>667</v>
      </c>
      <c r="K700" s="3"/>
      <c r="L700" s="3"/>
      <c r="M700" s="3">
        <v>1</v>
      </c>
      <c r="N700" s="3"/>
      <c r="O700" s="29">
        <v>4</v>
      </c>
      <c r="P700" s="3"/>
      <c r="Q700" s="3"/>
      <c r="R700" s="4" t="s">
        <v>548</v>
      </c>
    </row>
    <row r="701" spans="3:18" x14ac:dyDescent="0.25">
      <c r="C701" s="47" t="s">
        <v>613</v>
      </c>
      <c r="D701" s="208"/>
      <c r="E701" s="5"/>
      <c r="F701" s="2"/>
      <c r="G701" s="2"/>
      <c r="H701" s="2"/>
      <c r="I701" s="2"/>
      <c r="J701" s="6" t="s">
        <v>667</v>
      </c>
      <c r="K701" s="6"/>
      <c r="L701" s="6"/>
      <c r="M701" s="6">
        <v>1</v>
      </c>
      <c r="N701" s="6"/>
      <c r="O701" s="15">
        <v>4</v>
      </c>
      <c r="P701" s="6"/>
      <c r="Q701" s="3" t="s">
        <v>900</v>
      </c>
      <c r="R701" s="7" t="s">
        <v>548</v>
      </c>
    </row>
    <row r="702" spans="3:18" x14ac:dyDescent="0.25">
      <c r="C702" s="46" t="s">
        <v>614</v>
      </c>
      <c r="D702" s="207"/>
      <c r="E702" s="2"/>
      <c r="F702" s="5"/>
      <c r="G702" s="5"/>
      <c r="H702" s="5"/>
      <c r="I702" s="5"/>
      <c r="J702" s="3" t="s">
        <v>667</v>
      </c>
      <c r="K702" s="3"/>
      <c r="L702" s="3"/>
      <c r="M702" s="3">
        <v>1</v>
      </c>
      <c r="N702" s="3"/>
      <c r="O702" s="29">
        <v>4</v>
      </c>
      <c r="P702" s="3"/>
      <c r="Q702" s="6"/>
      <c r="R702" s="4" t="s">
        <v>548</v>
      </c>
    </row>
    <row r="703" spans="3:18" x14ac:dyDescent="0.25">
      <c r="C703" s="47" t="s">
        <v>615</v>
      </c>
      <c r="D703" s="208"/>
      <c r="E703" s="5"/>
      <c r="F703" s="2"/>
      <c r="G703" s="2"/>
      <c r="H703" s="2"/>
      <c r="I703" s="2"/>
      <c r="J703" s="6" t="s">
        <v>667</v>
      </c>
      <c r="K703" s="6"/>
      <c r="L703" s="6"/>
      <c r="M703" s="6">
        <v>1</v>
      </c>
      <c r="N703" s="6"/>
      <c r="O703" s="15">
        <v>4</v>
      </c>
      <c r="P703" s="6"/>
      <c r="Q703" s="3" t="s">
        <v>905</v>
      </c>
      <c r="R703" s="7" t="s">
        <v>548</v>
      </c>
    </row>
    <row r="704" spans="3:18" x14ac:dyDescent="0.25">
      <c r="C704" s="46" t="s">
        <v>616</v>
      </c>
      <c r="D704" s="207"/>
      <c r="E704" s="2"/>
      <c r="F704" s="5"/>
      <c r="G704" s="5"/>
      <c r="H704" s="5"/>
      <c r="I704" s="5"/>
      <c r="J704" s="3" t="s">
        <v>667</v>
      </c>
      <c r="K704" s="3"/>
      <c r="L704" s="3"/>
      <c r="M704" s="3">
        <v>1</v>
      </c>
      <c r="N704" s="3"/>
      <c r="O704" s="29">
        <v>4</v>
      </c>
      <c r="P704" s="3"/>
      <c r="Q704" s="3"/>
      <c r="R704" s="4" t="s">
        <v>548</v>
      </c>
    </row>
    <row r="705" spans="3:18" x14ac:dyDescent="0.25">
      <c r="C705" s="47" t="s">
        <v>617</v>
      </c>
      <c r="D705" s="208"/>
      <c r="E705" s="5"/>
      <c r="F705" s="2"/>
      <c r="G705" s="2"/>
      <c r="H705" s="2"/>
      <c r="I705" s="2"/>
      <c r="J705" s="6" t="s">
        <v>667</v>
      </c>
      <c r="K705" s="6"/>
      <c r="L705" s="6"/>
      <c r="M705" s="6">
        <v>1</v>
      </c>
      <c r="N705" s="6"/>
      <c r="O705" s="15">
        <v>4</v>
      </c>
      <c r="P705" s="6"/>
      <c r="Q705" s="6"/>
      <c r="R705" s="7" t="s">
        <v>548</v>
      </c>
    </row>
    <row r="706" spans="3:18" x14ac:dyDescent="0.25">
      <c r="C706" s="46" t="s">
        <v>618</v>
      </c>
      <c r="D706" s="207"/>
      <c r="E706" s="2"/>
      <c r="F706" s="5"/>
      <c r="G706" s="5"/>
      <c r="H706" s="5"/>
      <c r="I706" s="5"/>
      <c r="J706" s="3" t="s">
        <v>667</v>
      </c>
      <c r="K706" s="3"/>
      <c r="L706" s="3"/>
      <c r="M706" s="3">
        <v>1</v>
      </c>
      <c r="N706" s="3"/>
      <c r="O706" s="29">
        <v>4</v>
      </c>
      <c r="P706" s="3"/>
      <c r="Q706" s="3"/>
      <c r="R706" s="4" t="s">
        <v>548</v>
      </c>
    </row>
    <row r="707" spans="3:18" x14ac:dyDescent="0.25">
      <c r="C707" s="47" t="s">
        <v>619</v>
      </c>
      <c r="D707" s="208"/>
      <c r="E707" s="5"/>
      <c r="F707" s="2"/>
      <c r="G707" s="2"/>
      <c r="H707" s="2"/>
      <c r="I707" s="2"/>
      <c r="J707" s="6" t="s">
        <v>667</v>
      </c>
      <c r="K707" s="6"/>
      <c r="L707" s="6"/>
      <c r="M707" s="6">
        <v>1</v>
      </c>
      <c r="N707" s="6"/>
      <c r="O707" s="15">
        <v>4</v>
      </c>
      <c r="P707" s="6"/>
      <c r="Q707" s="3" t="s">
        <v>892</v>
      </c>
      <c r="R707" s="7" t="s">
        <v>548</v>
      </c>
    </row>
    <row r="708" spans="3:18" x14ac:dyDescent="0.25">
      <c r="C708" s="46" t="s">
        <v>620</v>
      </c>
      <c r="D708" s="207"/>
      <c r="E708" s="2"/>
      <c r="F708" s="5"/>
      <c r="G708" s="5"/>
      <c r="H708" s="5"/>
      <c r="I708" s="5"/>
      <c r="J708" s="3" t="s">
        <v>667</v>
      </c>
      <c r="K708" s="3"/>
      <c r="L708" s="3"/>
      <c r="M708" s="3">
        <v>1</v>
      </c>
      <c r="N708" s="3"/>
      <c r="O708" s="29">
        <v>4</v>
      </c>
      <c r="P708" s="3"/>
      <c r="Q708" s="6"/>
      <c r="R708" s="4" t="s">
        <v>548</v>
      </c>
    </row>
    <row r="709" spans="3:18" x14ac:dyDescent="0.25">
      <c r="C709" s="47" t="s">
        <v>621</v>
      </c>
      <c r="D709" s="208"/>
      <c r="E709" s="5"/>
      <c r="F709" s="2"/>
      <c r="G709" s="2"/>
      <c r="H709" s="2"/>
      <c r="I709" s="2"/>
      <c r="J709" s="6" t="s">
        <v>667</v>
      </c>
      <c r="K709" s="6"/>
      <c r="L709" s="6"/>
      <c r="M709" s="6">
        <v>1</v>
      </c>
      <c r="N709" s="6"/>
      <c r="O709" s="15">
        <v>4</v>
      </c>
      <c r="P709" s="6"/>
      <c r="Q709" s="3"/>
      <c r="R709" s="7" t="s">
        <v>548</v>
      </c>
    </row>
    <row r="710" spans="3:18" x14ac:dyDescent="0.25">
      <c r="C710" s="46" t="s">
        <v>622</v>
      </c>
      <c r="D710" s="207"/>
      <c r="E710" s="2"/>
      <c r="F710" s="5"/>
      <c r="G710" s="5"/>
      <c r="H710" s="5"/>
      <c r="I710" s="5"/>
      <c r="J710" s="3" t="s">
        <v>667</v>
      </c>
      <c r="K710" s="3"/>
      <c r="L710" s="3"/>
      <c r="M710" s="3">
        <v>1</v>
      </c>
      <c r="N710" s="3"/>
      <c r="O710" s="29">
        <v>4</v>
      </c>
      <c r="P710" s="3"/>
      <c r="Q710" s="6" t="s">
        <v>894</v>
      </c>
      <c r="R710" s="4" t="s">
        <v>548</v>
      </c>
    </row>
    <row r="711" spans="3:18" x14ac:dyDescent="0.25">
      <c r="C711" s="47" t="s">
        <v>623</v>
      </c>
      <c r="D711" s="208"/>
      <c r="E711" s="5"/>
      <c r="F711" s="2"/>
      <c r="G711" s="2"/>
      <c r="H711" s="2"/>
      <c r="I711" s="2"/>
      <c r="J711" s="6" t="s">
        <v>667</v>
      </c>
      <c r="K711" s="6"/>
      <c r="L711" s="6"/>
      <c r="M711" s="6">
        <v>1</v>
      </c>
      <c r="N711" s="6"/>
      <c r="O711" s="15">
        <v>4</v>
      </c>
      <c r="P711" s="6"/>
      <c r="Q711" s="3" t="s">
        <v>994</v>
      </c>
      <c r="R711" s="7" t="s">
        <v>548</v>
      </c>
    </row>
    <row r="712" spans="3:18" x14ac:dyDescent="0.25">
      <c r="C712" s="46" t="s">
        <v>624</v>
      </c>
      <c r="D712" s="207"/>
      <c r="E712" s="2"/>
      <c r="F712" s="5"/>
      <c r="G712" s="5"/>
      <c r="H712" s="5"/>
      <c r="I712" s="5"/>
      <c r="J712" s="3" t="s">
        <v>667</v>
      </c>
      <c r="K712" s="3"/>
      <c r="L712" s="3"/>
      <c r="M712" s="3">
        <v>1</v>
      </c>
      <c r="N712" s="3"/>
      <c r="O712" s="29">
        <v>4</v>
      </c>
      <c r="P712" s="3"/>
      <c r="Q712" s="6" t="s">
        <v>907</v>
      </c>
      <c r="R712" s="4" t="s">
        <v>548</v>
      </c>
    </row>
    <row r="713" spans="3:18" x14ac:dyDescent="0.25">
      <c r="C713" s="47" t="s">
        <v>625</v>
      </c>
      <c r="D713" s="208"/>
      <c r="E713" s="5"/>
      <c r="F713" s="2"/>
      <c r="G713" s="2"/>
      <c r="H713" s="2"/>
      <c r="I713" s="2"/>
      <c r="J713" s="6" t="s">
        <v>667</v>
      </c>
      <c r="K713" s="6"/>
      <c r="L713" s="6"/>
      <c r="M713" s="6">
        <v>1</v>
      </c>
      <c r="N713" s="6"/>
      <c r="O713" s="15">
        <v>4</v>
      </c>
      <c r="P713" s="6"/>
      <c r="Q713" s="3" t="s">
        <v>901</v>
      </c>
      <c r="R713" s="7" t="s">
        <v>548</v>
      </c>
    </row>
    <row r="714" spans="3:18" x14ac:dyDescent="0.25">
      <c r="C714" s="46" t="s">
        <v>626</v>
      </c>
      <c r="D714" s="207"/>
      <c r="E714" s="2"/>
      <c r="F714" s="5"/>
      <c r="G714" s="5"/>
      <c r="H714" s="5"/>
      <c r="I714" s="5"/>
      <c r="J714" s="3" t="s">
        <v>667</v>
      </c>
      <c r="K714" s="3"/>
      <c r="L714" s="3"/>
      <c r="M714" s="3">
        <v>1</v>
      </c>
      <c r="N714" s="3"/>
      <c r="O714" s="29">
        <v>4</v>
      </c>
      <c r="P714" s="3"/>
      <c r="Q714" s="6" t="s">
        <v>1035</v>
      </c>
      <c r="R714" s="4" t="s">
        <v>548</v>
      </c>
    </row>
    <row r="715" spans="3:18" x14ac:dyDescent="0.25">
      <c r="C715" s="47" t="s">
        <v>627</v>
      </c>
      <c r="D715" s="208"/>
      <c r="E715" s="5"/>
      <c r="F715" s="2"/>
      <c r="G715" s="2"/>
      <c r="H715" s="2"/>
      <c r="I715" s="2"/>
      <c r="J715" s="6" t="s">
        <v>667</v>
      </c>
      <c r="K715" s="6"/>
      <c r="L715" s="6"/>
      <c r="M715" s="6">
        <v>1</v>
      </c>
      <c r="N715" s="6"/>
      <c r="O715" s="15">
        <v>4</v>
      </c>
      <c r="P715" s="6"/>
      <c r="Q715" s="3"/>
      <c r="R715" s="7" t="s">
        <v>548</v>
      </c>
    </row>
    <row r="716" spans="3:18" x14ac:dyDescent="0.25">
      <c r="C716" s="46" t="s">
        <v>628</v>
      </c>
      <c r="D716" s="207"/>
      <c r="E716" s="2"/>
      <c r="F716" s="5"/>
      <c r="G716" s="5"/>
      <c r="H716" s="5"/>
      <c r="I716" s="5"/>
      <c r="J716" s="3" t="s">
        <v>667</v>
      </c>
      <c r="K716" s="3"/>
      <c r="L716" s="3"/>
      <c r="M716" s="3">
        <v>1</v>
      </c>
      <c r="N716" s="3"/>
      <c r="O716" s="29">
        <v>4</v>
      </c>
      <c r="P716" s="3"/>
      <c r="Q716" s="6"/>
      <c r="R716" s="4" t="s">
        <v>548</v>
      </c>
    </row>
    <row r="717" spans="3:18" x14ac:dyDescent="0.25">
      <c r="C717" s="47" t="s">
        <v>629</v>
      </c>
      <c r="D717" s="208"/>
      <c r="E717" s="5"/>
      <c r="F717" s="2"/>
      <c r="G717" s="2"/>
      <c r="H717" s="2"/>
      <c r="I717" s="2"/>
      <c r="J717" s="6" t="s">
        <v>667</v>
      </c>
      <c r="K717" s="6"/>
      <c r="L717" s="6"/>
      <c r="M717" s="6">
        <v>1</v>
      </c>
      <c r="N717" s="6"/>
      <c r="O717" s="15">
        <v>4</v>
      </c>
      <c r="P717" s="6"/>
      <c r="Q717" s="3" t="s">
        <v>896</v>
      </c>
      <c r="R717" s="7" t="s">
        <v>548</v>
      </c>
    </row>
    <row r="718" spans="3:18" x14ac:dyDescent="0.25">
      <c r="C718" s="46" t="s">
        <v>630</v>
      </c>
      <c r="D718" s="207"/>
      <c r="E718" s="2"/>
      <c r="F718" s="5"/>
      <c r="G718" s="5"/>
      <c r="H718" s="5"/>
      <c r="I718" s="5"/>
      <c r="J718" s="3" t="s">
        <v>667</v>
      </c>
      <c r="K718" s="3"/>
      <c r="L718" s="3"/>
      <c r="M718" s="3">
        <v>1</v>
      </c>
      <c r="N718" s="3"/>
      <c r="O718" s="29">
        <v>4</v>
      </c>
      <c r="P718" s="3"/>
      <c r="Q718" s="3"/>
      <c r="R718" s="4" t="s">
        <v>548</v>
      </c>
    </row>
    <row r="719" spans="3:18" x14ac:dyDescent="0.25">
      <c r="C719" s="47" t="s">
        <v>773</v>
      </c>
      <c r="D719" s="208"/>
      <c r="E719" s="5"/>
      <c r="F719" s="2"/>
      <c r="G719" s="2"/>
      <c r="H719" s="2"/>
      <c r="I719" s="2"/>
      <c r="J719" s="6" t="s">
        <v>667</v>
      </c>
      <c r="K719" s="6"/>
      <c r="L719" s="6"/>
      <c r="M719" s="6">
        <v>1</v>
      </c>
      <c r="N719" s="6"/>
      <c r="O719" s="15">
        <v>4</v>
      </c>
      <c r="P719" s="6"/>
      <c r="Q719" s="6"/>
      <c r="R719" s="7" t="s">
        <v>548</v>
      </c>
    </row>
    <row r="720" spans="3:18" x14ac:dyDescent="0.25">
      <c r="C720" s="47" t="s">
        <v>631</v>
      </c>
      <c r="D720" s="208"/>
      <c r="E720" s="5"/>
      <c r="F720" s="5"/>
      <c r="G720" s="5"/>
      <c r="H720" s="5"/>
      <c r="I720" s="5"/>
      <c r="J720" s="3" t="s">
        <v>667</v>
      </c>
      <c r="K720" s="3"/>
      <c r="L720" s="3"/>
      <c r="M720" s="3">
        <v>1</v>
      </c>
      <c r="N720" s="3"/>
      <c r="O720" s="29">
        <v>4</v>
      </c>
      <c r="P720" s="3"/>
      <c r="Q720" s="3"/>
      <c r="R720" s="4" t="s">
        <v>548</v>
      </c>
    </row>
    <row r="721" spans="1:20" x14ac:dyDescent="0.25">
      <c r="C721" s="46" t="s">
        <v>632</v>
      </c>
      <c r="D721" s="207"/>
      <c r="E721" s="2"/>
      <c r="F721" s="2"/>
      <c r="G721" s="2"/>
      <c r="H721" s="2"/>
      <c r="I721" s="2"/>
      <c r="J721" s="6" t="s">
        <v>667</v>
      </c>
      <c r="K721" s="6"/>
      <c r="L721" s="6"/>
      <c r="M721" s="6">
        <v>1</v>
      </c>
      <c r="N721" s="6"/>
      <c r="O721" s="15">
        <v>4</v>
      </c>
      <c r="P721" s="6"/>
      <c r="Q721" s="6"/>
      <c r="R721" s="7" t="s">
        <v>548</v>
      </c>
    </row>
    <row r="722" spans="1:20" x14ac:dyDescent="0.25">
      <c r="C722" s="47" t="s">
        <v>633</v>
      </c>
      <c r="D722" s="208"/>
      <c r="E722" s="5"/>
      <c r="F722" s="5"/>
      <c r="G722" s="5"/>
      <c r="H722" s="5"/>
      <c r="I722" s="5"/>
      <c r="J722" s="3" t="s">
        <v>667</v>
      </c>
      <c r="K722" s="3"/>
      <c r="L722" s="3"/>
      <c r="M722" s="3">
        <v>1</v>
      </c>
      <c r="N722" s="3"/>
      <c r="O722" s="29">
        <v>4</v>
      </c>
      <c r="P722" s="3"/>
      <c r="Q722" s="3"/>
      <c r="R722" s="4" t="s">
        <v>548</v>
      </c>
    </row>
    <row r="723" spans="1:20" x14ac:dyDescent="0.25">
      <c r="C723" s="46" t="s">
        <v>634</v>
      </c>
      <c r="D723" s="207"/>
      <c r="E723" s="2"/>
      <c r="F723" s="2"/>
      <c r="G723" s="2"/>
      <c r="H723" s="2"/>
      <c r="I723" s="2"/>
      <c r="J723" s="6" t="s">
        <v>667</v>
      </c>
      <c r="K723" s="6"/>
      <c r="L723" s="6"/>
      <c r="M723" s="6">
        <v>1</v>
      </c>
      <c r="N723" s="6"/>
      <c r="O723" s="15">
        <v>4</v>
      </c>
      <c r="P723" s="6"/>
      <c r="Q723" s="6"/>
      <c r="R723" s="7" t="s">
        <v>548</v>
      </c>
    </row>
    <row r="724" spans="1:20" x14ac:dyDescent="0.25">
      <c r="C724" s="47" t="s">
        <v>635</v>
      </c>
      <c r="D724" s="208"/>
      <c r="E724" s="5"/>
      <c r="F724" s="5"/>
      <c r="G724" s="5"/>
      <c r="H724" s="5"/>
      <c r="I724" s="5"/>
      <c r="J724" s="3" t="s">
        <v>667</v>
      </c>
      <c r="K724" s="3"/>
      <c r="L724" s="3"/>
      <c r="M724" s="3">
        <v>1</v>
      </c>
      <c r="N724" s="3"/>
      <c r="O724" s="29">
        <v>4</v>
      </c>
      <c r="P724" s="3"/>
      <c r="Q724" s="3"/>
      <c r="R724" s="4" t="s">
        <v>548</v>
      </c>
    </row>
    <row r="725" spans="1:20" x14ac:dyDescent="0.25">
      <c r="C725" s="46" t="s">
        <v>636</v>
      </c>
      <c r="D725" s="207"/>
      <c r="E725" s="2"/>
      <c r="F725" s="2"/>
      <c r="G725" s="2"/>
      <c r="H725" s="2"/>
      <c r="I725" s="2"/>
      <c r="J725" s="6" t="s">
        <v>667</v>
      </c>
      <c r="K725" s="6"/>
      <c r="L725" s="6"/>
      <c r="M725" s="6">
        <v>1</v>
      </c>
      <c r="N725" s="6"/>
      <c r="O725" s="15">
        <v>4</v>
      </c>
      <c r="P725" s="6"/>
      <c r="Q725" s="6"/>
      <c r="R725" s="7" t="s">
        <v>548</v>
      </c>
    </row>
    <row r="726" spans="1:20" x14ac:dyDescent="0.25">
      <c r="C726" s="47" t="s">
        <v>637</v>
      </c>
      <c r="D726" s="208"/>
      <c r="E726" s="5"/>
      <c r="F726" s="5"/>
      <c r="G726" s="5"/>
      <c r="H726" s="5"/>
      <c r="I726" s="5"/>
      <c r="J726" s="3" t="s">
        <v>667</v>
      </c>
      <c r="K726" s="3"/>
      <c r="L726" s="3"/>
      <c r="M726" s="3">
        <v>1</v>
      </c>
      <c r="N726" s="3"/>
      <c r="O726" s="29">
        <v>4</v>
      </c>
      <c r="P726" s="3"/>
      <c r="Q726" s="3" t="s">
        <v>1036</v>
      </c>
      <c r="R726" s="4" t="s">
        <v>548</v>
      </c>
    </row>
    <row r="727" spans="1:20" x14ac:dyDescent="0.25">
      <c r="C727" s="46" t="s">
        <v>638</v>
      </c>
      <c r="D727" s="207"/>
      <c r="E727" s="2"/>
      <c r="F727" s="2"/>
      <c r="G727" s="2"/>
      <c r="H727" s="2"/>
      <c r="I727" s="2"/>
      <c r="J727" s="6" t="s">
        <v>667</v>
      </c>
      <c r="K727" s="6"/>
      <c r="L727" s="6"/>
      <c r="M727" s="6">
        <v>1</v>
      </c>
      <c r="N727" s="6"/>
      <c r="O727" s="15">
        <v>4</v>
      </c>
      <c r="P727" s="6"/>
      <c r="Q727" s="6" t="s">
        <v>898</v>
      </c>
      <c r="R727" s="7" t="s">
        <v>548</v>
      </c>
    </row>
    <row r="728" spans="1:20" x14ac:dyDescent="0.25">
      <c r="C728" s="47" t="s">
        <v>639</v>
      </c>
      <c r="D728" s="208"/>
      <c r="E728" s="5"/>
      <c r="F728" s="5"/>
      <c r="G728" s="5"/>
      <c r="H728" s="5"/>
      <c r="I728" s="5"/>
      <c r="J728" s="3" t="s">
        <v>667</v>
      </c>
      <c r="K728" s="3"/>
      <c r="L728" s="3"/>
      <c r="M728" s="3">
        <v>1</v>
      </c>
      <c r="N728" s="3"/>
      <c r="O728" s="29">
        <v>4</v>
      </c>
      <c r="P728" s="3"/>
      <c r="Q728" s="3"/>
      <c r="R728" s="4" t="s">
        <v>548</v>
      </c>
    </row>
    <row r="729" spans="1:20" x14ac:dyDescent="0.25">
      <c r="C729" s="46" t="s">
        <v>640</v>
      </c>
      <c r="D729" s="207"/>
      <c r="E729" s="2"/>
      <c r="F729" s="2"/>
      <c r="G729" s="2"/>
      <c r="H729" s="2"/>
      <c r="I729" s="2"/>
      <c r="J729" s="6" t="s">
        <v>667</v>
      </c>
      <c r="K729" s="6"/>
      <c r="L729" s="6"/>
      <c r="M729" s="6">
        <v>1</v>
      </c>
      <c r="N729" s="6"/>
      <c r="O729" s="15">
        <v>4</v>
      </c>
      <c r="P729" s="6"/>
      <c r="Q729" s="6"/>
      <c r="R729" s="7" t="s">
        <v>548</v>
      </c>
    </row>
    <row r="730" spans="1:20" x14ac:dyDescent="0.25">
      <c r="C730" s="47" t="s">
        <v>641</v>
      </c>
      <c r="D730" s="208"/>
      <c r="E730" s="5"/>
      <c r="F730" s="5"/>
      <c r="G730" s="5"/>
      <c r="H730" s="5"/>
      <c r="I730" s="5"/>
      <c r="J730" s="3" t="s">
        <v>667</v>
      </c>
      <c r="K730" s="3"/>
      <c r="L730" s="3"/>
      <c r="M730" s="3">
        <v>1</v>
      </c>
      <c r="N730" s="36"/>
      <c r="O730" s="29">
        <v>4</v>
      </c>
      <c r="P730" s="3"/>
      <c r="Q730" s="3"/>
      <c r="R730" s="4" t="s">
        <v>548</v>
      </c>
    </row>
    <row r="731" spans="1:20" x14ac:dyDescent="0.25">
      <c r="C731" s="46" t="s">
        <v>642</v>
      </c>
      <c r="D731" s="207"/>
      <c r="E731" s="2"/>
      <c r="F731" s="2"/>
      <c r="G731" s="2"/>
      <c r="H731" s="2"/>
      <c r="I731" s="2"/>
      <c r="J731" s="6" t="s">
        <v>667</v>
      </c>
      <c r="K731" s="6"/>
      <c r="L731" s="6"/>
      <c r="M731" s="6">
        <v>1</v>
      </c>
      <c r="N731" s="6"/>
      <c r="O731" s="5">
        <v>4</v>
      </c>
      <c r="P731" s="6"/>
      <c r="Q731" s="6"/>
      <c r="R731" s="7" t="s">
        <v>548</v>
      </c>
    </row>
    <row r="732" spans="1:20" x14ac:dyDescent="0.25">
      <c r="A732" s="765">
        <v>265</v>
      </c>
      <c r="B732" s="765" t="s">
        <v>1406</v>
      </c>
      <c r="C732" s="46" t="s">
        <v>603</v>
      </c>
      <c r="D732" s="207"/>
      <c r="E732" s="2" t="s">
        <v>724</v>
      </c>
      <c r="F732" s="2"/>
      <c r="G732" s="2" t="s">
        <v>1178</v>
      </c>
      <c r="H732" s="2" t="s">
        <v>1178</v>
      </c>
      <c r="I732" s="2" t="s">
        <v>1178</v>
      </c>
      <c r="J732" s="3" t="s">
        <v>668</v>
      </c>
      <c r="K732" s="3"/>
      <c r="L732" s="3"/>
      <c r="M732" s="3">
        <v>1</v>
      </c>
      <c r="N732" s="3"/>
      <c r="O732" s="29">
        <v>4</v>
      </c>
      <c r="P732" s="3"/>
      <c r="Q732" s="6" t="s">
        <v>1028</v>
      </c>
      <c r="R732" s="4" t="s">
        <v>548</v>
      </c>
      <c r="S732">
        <v>40</v>
      </c>
      <c r="T732" s="246">
        <f t="shared" ref="T732:T747" si="27">1/12</f>
        <v>8.3333333333333329E-2</v>
      </c>
    </row>
    <row r="733" spans="1:20" x14ac:dyDescent="0.25">
      <c r="A733" s="765">
        <v>174</v>
      </c>
      <c r="B733" s="765" t="s">
        <v>1406</v>
      </c>
      <c r="C733" s="47" t="s">
        <v>605</v>
      </c>
      <c r="D733" s="208"/>
      <c r="E733" s="5"/>
      <c r="F733" s="5"/>
      <c r="G733" s="5"/>
      <c r="H733" s="5"/>
      <c r="I733" s="5"/>
      <c r="J733" s="6" t="s">
        <v>668</v>
      </c>
      <c r="K733" s="6"/>
      <c r="L733" s="6"/>
      <c r="M733" s="6">
        <v>1</v>
      </c>
      <c r="N733" s="6"/>
      <c r="O733" s="15">
        <v>4</v>
      </c>
      <c r="P733" s="6"/>
      <c r="Q733" s="6" t="s">
        <v>889</v>
      </c>
      <c r="R733" s="7" t="s">
        <v>548</v>
      </c>
      <c r="S733">
        <v>40</v>
      </c>
      <c r="T733" s="246">
        <f t="shared" si="27"/>
        <v>8.3333333333333329E-2</v>
      </c>
    </row>
    <row r="734" spans="1:20" x14ac:dyDescent="0.25">
      <c r="A734" s="765">
        <v>175</v>
      </c>
      <c r="B734" s="765" t="s">
        <v>1406</v>
      </c>
      <c r="C734" s="46" t="s">
        <v>606</v>
      </c>
      <c r="D734" s="207"/>
      <c r="E734" s="2"/>
      <c r="F734" s="2"/>
      <c r="G734" s="2"/>
      <c r="H734" s="2"/>
      <c r="I734" s="2"/>
      <c r="J734" s="3" t="s">
        <v>668</v>
      </c>
      <c r="K734" s="3"/>
      <c r="L734" s="3"/>
      <c r="M734" s="3">
        <v>1</v>
      </c>
      <c r="N734" s="3"/>
      <c r="O734" s="29">
        <v>4</v>
      </c>
      <c r="P734" s="3"/>
      <c r="Q734" s="3" t="s">
        <v>890</v>
      </c>
      <c r="R734" s="4" t="s">
        <v>548</v>
      </c>
      <c r="S734">
        <v>40</v>
      </c>
      <c r="T734" s="246">
        <f t="shared" si="27"/>
        <v>8.3333333333333329E-2</v>
      </c>
    </row>
    <row r="735" spans="1:20" x14ac:dyDescent="0.25">
      <c r="A735" s="765">
        <v>176</v>
      </c>
      <c r="B735" s="765" t="s">
        <v>1406</v>
      </c>
      <c r="C735" s="47" t="s">
        <v>607</v>
      </c>
      <c r="D735" s="208"/>
      <c r="E735" s="5" t="s">
        <v>724</v>
      </c>
      <c r="F735" s="5"/>
      <c r="G735" s="5" t="s">
        <v>1178</v>
      </c>
      <c r="H735" s="5" t="s">
        <v>1178</v>
      </c>
      <c r="I735" s="5" t="s">
        <v>1178</v>
      </c>
      <c r="J735" s="6" t="s">
        <v>668</v>
      </c>
      <c r="K735" s="6"/>
      <c r="L735" s="6"/>
      <c r="M735" s="6">
        <v>1</v>
      </c>
      <c r="N735" s="6"/>
      <c r="O735" s="15">
        <v>4</v>
      </c>
      <c r="P735" s="6"/>
      <c r="Q735" s="6" t="s">
        <v>903</v>
      </c>
      <c r="R735" s="7" t="s">
        <v>548</v>
      </c>
      <c r="S735">
        <v>40</v>
      </c>
      <c r="T735" s="246">
        <f t="shared" si="27"/>
        <v>8.3333333333333329E-2</v>
      </c>
    </row>
    <row r="736" spans="1:20" x14ac:dyDescent="0.25">
      <c r="A736" s="765">
        <v>178</v>
      </c>
      <c r="B736" s="765" t="s">
        <v>1406</v>
      </c>
      <c r="C736" s="46" t="s">
        <v>608</v>
      </c>
      <c r="D736" s="207"/>
      <c r="E736" s="2"/>
      <c r="F736" s="2"/>
      <c r="G736" s="2"/>
      <c r="H736" s="2"/>
      <c r="I736" s="2"/>
      <c r="J736" s="3" t="s">
        <v>668</v>
      </c>
      <c r="K736" s="3"/>
      <c r="L736" s="3"/>
      <c r="M736" s="3">
        <v>1</v>
      </c>
      <c r="N736" s="3"/>
      <c r="O736" s="29">
        <v>4</v>
      </c>
      <c r="P736" s="3"/>
      <c r="Q736" s="3"/>
      <c r="R736" s="4" t="s">
        <v>548</v>
      </c>
      <c r="S736">
        <v>40</v>
      </c>
      <c r="T736" s="246">
        <f t="shared" si="27"/>
        <v>8.3333333333333329E-2</v>
      </c>
    </row>
    <row r="737" spans="1:20" x14ac:dyDescent="0.25">
      <c r="A737" s="765">
        <v>179</v>
      </c>
      <c r="B737" s="765" t="s">
        <v>1406</v>
      </c>
      <c r="C737" s="46" t="s">
        <v>610</v>
      </c>
      <c r="D737" s="207"/>
      <c r="E737" s="5"/>
      <c r="F737" s="5"/>
      <c r="G737" s="5"/>
      <c r="H737" s="5"/>
      <c r="I737" s="5"/>
      <c r="J737" s="6" t="s">
        <v>668</v>
      </c>
      <c r="K737" s="6"/>
      <c r="L737" s="6"/>
      <c r="M737" s="6">
        <v>1</v>
      </c>
      <c r="N737" s="6"/>
      <c r="O737" s="15">
        <v>4</v>
      </c>
      <c r="P737" s="6"/>
      <c r="Q737" s="6" t="s">
        <v>904</v>
      </c>
      <c r="R737" s="7" t="s">
        <v>548</v>
      </c>
      <c r="S737">
        <v>40</v>
      </c>
      <c r="T737" s="246">
        <f t="shared" si="27"/>
        <v>8.3333333333333329E-2</v>
      </c>
    </row>
    <row r="738" spans="1:20" x14ac:dyDescent="0.25">
      <c r="B738" s="765" t="s">
        <v>1406</v>
      </c>
      <c r="C738" s="47" t="s">
        <v>611</v>
      </c>
      <c r="D738" s="208"/>
      <c r="E738" s="2"/>
      <c r="F738" s="2"/>
      <c r="G738" s="2"/>
      <c r="H738" s="2"/>
      <c r="I738" s="2"/>
      <c r="J738" s="3" t="s">
        <v>668</v>
      </c>
      <c r="K738" s="3"/>
      <c r="L738" s="3"/>
      <c r="M738" s="3">
        <v>1</v>
      </c>
      <c r="N738" s="3"/>
      <c r="O738" s="29">
        <v>4</v>
      </c>
      <c r="P738" s="3"/>
      <c r="Q738" s="3" t="s">
        <v>899</v>
      </c>
      <c r="R738" s="4" t="s">
        <v>548</v>
      </c>
      <c r="S738">
        <v>40</v>
      </c>
      <c r="T738" s="246">
        <f t="shared" si="27"/>
        <v>8.3333333333333329E-2</v>
      </c>
    </row>
    <row r="739" spans="1:20" x14ac:dyDescent="0.25">
      <c r="A739" s="765">
        <v>266</v>
      </c>
      <c r="B739" s="765" t="s">
        <v>1406</v>
      </c>
      <c r="C739" s="46" t="s">
        <v>612</v>
      </c>
      <c r="D739" s="207"/>
      <c r="E739" s="5"/>
      <c r="F739" s="5"/>
      <c r="G739" s="5"/>
      <c r="H739" s="5"/>
      <c r="I739" s="5"/>
      <c r="J739" s="6" t="s">
        <v>668</v>
      </c>
      <c r="K739" s="6"/>
      <c r="L739" s="6"/>
      <c r="M739" s="6">
        <v>1</v>
      </c>
      <c r="N739" s="6"/>
      <c r="O739" s="15">
        <v>4</v>
      </c>
      <c r="P739" s="6"/>
      <c r="Q739" s="6"/>
      <c r="R739" s="7" t="s">
        <v>548</v>
      </c>
      <c r="S739">
        <v>40</v>
      </c>
      <c r="T739" s="246">
        <f t="shared" si="27"/>
        <v>8.3333333333333329E-2</v>
      </c>
    </row>
    <row r="740" spans="1:20" x14ac:dyDescent="0.25">
      <c r="A740" s="765">
        <v>181</v>
      </c>
      <c r="B740" s="765" t="s">
        <v>1406</v>
      </c>
      <c r="C740" s="47" t="s">
        <v>613</v>
      </c>
      <c r="D740" s="208"/>
      <c r="E740" s="2"/>
      <c r="F740" s="2"/>
      <c r="G740" s="2"/>
      <c r="H740" s="2"/>
      <c r="I740" s="2"/>
      <c r="J740" s="3" t="s">
        <v>668</v>
      </c>
      <c r="K740" s="3"/>
      <c r="L740" s="3"/>
      <c r="M740" s="3">
        <v>1</v>
      </c>
      <c r="N740" s="3"/>
      <c r="O740" s="29">
        <v>4</v>
      </c>
      <c r="P740" s="3"/>
      <c r="Q740" s="3" t="s">
        <v>900</v>
      </c>
      <c r="R740" s="4" t="s">
        <v>548</v>
      </c>
      <c r="S740">
        <v>40</v>
      </c>
      <c r="T740" s="246">
        <f t="shared" si="27"/>
        <v>8.3333333333333329E-2</v>
      </c>
    </row>
    <row r="741" spans="1:20" x14ac:dyDescent="0.25">
      <c r="A741" s="765">
        <v>267</v>
      </c>
      <c r="B741" s="765" t="s">
        <v>1406</v>
      </c>
      <c r="C741" s="46" t="s">
        <v>614</v>
      </c>
      <c r="D741" s="207"/>
      <c r="E741" s="5"/>
      <c r="F741" s="5"/>
      <c r="G741" s="5"/>
      <c r="H741" s="5"/>
      <c r="I741" s="5"/>
      <c r="J741" s="6" t="s">
        <v>668</v>
      </c>
      <c r="K741" s="6"/>
      <c r="L741" s="6"/>
      <c r="M741" s="6">
        <v>1</v>
      </c>
      <c r="N741" s="6"/>
      <c r="O741" s="15">
        <v>4</v>
      </c>
      <c r="P741" s="6"/>
      <c r="Q741" s="6" t="s">
        <v>893</v>
      </c>
      <c r="R741" s="7" t="s">
        <v>548</v>
      </c>
      <c r="S741">
        <v>40</v>
      </c>
      <c r="T741" s="246">
        <f t="shared" si="27"/>
        <v>8.3333333333333329E-2</v>
      </c>
    </row>
    <row r="742" spans="1:20" x14ac:dyDescent="0.25">
      <c r="A742" s="765">
        <v>182</v>
      </c>
      <c r="B742" s="765" t="s">
        <v>1406</v>
      </c>
      <c r="C742" s="47" t="s">
        <v>615</v>
      </c>
      <c r="D742" s="208"/>
      <c r="E742" s="2"/>
      <c r="F742" s="2"/>
      <c r="G742" s="2"/>
      <c r="H742" s="2"/>
      <c r="I742" s="2"/>
      <c r="J742" s="3" t="s">
        <v>668</v>
      </c>
      <c r="K742" s="3"/>
      <c r="L742" s="3"/>
      <c r="M742" s="3">
        <v>1</v>
      </c>
      <c r="N742" s="3"/>
      <c r="O742" s="29">
        <v>4</v>
      </c>
      <c r="P742" s="3"/>
      <c r="Q742" s="3" t="s">
        <v>905</v>
      </c>
      <c r="R742" s="4" t="s">
        <v>548</v>
      </c>
      <c r="S742">
        <v>40</v>
      </c>
      <c r="T742" s="246">
        <f t="shared" si="27"/>
        <v>8.3333333333333329E-2</v>
      </c>
    </row>
    <row r="743" spans="1:20" x14ac:dyDescent="0.25">
      <c r="A743" s="765">
        <v>183</v>
      </c>
      <c r="B743" s="765" t="s">
        <v>1406</v>
      </c>
      <c r="C743" s="46" t="s">
        <v>616</v>
      </c>
      <c r="D743" s="207"/>
      <c r="E743" s="5"/>
      <c r="F743" s="5"/>
      <c r="G743" s="5"/>
      <c r="H743" s="5"/>
      <c r="I743" s="5"/>
      <c r="J743" s="6" t="s">
        <v>668</v>
      </c>
      <c r="K743" s="6"/>
      <c r="L743" s="6"/>
      <c r="M743" s="6">
        <v>1</v>
      </c>
      <c r="N743" s="6"/>
      <c r="O743" s="15">
        <v>4</v>
      </c>
      <c r="P743" s="6"/>
      <c r="Q743" s="6"/>
      <c r="R743" s="7" t="s">
        <v>548</v>
      </c>
      <c r="S743">
        <v>40</v>
      </c>
      <c r="T743" s="246">
        <f t="shared" si="27"/>
        <v>8.3333333333333329E-2</v>
      </c>
    </row>
    <row r="744" spans="1:20" x14ac:dyDescent="0.25">
      <c r="B744" s="765" t="s">
        <v>1406</v>
      </c>
      <c r="C744" s="47" t="s">
        <v>617</v>
      </c>
      <c r="D744" s="208"/>
      <c r="E744" s="2"/>
      <c r="F744" s="2"/>
      <c r="G744" s="2"/>
      <c r="H744" s="2"/>
      <c r="I744" s="2"/>
      <c r="J744" s="3" t="s">
        <v>668</v>
      </c>
      <c r="K744" s="3"/>
      <c r="L744" s="3"/>
      <c r="M744" s="3">
        <v>1</v>
      </c>
      <c r="N744" s="3"/>
      <c r="O744" s="29">
        <v>4</v>
      </c>
      <c r="P744" s="3"/>
      <c r="Q744" s="3"/>
      <c r="R744" s="4" t="s">
        <v>548</v>
      </c>
      <c r="S744">
        <v>40</v>
      </c>
      <c r="T744" s="246">
        <f t="shared" si="27"/>
        <v>8.3333333333333329E-2</v>
      </c>
    </row>
    <row r="745" spans="1:20" x14ac:dyDescent="0.25">
      <c r="A745" s="765">
        <v>184</v>
      </c>
      <c r="B745" s="765" t="s">
        <v>1406</v>
      </c>
      <c r="C745" s="46" t="s">
        <v>618</v>
      </c>
      <c r="D745" s="207"/>
      <c r="E745" s="5"/>
      <c r="F745" s="5"/>
      <c r="G745" s="5"/>
      <c r="H745" s="5"/>
      <c r="I745" s="5"/>
      <c r="J745" s="6" t="s">
        <v>668</v>
      </c>
      <c r="K745" s="6"/>
      <c r="L745" s="6"/>
      <c r="M745" s="6">
        <v>1</v>
      </c>
      <c r="N745" s="6"/>
      <c r="O745" s="15">
        <v>4</v>
      </c>
      <c r="P745" s="6"/>
      <c r="Q745" s="6" t="s">
        <v>906</v>
      </c>
      <c r="R745" s="7" t="s">
        <v>548</v>
      </c>
      <c r="S745">
        <v>40</v>
      </c>
      <c r="T745" s="246">
        <f t="shared" si="27"/>
        <v>8.3333333333333329E-2</v>
      </c>
    </row>
    <row r="746" spans="1:20" x14ac:dyDescent="0.25">
      <c r="A746" s="765">
        <v>185</v>
      </c>
      <c r="B746" s="765" t="s">
        <v>1406</v>
      </c>
      <c r="C746" s="47" t="s">
        <v>619</v>
      </c>
      <c r="D746" s="208"/>
      <c r="E746" s="2" t="s">
        <v>724</v>
      </c>
      <c r="F746" s="2"/>
      <c r="G746" s="2" t="s">
        <v>724</v>
      </c>
      <c r="H746" s="2"/>
      <c r="I746" s="2"/>
      <c r="J746" s="3" t="s">
        <v>668</v>
      </c>
      <c r="K746" s="3"/>
      <c r="L746" s="3"/>
      <c r="M746" s="3">
        <v>1</v>
      </c>
      <c r="N746" s="3"/>
      <c r="O746" s="29">
        <v>4</v>
      </c>
      <c r="P746" s="3"/>
      <c r="Q746" s="3" t="s">
        <v>892</v>
      </c>
      <c r="R746" s="4" t="s">
        <v>548</v>
      </c>
      <c r="S746">
        <v>40</v>
      </c>
      <c r="T746" s="246">
        <f t="shared" si="27"/>
        <v>8.3333333333333329E-2</v>
      </c>
    </row>
    <row r="747" spans="1:20" x14ac:dyDescent="0.25">
      <c r="A747" s="765">
        <v>186</v>
      </c>
      <c r="B747" s="765" t="s">
        <v>1406</v>
      </c>
      <c r="C747" s="46" t="s">
        <v>620</v>
      </c>
      <c r="D747" s="207"/>
      <c r="E747" s="5"/>
      <c r="F747" s="5"/>
      <c r="G747" s="5"/>
      <c r="H747" s="5"/>
      <c r="I747" s="5"/>
      <c r="J747" s="6" t="s">
        <v>668</v>
      </c>
      <c r="K747" s="6"/>
      <c r="L747" s="6"/>
      <c r="M747" s="6">
        <v>1</v>
      </c>
      <c r="N747" s="6"/>
      <c r="O747" s="15">
        <v>4</v>
      </c>
      <c r="P747" s="6"/>
      <c r="Q747" s="6"/>
      <c r="R747" s="7" t="s">
        <v>548</v>
      </c>
      <c r="S747">
        <v>40</v>
      </c>
      <c r="T747" s="246">
        <f t="shared" si="27"/>
        <v>8.3333333333333329E-2</v>
      </c>
    </row>
    <row r="748" spans="1:20" x14ac:dyDescent="0.25">
      <c r="A748" s="765">
        <v>187</v>
      </c>
      <c r="B748" s="765" t="s">
        <v>1406</v>
      </c>
      <c r="C748" s="47" t="s">
        <v>621</v>
      </c>
      <c r="D748" s="208"/>
      <c r="E748" s="2"/>
      <c r="F748" s="2"/>
      <c r="G748" s="2"/>
      <c r="H748" s="2"/>
      <c r="I748" s="2"/>
      <c r="J748" s="3" t="s">
        <v>668</v>
      </c>
      <c r="K748" s="3"/>
      <c r="L748" s="3"/>
      <c r="M748" s="3">
        <v>1</v>
      </c>
      <c r="N748" s="3"/>
      <c r="O748" s="29">
        <v>4</v>
      </c>
      <c r="P748" s="3"/>
      <c r="Q748" s="3"/>
      <c r="R748" s="4" t="s">
        <v>548</v>
      </c>
      <c r="S748">
        <v>40</v>
      </c>
      <c r="T748" s="246">
        <f t="shared" ref="T748:T768" si="28">1/12</f>
        <v>8.3333333333333329E-2</v>
      </c>
    </row>
    <row r="749" spans="1:20" x14ac:dyDescent="0.25">
      <c r="A749" s="765">
        <v>188</v>
      </c>
      <c r="B749" s="765" t="s">
        <v>1406</v>
      </c>
      <c r="C749" s="46" t="s">
        <v>622</v>
      </c>
      <c r="D749" s="207"/>
      <c r="E749" s="5" t="s">
        <v>724</v>
      </c>
      <c r="F749" s="5"/>
      <c r="G749" s="5" t="s">
        <v>724</v>
      </c>
      <c r="H749" s="5"/>
      <c r="I749" s="5" t="s">
        <v>724</v>
      </c>
      <c r="J749" s="6" t="s">
        <v>668</v>
      </c>
      <c r="K749" s="6"/>
      <c r="L749" s="6"/>
      <c r="M749" s="6">
        <v>1</v>
      </c>
      <c r="N749" s="6"/>
      <c r="O749" s="15">
        <v>4</v>
      </c>
      <c r="P749" s="6"/>
      <c r="Q749" s="6" t="s">
        <v>894</v>
      </c>
      <c r="R749" s="7" t="s">
        <v>548</v>
      </c>
      <c r="S749">
        <v>40</v>
      </c>
      <c r="T749" s="246">
        <f t="shared" si="28"/>
        <v>8.3333333333333329E-2</v>
      </c>
    </row>
    <row r="750" spans="1:20" x14ac:dyDescent="0.25">
      <c r="A750" s="765">
        <v>269</v>
      </c>
      <c r="B750" s="765" t="s">
        <v>1406</v>
      </c>
      <c r="C750" s="47" t="s">
        <v>623</v>
      </c>
      <c r="D750" s="208"/>
      <c r="E750" s="2"/>
      <c r="F750" s="2"/>
      <c r="G750" s="2"/>
      <c r="H750" s="2"/>
      <c r="I750" s="2"/>
      <c r="J750" s="3" t="s">
        <v>668</v>
      </c>
      <c r="K750" s="3"/>
      <c r="L750" s="3"/>
      <c r="M750" s="3">
        <v>1</v>
      </c>
      <c r="N750" s="3"/>
      <c r="O750" s="29">
        <v>4</v>
      </c>
      <c r="P750" s="3"/>
      <c r="Q750" s="3" t="s">
        <v>994</v>
      </c>
      <c r="R750" s="4" t="s">
        <v>548</v>
      </c>
      <c r="S750">
        <v>40</v>
      </c>
      <c r="T750" s="246">
        <f t="shared" si="28"/>
        <v>8.3333333333333329E-2</v>
      </c>
    </row>
    <row r="751" spans="1:20" x14ac:dyDescent="0.25">
      <c r="A751" s="765">
        <v>270</v>
      </c>
      <c r="B751" s="765" t="s">
        <v>1406</v>
      </c>
      <c r="C751" s="46" t="s">
        <v>624</v>
      </c>
      <c r="D751" s="207"/>
      <c r="E751" s="5"/>
      <c r="F751" s="5"/>
      <c r="G751" s="5"/>
      <c r="H751" s="5"/>
      <c r="I751" s="5"/>
      <c r="J751" s="6" t="s">
        <v>668</v>
      </c>
      <c r="K751" s="6"/>
      <c r="L751" s="6"/>
      <c r="M751" s="6">
        <v>1</v>
      </c>
      <c r="N751" s="6"/>
      <c r="O751" s="15">
        <v>4</v>
      </c>
      <c r="P751" s="6"/>
      <c r="Q751" s="6" t="s">
        <v>907</v>
      </c>
      <c r="R751" s="7" t="s">
        <v>548</v>
      </c>
      <c r="S751">
        <v>40</v>
      </c>
      <c r="T751" s="246">
        <f t="shared" si="28"/>
        <v>8.3333333333333329E-2</v>
      </c>
    </row>
    <row r="752" spans="1:20" x14ac:dyDescent="0.25">
      <c r="A752" s="765">
        <v>190</v>
      </c>
      <c r="B752" s="765" t="s">
        <v>1406</v>
      </c>
      <c r="C752" s="47" t="s">
        <v>625</v>
      </c>
      <c r="D752" s="208"/>
      <c r="E752" s="2" t="s">
        <v>724</v>
      </c>
      <c r="F752" s="2"/>
      <c r="G752" s="2" t="s">
        <v>724</v>
      </c>
      <c r="H752" s="2"/>
      <c r="I752" s="2" t="s">
        <v>724</v>
      </c>
      <c r="J752" s="3" t="s">
        <v>668</v>
      </c>
      <c r="K752" s="3"/>
      <c r="L752" s="3"/>
      <c r="M752" s="3">
        <v>1</v>
      </c>
      <c r="N752" s="3"/>
      <c r="O752" s="29">
        <v>4</v>
      </c>
      <c r="P752" s="3"/>
      <c r="Q752" s="3" t="s">
        <v>901</v>
      </c>
      <c r="R752" s="4" t="s">
        <v>548</v>
      </c>
      <c r="S752">
        <v>40</v>
      </c>
      <c r="T752" s="246">
        <f t="shared" si="28"/>
        <v>8.3333333333333329E-2</v>
      </c>
    </row>
    <row r="753" spans="1:20" x14ac:dyDescent="0.25">
      <c r="A753" s="765">
        <v>191</v>
      </c>
      <c r="B753" s="765" t="s">
        <v>1406</v>
      </c>
      <c r="C753" s="46" t="s">
        <v>626</v>
      </c>
      <c r="D753" s="207"/>
      <c r="E753" s="5"/>
      <c r="F753" s="5"/>
      <c r="G753" s="5"/>
      <c r="H753" s="5"/>
      <c r="I753" s="5"/>
      <c r="J753" s="6" t="s">
        <v>668</v>
      </c>
      <c r="K753" s="6"/>
      <c r="L753" s="6"/>
      <c r="M753" s="6">
        <v>1</v>
      </c>
      <c r="N753" s="6"/>
      <c r="O753" s="15">
        <v>4</v>
      </c>
      <c r="P753" s="6"/>
      <c r="Q753" s="6"/>
      <c r="R753" s="7" t="s">
        <v>548</v>
      </c>
      <c r="S753">
        <v>40</v>
      </c>
      <c r="T753" s="246">
        <f t="shared" si="28"/>
        <v>8.3333333333333329E-2</v>
      </c>
    </row>
    <row r="754" spans="1:20" x14ac:dyDescent="0.25">
      <c r="A754" s="765">
        <v>187</v>
      </c>
      <c r="B754" s="765" t="s">
        <v>1406</v>
      </c>
      <c r="C754" s="47" t="s">
        <v>627</v>
      </c>
      <c r="D754" s="208"/>
      <c r="E754" s="2"/>
      <c r="F754" s="2"/>
      <c r="G754" s="2"/>
      <c r="H754" s="2"/>
      <c r="I754" s="2"/>
      <c r="J754" s="3" t="s">
        <v>668</v>
      </c>
      <c r="K754" s="3"/>
      <c r="L754" s="3"/>
      <c r="M754" s="3">
        <v>1</v>
      </c>
      <c r="N754" s="3"/>
      <c r="O754" s="29">
        <v>4</v>
      </c>
      <c r="P754" s="3"/>
      <c r="Q754" s="3" t="s">
        <v>895</v>
      </c>
      <c r="R754" s="4" t="s">
        <v>548</v>
      </c>
      <c r="S754">
        <v>40</v>
      </c>
      <c r="T754" s="246">
        <f t="shared" si="28"/>
        <v>8.3333333333333329E-2</v>
      </c>
    </row>
    <row r="755" spans="1:20" x14ac:dyDescent="0.25">
      <c r="A755" s="765">
        <v>166</v>
      </c>
      <c r="B755" s="765" t="s">
        <v>1406</v>
      </c>
      <c r="C755" s="46" t="s">
        <v>628</v>
      </c>
      <c r="D755" s="207"/>
      <c r="E755" s="5"/>
      <c r="F755" s="5"/>
      <c r="G755" s="5"/>
      <c r="H755" s="5"/>
      <c r="I755" s="5"/>
      <c r="J755" s="6" t="s">
        <v>668</v>
      </c>
      <c r="K755" s="6"/>
      <c r="L755" s="6"/>
      <c r="M755" s="6">
        <v>1</v>
      </c>
      <c r="N755" s="6"/>
      <c r="O755" s="15">
        <v>4</v>
      </c>
      <c r="P755" s="6"/>
      <c r="Q755" s="6" t="s">
        <v>891</v>
      </c>
      <c r="R755" s="7" t="s">
        <v>548</v>
      </c>
      <c r="S755">
        <v>40</v>
      </c>
      <c r="T755" s="246">
        <f t="shared" si="28"/>
        <v>8.3333333333333329E-2</v>
      </c>
    </row>
    <row r="756" spans="1:20" x14ac:dyDescent="0.25">
      <c r="A756" s="765">
        <v>192</v>
      </c>
      <c r="B756" s="765" t="s">
        <v>1406</v>
      </c>
      <c r="C756" s="47" t="s">
        <v>629</v>
      </c>
      <c r="D756" s="208"/>
      <c r="E756" s="2" t="s">
        <v>724</v>
      </c>
      <c r="F756" s="2"/>
      <c r="G756" s="2" t="s">
        <v>1178</v>
      </c>
      <c r="H756" s="2" t="s">
        <v>1178</v>
      </c>
      <c r="I756" s="2" t="s">
        <v>1178</v>
      </c>
      <c r="J756" s="3" t="s">
        <v>668</v>
      </c>
      <c r="K756" s="3"/>
      <c r="L756" s="3"/>
      <c r="M756" s="3">
        <v>1</v>
      </c>
      <c r="N756" s="3"/>
      <c r="O756" s="29">
        <v>4</v>
      </c>
      <c r="P756" s="3"/>
      <c r="Q756" s="3" t="s">
        <v>896</v>
      </c>
      <c r="R756" s="4" t="s">
        <v>548</v>
      </c>
      <c r="S756">
        <v>40</v>
      </c>
      <c r="T756" s="246">
        <f t="shared" si="28"/>
        <v>8.3333333333333329E-2</v>
      </c>
    </row>
    <row r="757" spans="1:20" x14ac:dyDescent="0.25">
      <c r="A757" s="765">
        <v>180</v>
      </c>
      <c r="B757" s="765" t="s">
        <v>1406</v>
      </c>
      <c r="C757" s="46" t="s">
        <v>630</v>
      </c>
      <c r="D757" s="207"/>
      <c r="E757" s="5"/>
      <c r="F757" s="5"/>
      <c r="G757" s="5"/>
      <c r="H757" s="5"/>
      <c r="I757" s="5"/>
      <c r="J757" s="6" t="s">
        <v>668</v>
      </c>
      <c r="K757" s="6"/>
      <c r="L757" s="6"/>
      <c r="M757" s="6">
        <v>1</v>
      </c>
      <c r="N757" s="6"/>
      <c r="O757" s="15">
        <v>4</v>
      </c>
      <c r="P757" s="6"/>
      <c r="Q757" s="6"/>
      <c r="R757" s="7" t="s">
        <v>548</v>
      </c>
      <c r="S757">
        <v>40</v>
      </c>
      <c r="T757" s="246">
        <f t="shared" si="28"/>
        <v>8.3333333333333329E-2</v>
      </c>
    </row>
    <row r="758" spans="1:20" x14ac:dyDescent="0.25">
      <c r="A758" s="765">
        <v>193</v>
      </c>
      <c r="B758" s="765" t="s">
        <v>1406</v>
      </c>
      <c r="C758" s="47" t="s">
        <v>631</v>
      </c>
      <c r="D758" s="208"/>
      <c r="E758" s="2"/>
      <c r="F758" s="2"/>
      <c r="G758" s="2"/>
      <c r="H758" s="2"/>
      <c r="I758" s="2"/>
      <c r="J758" s="3" t="s">
        <v>668</v>
      </c>
      <c r="K758" s="3"/>
      <c r="L758" s="3"/>
      <c r="M758" s="3">
        <v>1</v>
      </c>
      <c r="N758" s="3"/>
      <c r="O758" s="29">
        <v>4</v>
      </c>
      <c r="P758" s="3"/>
      <c r="Q758" s="3"/>
      <c r="R758" s="4" t="s">
        <v>548</v>
      </c>
      <c r="S758">
        <v>40</v>
      </c>
      <c r="T758" s="246">
        <f t="shared" si="28"/>
        <v>8.3333333333333329E-2</v>
      </c>
    </row>
    <row r="759" spans="1:20" x14ac:dyDescent="0.25">
      <c r="A759" s="765">
        <v>194</v>
      </c>
      <c r="B759" s="765" t="s">
        <v>1406</v>
      </c>
      <c r="C759" s="46" t="s">
        <v>632</v>
      </c>
      <c r="D759" s="207"/>
      <c r="E759" s="5"/>
      <c r="F759" s="5"/>
      <c r="G759" s="5"/>
      <c r="H759" s="5"/>
      <c r="I759" s="5"/>
      <c r="J759" s="6" t="s">
        <v>668</v>
      </c>
      <c r="K759" s="6"/>
      <c r="L759" s="6"/>
      <c r="M759" s="6">
        <v>1</v>
      </c>
      <c r="N759" s="6"/>
      <c r="O759" s="15">
        <v>4</v>
      </c>
      <c r="P759" s="6"/>
      <c r="Q759" s="6" t="s">
        <v>902</v>
      </c>
      <c r="R759" s="7" t="s">
        <v>548</v>
      </c>
      <c r="S759">
        <v>40</v>
      </c>
      <c r="T759" s="246">
        <f t="shared" si="28"/>
        <v>8.3333333333333329E-2</v>
      </c>
    </row>
    <row r="760" spans="1:20" x14ac:dyDescent="0.25">
      <c r="A760" s="765">
        <v>195</v>
      </c>
      <c r="B760" s="765" t="s">
        <v>1406</v>
      </c>
      <c r="C760" s="47" t="s">
        <v>633</v>
      </c>
      <c r="D760" s="208"/>
      <c r="E760" s="2"/>
      <c r="F760" s="2"/>
      <c r="G760" s="2"/>
      <c r="H760" s="2"/>
      <c r="I760" s="2"/>
      <c r="J760" s="3" t="s">
        <v>668</v>
      </c>
      <c r="K760" s="3"/>
      <c r="L760" s="3"/>
      <c r="M760" s="3">
        <v>1</v>
      </c>
      <c r="N760" s="3"/>
      <c r="O760" s="29">
        <v>4</v>
      </c>
      <c r="P760" s="3"/>
      <c r="Q760" s="3" t="s">
        <v>919</v>
      </c>
      <c r="R760" s="4" t="s">
        <v>548</v>
      </c>
      <c r="S760">
        <v>40</v>
      </c>
      <c r="T760" s="246">
        <f t="shared" si="28"/>
        <v>8.3333333333333329E-2</v>
      </c>
    </row>
    <row r="761" spans="1:20" x14ac:dyDescent="0.25">
      <c r="A761" s="765">
        <v>196</v>
      </c>
      <c r="B761" s="765" t="s">
        <v>1406</v>
      </c>
      <c r="C761" s="46" t="s">
        <v>634</v>
      </c>
      <c r="D761" s="207"/>
      <c r="E761" s="5"/>
      <c r="F761" s="5"/>
      <c r="G761" s="5"/>
      <c r="H761" s="5"/>
      <c r="I761" s="5"/>
      <c r="J761" s="6" t="s">
        <v>668</v>
      </c>
      <c r="K761" s="6"/>
      <c r="L761" s="6"/>
      <c r="M761" s="6">
        <v>1</v>
      </c>
      <c r="N761" s="6"/>
      <c r="O761" s="15">
        <v>4</v>
      </c>
      <c r="P761" s="6"/>
      <c r="Q761" s="6"/>
      <c r="R761" s="7" t="s">
        <v>548</v>
      </c>
      <c r="S761">
        <v>40</v>
      </c>
      <c r="T761" s="246">
        <f t="shared" si="28"/>
        <v>8.3333333333333329E-2</v>
      </c>
    </row>
    <row r="762" spans="1:20" x14ac:dyDescent="0.25">
      <c r="A762" s="765">
        <v>197</v>
      </c>
      <c r="B762" s="765" t="s">
        <v>1406</v>
      </c>
      <c r="C762" s="47" t="s">
        <v>635</v>
      </c>
      <c r="D762" s="208"/>
      <c r="E762" s="2"/>
      <c r="F762" s="2"/>
      <c r="G762" s="2"/>
      <c r="H762" s="2"/>
      <c r="I762" s="2"/>
      <c r="J762" s="3" t="s">
        <v>668</v>
      </c>
      <c r="K762" s="3"/>
      <c r="L762" s="3"/>
      <c r="M762" s="3">
        <v>1</v>
      </c>
      <c r="N762" s="3"/>
      <c r="O762" s="29">
        <v>4</v>
      </c>
      <c r="P762" s="3"/>
      <c r="Q762" s="3"/>
      <c r="R762" s="4" t="s">
        <v>548</v>
      </c>
      <c r="S762">
        <v>40</v>
      </c>
      <c r="T762" s="246">
        <f t="shared" si="28"/>
        <v>8.3333333333333329E-2</v>
      </c>
    </row>
    <row r="763" spans="1:20" x14ac:dyDescent="0.25">
      <c r="A763" s="765">
        <v>198</v>
      </c>
      <c r="B763" s="765" t="s">
        <v>1406</v>
      </c>
      <c r="C763" s="46" t="s">
        <v>636</v>
      </c>
      <c r="D763" s="207"/>
      <c r="E763" s="5"/>
      <c r="F763" s="5"/>
      <c r="G763" s="5"/>
      <c r="H763" s="5"/>
      <c r="I763" s="5"/>
      <c r="J763" s="6" t="s">
        <v>668</v>
      </c>
      <c r="K763" s="6"/>
      <c r="L763" s="6"/>
      <c r="M763" s="6">
        <v>1</v>
      </c>
      <c r="N763" s="6"/>
      <c r="O763" s="15">
        <v>4</v>
      </c>
      <c r="P763" s="6"/>
      <c r="Q763" s="6"/>
      <c r="R763" s="7" t="s">
        <v>548</v>
      </c>
      <c r="S763">
        <v>40</v>
      </c>
      <c r="T763" s="246">
        <f t="shared" si="28"/>
        <v>8.3333333333333329E-2</v>
      </c>
    </row>
    <row r="764" spans="1:20" x14ac:dyDescent="0.25">
      <c r="A764" s="765">
        <v>199</v>
      </c>
      <c r="B764" s="765" t="s">
        <v>1406</v>
      </c>
      <c r="C764" s="47" t="s">
        <v>637</v>
      </c>
      <c r="D764" s="208"/>
      <c r="E764" s="2"/>
      <c r="F764" s="2"/>
      <c r="G764" s="2"/>
      <c r="H764" s="2"/>
      <c r="I764" s="2"/>
      <c r="J764" s="3" t="s">
        <v>668</v>
      </c>
      <c r="K764" s="3"/>
      <c r="L764" s="3"/>
      <c r="M764" s="3">
        <v>1</v>
      </c>
      <c r="N764" s="3"/>
      <c r="O764" s="29">
        <v>4</v>
      </c>
      <c r="P764" s="3"/>
      <c r="Q764" s="3" t="s">
        <v>897</v>
      </c>
      <c r="R764" s="4" t="s">
        <v>548</v>
      </c>
      <c r="S764">
        <v>40</v>
      </c>
      <c r="T764" s="246">
        <f t="shared" si="28"/>
        <v>8.3333333333333329E-2</v>
      </c>
    </row>
    <row r="765" spans="1:20" x14ac:dyDescent="0.25">
      <c r="A765" s="765">
        <v>200</v>
      </c>
      <c r="B765" s="765" t="s">
        <v>1406</v>
      </c>
      <c r="C765" s="46" t="s">
        <v>638</v>
      </c>
      <c r="D765" s="207"/>
      <c r="E765" s="5"/>
      <c r="F765" s="5"/>
      <c r="G765" s="5"/>
      <c r="H765" s="5"/>
      <c r="I765" s="5"/>
      <c r="J765" s="6" t="s">
        <v>668</v>
      </c>
      <c r="K765" s="6"/>
      <c r="L765" s="6"/>
      <c r="M765" s="6">
        <v>1</v>
      </c>
      <c r="N765" s="6"/>
      <c r="O765" s="15">
        <v>4</v>
      </c>
      <c r="P765" s="6"/>
      <c r="Q765" s="6" t="s">
        <v>898</v>
      </c>
      <c r="R765" s="7" t="s">
        <v>548</v>
      </c>
      <c r="S765">
        <v>40</v>
      </c>
      <c r="T765" s="246">
        <f t="shared" si="28"/>
        <v>8.3333333333333329E-2</v>
      </c>
    </row>
    <row r="766" spans="1:20" x14ac:dyDescent="0.25">
      <c r="A766" s="765">
        <v>201</v>
      </c>
      <c r="B766" s="765" t="s">
        <v>1406</v>
      </c>
      <c r="C766" s="47" t="s">
        <v>639</v>
      </c>
      <c r="D766" s="208"/>
      <c r="E766" s="2"/>
      <c r="F766" s="2"/>
      <c r="G766" s="2"/>
      <c r="H766" s="2"/>
      <c r="I766" s="2"/>
      <c r="J766" s="3" t="s">
        <v>668</v>
      </c>
      <c r="K766" s="3"/>
      <c r="L766" s="3"/>
      <c r="M766" s="3">
        <v>1</v>
      </c>
      <c r="N766" s="3"/>
      <c r="O766" s="29">
        <v>4</v>
      </c>
      <c r="P766" s="3"/>
      <c r="Q766" s="3"/>
      <c r="R766" s="4" t="s">
        <v>548</v>
      </c>
      <c r="S766">
        <v>40</v>
      </c>
      <c r="T766" s="246">
        <f t="shared" si="28"/>
        <v>8.3333333333333329E-2</v>
      </c>
    </row>
    <row r="767" spans="1:20" x14ac:dyDescent="0.25">
      <c r="A767" s="765">
        <v>202</v>
      </c>
      <c r="B767" s="765" t="s">
        <v>1406</v>
      </c>
      <c r="C767" s="46" t="s">
        <v>1426</v>
      </c>
      <c r="D767" s="207"/>
      <c r="E767" s="5"/>
      <c r="F767" s="5"/>
      <c r="G767" s="5"/>
      <c r="H767" s="5"/>
      <c r="I767" s="5"/>
      <c r="J767" s="6" t="s">
        <v>668</v>
      </c>
      <c r="K767" s="6"/>
      <c r="L767" s="6"/>
      <c r="M767" s="6">
        <v>1</v>
      </c>
      <c r="N767" s="6"/>
      <c r="O767" s="15">
        <v>4</v>
      </c>
      <c r="P767" s="6"/>
      <c r="Q767" s="6"/>
      <c r="R767" s="7" t="s">
        <v>548</v>
      </c>
      <c r="S767">
        <v>40</v>
      </c>
      <c r="T767" s="246">
        <f t="shared" si="28"/>
        <v>8.3333333333333329E-2</v>
      </c>
    </row>
    <row r="768" spans="1:20" x14ac:dyDescent="0.25">
      <c r="A768" s="765">
        <v>272</v>
      </c>
      <c r="B768" s="765" t="s">
        <v>1406</v>
      </c>
      <c r="C768" s="47" t="s">
        <v>641</v>
      </c>
      <c r="D768" s="208"/>
      <c r="E768" s="2"/>
      <c r="F768" s="2"/>
      <c r="G768" s="2"/>
      <c r="H768" s="2"/>
      <c r="I768" s="2"/>
      <c r="J768" s="3" t="s">
        <v>668</v>
      </c>
      <c r="K768" s="3"/>
      <c r="L768" s="3"/>
      <c r="M768" s="3">
        <v>1</v>
      </c>
      <c r="N768" s="3"/>
      <c r="O768" s="29">
        <v>4</v>
      </c>
      <c r="P768" s="3"/>
      <c r="Q768" s="3"/>
      <c r="R768" s="4" t="s">
        <v>548</v>
      </c>
      <c r="S768">
        <v>40</v>
      </c>
      <c r="T768" s="246">
        <f t="shared" si="28"/>
        <v>8.3333333333333329E-2</v>
      </c>
    </row>
    <row r="769" spans="1:20" x14ac:dyDescent="0.25">
      <c r="B769" s="765" t="s">
        <v>1406</v>
      </c>
      <c r="C769" s="46" t="s">
        <v>642</v>
      </c>
      <c r="D769" s="207"/>
      <c r="E769" s="5"/>
      <c r="F769" s="5"/>
      <c r="G769" s="5"/>
      <c r="H769" s="5"/>
      <c r="I769" s="5"/>
      <c r="J769" s="6" t="s">
        <v>668</v>
      </c>
      <c r="K769" s="6"/>
      <c r="L769" s="6"/>
      <c r="M769" s="6">
        <v>1</v>
      </c>
      <c r="N769" s="6"/>
      <c r="O769" s="15">
        <v>4</v>
      </c>
      <c r="P769" s="6"/>
      <c r="Q769" s="6"/>
      <c r="R769" s="7" t="s">
        <v>548</v>
      </c>
      <c r="S769">
        <v>40</v>
      </c>
      <c r="T769" s="246">
        <f>1/12</f>
        <v>8.3333333333333329E-2</v>
      </c>
    </row>
    <row r="770" spans="1:20" x14ac:dyDescent="0.25">
      <c r="C770" s="47" t="s">
        <v>597</v>
      </c>
      <c r="D770" s="208"/>
      <c r="E770" s="5"/>
      <c r="F770" s="5"/>
      <c r="G770" s="5"/>
      <c r="H770" s="5"/>
      <c r="I770" s="5"/>
      <c r="J770" s="6" t="s">
        <v>837</v>
      </c>
      <c r="K770" s="6"/>
      <c r="L770" s="6"/>
      <c r="M770" s="6">
        <v>2</v>
      </c>
      <c r="N770" s="6"/>
      <c r="O770" s="15">
        <v>4</v>
      </c>
      <c r="P770" s="6"/>
      <c r="Q770" s="6" t="s">
        <v>969</v>
      </c>
      <c r="R770" s="7" t="s">
        <v>548</v>
      </c>
      <c r="S770">
        <v>45</v>
      </c>
      <c r="T770">
        <v>0.3</v>
      </c>
    </row>
    <row r="771" spans="1:20" x14ac:dyDescent="0.25">
      <c r="C771" s="46" t="s">
        <v>204</v>
      </c>
      <c r="D771" s="207"/>
      <c r="E771" s="5"/>
      <c r="F771" s="5"/>
      <c r="G771" s="5"/>
      <c r="H771" s="5"/>
      <c r="I771" s="5"/>
      <c r="J771" s="6" t="s">
        <v>837</v>
      </c>
      <c r="K771" s="6"/>
      <c r="L771" s="6"/>
      <c r="M771" s="6">
        <v>2</v>
      </c>
      <c r="N771" s="6"/>
      <c r="O771" s="15">
        <v>4</v>
      </c>
      <c r="P771" s="6"/>
      <c r="Q771" s="6" t="s">
        <v>971</v>
      </c>
      <c r="R771" s="7" t="s">
        <v>548</v>
      </c>
      <c r="S771">
        <v>45</v>
      </c>
      <c r="T771">
        <v>0.3</v>
      </c>
    </row>
    <row r="772" spans="1:20" x14ac:dyDescent="0.25">
      <c r="C772" s="47" t="s">
        <v>205</v>
      </c>
      <c r="D772" s="208"/>
      <c r="E772" s="5" t="s">
        <v>724</v>
      </c>
      <c r="F772" s="5"/>
      <c r="G772" s="5" t="s">
        <v>724</v>
      </c>
      <c r="H772" s="5"/>
      <c r="I772" s="5" t="s">
        <v>724</v>
      </c>
      <c r="J772" s="6" t="s">
        <v>837</v>
      </c>
      <c r="K772" s="6"/>
      <c r="L772" s="6"/>
      <c r="M772" s="6">
        <v>2</v>
      </c>
      <c r="N772" s="6"/>
      <c r="O772" s="15">
        <v>4</v>
      </c>
      <c r="P772" s="6"/>
      <c r="Q772" s="6" t="s">
        <v>970</v>
      </c>
      <c r="R772" s="7" t="s">
        <v>548</v>
      </c>
      <c r="S772">
        <v>45</v>
      </c>
      <c r="T772">
        <v>0.3</v>
      </c>
    </row>
    <row r="773" spans="1:20" x14ac:dyDescent="0.25">
      <c r="C773" s="46" t="s">
        <v>206</v>
      </c>
      <c r="D773" s="207"/>
      <c r="E773" s="5" t="s">
        <v>724</v>
      </c>
      <c r="F773" s="5"/>
      <c r="G773" s="5" t="s">
        <v>724</v>
      </c>
      <c r="H773" s="5"/>
      <c r="I773" s="5" t="s">
        <v>724</v>
      </c>
      <c r="J773" s="6" t="s">
        <v>837</v>
      </c>
      <c r="K773" s="6"/>
      <c r="L773" s="6"/>
      <c r="M773" s="6">
        <v>2</v>
      </c>
      <c r="N773" s="6"/>
      <c r="O773" s="15">
        <v>4</v>
      </c>
      <c r="P773" s="6"/>
      <c r="Q773" s="6" t="s">
        <v>972</v>
      </c>
      <c r="R773" s="7" t="s">
        <v>548</v>
      </c>
      <c r="S773">
        <v>45</v>
      </c>
      <c r="T773">
        <v>0.3</v>
      </c>
    </row>
    <row r="774" spans="1:20" x14ac:dyDescent="0.25">
      <c r="C774" s="47" t="s">
        <v>207</v>
      </c>
      <c r="D774" s="208"/>
      <c r="E774" s="5" t="s">
        <v>724</v>
      </c>
      <c r="F774" s="5"/>
      <c r="G774" s="5" t="s">
        <v>724</v>
      </c>
      <c r="H774" s="5"/>
      <c r="I774" s="5" t="s">
        <v>724</v>
      </c>
      <c r="J774" s="6" t="s">
        <v>837</v>
      </c>
      <c r="K774" s="6"/>
      <c r="L774" s="6"/>
      <c r="M774" s="6">
        <v>2</v>
      </c>
      <c r="N774" s="6"/>
      <c r="O774" s="15">
        <v>4</v>
      </c>
      <c r="P774" s="6"/>
      <c r="Q774" s="6" t="s">
        <v>973</v>
      </c>
      <c r="R774" s="7" t="s">
        <v>548</v>
      </c>
      <c r="S774">
        <v>45</v>
      </c>
      <c r="T774">
        <v>0.3</v>
      </c>
    </row>
    <row r="775" spans="1:20" x14ac:dyDescent="0.25">
      <c r="A775" s="765">
        <v>259</v>
      </c>
      <c r="B775" s="765" t="s">
        <v>1408</v>
      </c>
      <c r="C775" s="47" t="s">
        <v>597</v>
      </c>
      <c r="D775" s="208"/>
      <c r="E775" s="5"/>
      <c r="F775" s="5"/>
      <c r="G775" s="5" t="s">
        <v>724</v>
      </c>
      <c r="H775" s="5"/>
      <c r="I775" s="5"/>
      <c r="J775" s="6" t="s">
        <v>1061</v>
      </c>
      <c r="K775" s="6"/>
      <c r="L775" s="6"/>
      <c r="M775" s="6">
        <v>2</v>
      </c>
      <c r="N775" s="6"/>
      <c r="O775" s="15">
        <v>4</v>
      </c>
      <c r="P775" s="6"/>
      <c r="Q775" s="6" t="s">
        <v>969</v>
      </c>
      <c r="R775" s="7" t="s">
        <v>548</v>
      </c>
      <c r="S775">
        <v>40</v>
      </c>
      <c r="T775">
        <v>0.1</v>
      </c>
    </row>
    <row r="776" spans="1:20" x14ac:dyDescent="0.25">
      <c r="A776" s="765">
        <v>164</v>
      </c>
      <c r="B776" s="765" t="s">
        <v>1408</v>
      </c>
      <c r="C776" s="46" t="s">
        <v>204</v>
      </c>
      <c r="D776" s="207"/>
      <c r="E776" s="5" t="s">
        <v>724</v>
      </c>
      <c r="F776" s="5"/>
      <c r="G776" s="5" t="s">
        <v>1310</v>
      </c>
      <c r="H776" s="5"/>
      <c r="I776" s="5"/>
      <c r="J776" s="6" t="s">
        <v>1061</v>
      </c>
      <c r="K776" s="6"/>
      <c r="L776" s="6"/>
      <c r="M776" s="6">
        <v>2</v>
      </c>
      <c r="N776" s="6"/>
      <c r="O776" s="15">
        <v>4</v>
      </c>
      <c r="P776" s="6"/>
      <c r="Q776" s="6" t="s">
        <v>971</v>
      </c>
      <c r="R776" s="7" t="s">
        <v>548</v>
      </c>
      <c r="S776">
        <v>40</v>
      </c>
      <c r="T776">
        <v>0.1</v>
      </c>
    </row>
    <row r="777" spans="1:20" x14ac:dyDescent="0.25">
      <c r="A777" s="765">
        <v>162</v>
      </c>
      <c r="B777" s="765" t="s">
        <v>1408</v>
      </c>
      <c r="C777" s="47" t="s">
        <v>205</v>
      </c>
      <c r="D777" s="208"/>
      <c r="E777" s="5" t="s">
        <v>724</v>
      </c>
      <c r="F777" s="5"/>
      <c r="G777" s="5" t="s">
        <v>724</v>
      </c>
      <c r="H777" s="5"/>
      <c r="I777" s="5"/>
      <c r="J777" s="6" t="s">
        <v>1061</v>
      </c>
      <c r="K777" s="6"/>
      <c r="L777" s="6"/>
      <c r="M777" s="6">
        <v>2</v>
      </c>
      <c r="N777" s="6"/>
      <c r="O777" s="15">
        <v>4</v>
      </c>
      <c r="P777" s="6"/>
      <c r="Q777" s="6" t="s">
        <v>970</v>
      </c>
      <c r="R777" s="7" t="s">
        <v>548</v>
      </c>
      <c r="S777">
        <v>40</v>
      </c>
      <c r="T777">
        <v>0.1</v>
      </c>
    </row>
    <row r="778" spans="1:20" x14ac:dyDescent="0.25">
      <c r="A778" s="765">
        <v>163</v>
      </c>
      <c r="B778" s="765" t="s">
        <v>1408</v>
      </c>
      <c r="C778" s="46" t="s">
        <v>206</v>
      </c>
      <c r="D778" s="207"/>
      <c r="E778" s="5" t="s">
        <v>724</v>
      </c>
      <c r="F778" s="5"/>
      <c r="G778" s="5" t="s">
        <v>724</v>
      </c>
      <c r="H778" s="5"/>
      <c r="I778" s="5" t="s">
        <v>724</v>
      </c>
      <c r="J778" s="6" t="s">
        <v>1061</v>
      </c>
      <c r="K778" s="6"/>
      <c r="L778" s="6"/>
      <c r="M778" s="6">
        <v>2</v>
      </c>
      <c r="N778" s="6"/>
      <c r="O778" s="15">
        <v>4</v>
      </c>
      <c r="P778" s="6"/>
      <c r="Q778" s="6" t="s">
        <v>972</v>
      </c>
      <c r="R778" s="7" t="s">
        <v>548</v>
      </c>
      <c r="S778">
        <v>40</v>
      </c>
      <c r="T778">
        <v>0.1</v>
      </c>
    </row>
    <row r="779" spans="1:20" x14ac:dyDescent="0.25">
      <c r="A779" s="765">
        <v>165</v>
      </c>
      <c r="B779" s="765" t="s">
        <v>1408</v>
      </c>
      <c r="C779" s="47" t="s">
        <v>207</v>
      </c>
      <c r="D779" s="208"/>
      <c r="E779" s="5" t="s">
        <v>724</v>
      </c>
      <c r="F779" s="5"/>
      <c r="G779" s="5" t="s">
        <v>724</v>
      </c>
      <c r="H779" s="5"/>
      <c r="I779" s="5" t="s">
        <v>724</v>
      </c>
      <c r="J779" s="6" t="s">
        <v>1061</v>
      </c>
      <c r="K779" s="6"/>
      <c r="L779" s="6"/>
      <c r="M779" s="6">
        <v>2</v>
      </c>
      <c r="N779" s="6"/>
      <c r="O779" s="15">
        <v>4</v>
      </c>
      <c r="P779" s="6"/>
      <c r="Q779" s="6" t="s">
        <v>973</v>
      </c>
      <c r="R779" s="7" t="s">
        <v>548</v>
      </c>
      <c r="S779">
        <v>40</v>
      </c>
      <c r="T779">
        <v>0.1</v>
      </c>
    </row>
    <row r="780" spans="1:20" x14ac:dyDescent="0.25">
      <c r="A780" s="765">
        <v>505</v>
      </c>
      <c r="B780" s="765" t="s">
        <v>1405</v>
      </c>
      <c r="C780" s="47" t="s">
        <v>952</v>
      </c>
      <c r="D780" s="208"/>
      <c r="E780" s="5" t="s">
        <v>724</v>
      </c>
      <c r="F780" s="5"/>
      <c r="G780" s="5" t="s">
        <v>724</v>
      </c>
      <c r="H780" s="5" t="s">
        <v>1178</v>
      </c>
      <c r="I780" s="5"/>
      <c r="J780" s="6" t="s">
        <v>942</v>
      </c>
      <c r="K780" s="6"/>
      <c r="L780" s="6"/>
      <c r="M780" s="6">
        <v>1</v>
      </c>
      <c r="N780" s="6" t="s">
        <v>1234</v>
      </c>
      <c r="O780" s="15">
        <v>4</v>
      </c>
      <c r="P780" s="6"/>
      <c r="Q780" s="6" t="s">
        <v>954</v>
      </c>
      <c r="R780" s="7" t="s">
        <v>548</v>
      </c>
      <c r="S780">
        <v>35</v>
      </c>
      <c r="T780">
        <f>1/14</f>
        <v>7.1428571428571425E-2</v>
      </c>
    </row>
    <row r="781" spans="1:20" x14ac:dyDescent="0.25">
      <c r="A781" s="765">
        <v>506</v>
      </c>
      <c r="B781" s="765" t="s">
        <v>1405</v>
      </c>
      <c r="C781" s="47" t="s">
        <v>953</v>
      </c>
      <c r="D781" s="208"/>
      <c r="E781" s="5" t="s">
        <v>724</v>
      </c>
      <c r="F781" s="5"/>
      <c r="G781" s="5" t="s">
        <v>724</v>
      </c>
      <c r="H781" s="5" t="s">
        <v>1178</v>
      </c>
      <c r="I781" s="5"/>
      <c r="J781" s="6" t="s">
        <v>942</v>
      </c>
      <c r="K781" s="6"/>
      <c r="L781" s="6"/>
      <c r="M781" s="6">
        <v>1</v>
      </c>
      <c r="N781" s="6" t="s">
        <v>1234</v>
      </c>
      <c r="O781" s="15">
        <v>4</v>
      </c>
      <c r="P781" s="6"/>
      <c r="Q781" s="6" t="s">
        <v>955</v>
      </c>
      <c r="R781" s="7" t="s">
        <v>548</v>
      </c>
      <c r="S781">
        <v>35</v>
      </c>
      <c r="T781">
        <f t="shared" ref="T781:T782" si="29">1/14</f>
        <v>7.1428571428571425E-2</v>
      </c>
    </row>
    <row r="782" spans="1:20" x14ac:dyDescent="0.25">
      <c r="A782" s="765">
        <v>504</v>
      </c>
      <c r="B782" s="765" t="s">
        <v>1405</v>
      </c>
      <c r="C782" s="47" t="s">
        <v>941</v>
      </c>
      <c r="D782" s="208"/>
      <c r="E782" s="5" t="s">
        <v>724</v>
      </c>
      <c r="F782" s="5"/>
      <c r="G782" s="5" t="s">
        <v>724</v>
      </c>
      <c r="H782" s="5" t="s">
        <v>1178</v>
      </c>
      <c r="I782" s="5"/>
      <c r="J782" s="6" t="s">
        <v>942</v>
      </c>
      <c r="K782" s="6"/>
      <c r="L782" s="6"/>
      <c r="M782" s="6">
        <v>1</v>
      </c>
      <c r="N782" s="6" t="s">
        <v>1234</v>
      </c>
      <c r="O782" s="15">
        <v>4</v>
      </c>
      <c r="P782" s="6"/>
      <c r="Q782" s="6" t="s">
        <v>956</v>
      </c>
      <c r="R782" s="7" t="s">
        <v>548</v>
      </c>
      <c r="S782">
        <v>35</v>
      </c>
      <c r="T782">
        <f t="shared" si="29"/>
        <v>7.1428571428571425E-2</v>
      </c>
    </row>
    <row r="783" spans="1:20" x14ac:dyDescent="0.25">
      <c r="C783" s="47" t="s">
        <v>1059</v>
      </c>
      <c r="D783" s="208"/>
      <c r="E783" s="5"/>
      <c r="F783" s="5"/>
      <c r="G783" s="5"/>
      <c r="H783" s="5"/>
      <c r="I783" s="5"/>
      <c r="J783" s="3" t="s">
        <v>669</v>
      </c>
      <c r="K783" s="3"/>
      <c r="L783" s="6"/>
      <c r="M783" s="6"/>
      <c r="N783" s="8" t="s">
        <v>670</v>
      </c>
      <c r="O783" s="9">
        <v>5</v>
      </c>
      <c r="P783" s="6"/>
      <c r="Q783" s="47" t="s">
        <v>1056</v>
      </c>
      <c r="R783" s="7" t="s">
        <v>1060</v>
      </c>
    </row>
    <row r="784" spans="1:20" x14ac:dyDescent="0.25">
      <c r="A784" s="765">
        <v>203</v>
      </c>
      <c r="B784" s="765" t="s">
        <v>1418</v>
      </c>
      <c r="C784" s="46" t="s">
        <v>831</v>
      </c>
      <c r="D784" s="207"/>
      <c r="E784" s="2"/>
      <c r="F784" s="2"/>
      <c r="G784" s="2"/>
      <c r="H784" s="2"/>
      <c r="I784" s="2"/>
      <c r="J784" s="3" t="s">
        <v>669</v>
      </c>
      <c r="K784" s="3"/>
      <c r="L784" s="3"/>
      <c r="M784" s="3">
        <v>2</v>
      </c>
      <c r="N784" s="8" t="s">
        <v>671</v>
      </c>
      <c r="O784" s="9">
        <v>5</v>
      </c>
      <c r="P784" s="3"/>
      <c r="Q784" s="10" t="s">
        <v>933</v>
      </c>
      <c r="R784" s="4" t="s">
        <v>672</v>
      </c>
    </row>
    <row r="785" spans="1:20" x14ac:dyDescent="0.25">
      <c r="B785" s="765" t="s">
        <v>1418</v>
      </c>
      <c r="C785" s="47" t="s">
        <v>832</v>
      </c>
      <c r="D785" s="208"/>
      <c r="E785" s="5" t="s">
        <v>724</v>
      </c>
      <c r="F785" s="5"/>
      <c r="G785" s="5"/>
      <c r="H785" s="5"/>
      <c r="I785" s="5"/>
      <c r="J785" s="6" t="s">
        <v>669</v>
      </c>
      <c r="K785" s="6"/>
      <c r="L785" s="6"/>
      <c r="M785" s="6">
        <v>1</v>
      </c>
      <c r="N785" s="11" t="s">
        <v>670</v>
      </c>
      <c r="O785" s="12">
        <v>5</v>
      </c>
      <c r="P785" s="6"/>
      <c r="Q785" s="13" t="s">
        <v>1442</v>
      </c>
      <c r="R785" s="7" t="s">
        <v>215</v>
      </c>
    </row>
    <row r="786" spans="1:20" x14ac:dyDescent="0.25">
      <c r="B786" s="765" t="s">
        <v>1418</v>
      </c>
      <c r="C786" s="47" t="s">
        <v>1004</v>
      </c>
      <c r="D786" s="208"/>
      <c r="E786" s="5"/>
      <c r="F786" s="5"/>
      <c r="G786" s="5"/>
      <c r="H786" s="5"/>
      <c r="I786" s="5"/>
      <c r="J786" s="6" t="s">
        <v>669</v>
      </c>
      <c r="K786" s="6"/>
      <c r="L786" s="6"/>
      <c r="M786" s="6">
        <v>1</v>
      </c>
      <c r="N786" s="11"/>
      <c r="O786" s="12">
        <v>5</v>
      </c>
      <c r="P786" s="6"/>
      <c r="Q786" s="10" t="s">
        <v>1003</v>
      </c>
      <c r="R786" s="7" t="s">
        <v>672</v>
      </c>
    </row>
    <row r="787" spans="1:20" x14ac:dyDescent="0.25">
      <c r="A787" s="765">
        <v>203</v>
      </c>
      <c r="B787" s="765" t="s">
        <v>1418</v>
      </c>
      <c r="C787" s="47" t="s">
        <v>831</v>
      </c>
      <c r="D787" s="208"/>
      <c r="E787" s="5" t="s">
        <v>724</v>
      </c>
      <c r="F787" s="5"/>
      <c r="G787" s="5"/>
      <c r="H787" s="5"/>
      <c r="I787" s="5"/>
      <c r="J787" s="6" t="s">
        <v>669</v>
      </c>
      <c r="K787" s="6"/>
      <c r="L787" s="6"/>
      <c r="M787" s="6">
        <v>2</v>
      </c>
      <c r="N787" s="11" t="s">
        <v>1342</v>
      </c>
      <c r="O787" s="12">
        <v>5</v>
      </c>
      <c r="P787" s="6"/>
      <c r="Q787" s="10" t="s">
        <v>933</v>
      </c>
      <c r="R787" s="7" t="s">
        <v>672</v>
      </c>
    </row>
    <row r="788" spans="1:20" x14ac:dyDescent="0.25">
      <c r="A788" s="765">
        <v>205</v>
      </c>
      <c r="B788" s="765" t="s">
        <v>1418</v>
      </c>
      <c r="C788" s="46" t="s">
        <v>833</v>
      </c>
      <c r="D788" s="207"/>
      <c r="E788" s="2"/>
      <c r="F788" s="2"/>
      <c r="G788" s="2"/>
      <c r="H788" s="2"/>
      <c r="I788" s="2"/>
      <c r="J788" s="3" t="s">
        <v>669</v>
      </c>
      <c r="K788" s="3"/>
      <c r="L788" s="3"/>
      <c r="M788" s="3">
        <v>2</v>
      </c>
      <c r="N788" s="8" t="s">
        <v>673</v>
      </c>
      <c r="O788" s="9">
        <v>5</v>
      </c>
      <c r="P788" s="3"/>
      <c r="Q788" s="10" t="s">
        <v>933</v>
      </c>
      <c r="R788" s="4" t="s">
        <v>672</v>
      </c>
    </row>
    <row r="789" spans="1:20" x14ac:dyDescent="0.25">
      <c r="A789" s="765">
        <v>206</v>
      </c>
      <c r="B789" s="765" t="s">
        <v>1418</v>
      </c>
      <c r="C789" s="47" t="s">
        <v>923</v>
      </c>
      <c r="D789" s="208"/>
      <c r="E789" s="5" t="s">
        <v>1178</v>
      </c>
      <c r="F789" s="5"/>
      <c r="G789" s="5"/>
      <c r="H789" s="5"/>
      <c r="I789" s="5"/>
      <c r="J789" s="6" t="s">
        <v>669</v>
      </c>
      <c r="K789" s="6"/>
      <c r="L789" s="6"/>
      <c r="M789" s="6">
        <v>1</v>
      </c>
      <c r="N789" s="11" t="s">
        <v>674</v>
      </c>
      <c r="O789" s="12">
        <v>5</v>
      </c>
      <c r="P789" s="6" t="s">
        <v>50</v>
      </c>
      <c r="Q789" s="13" t="s">
        <v>1442</v>
      </c>
      <c r="R789" s="7" t="s">
        <v>215</v>
      </c>
    </row>
    <row r="790" spans="1:20" x14ac:dyDescent="0.25">
      <c r="A790" s="765">
        <v>512</v>
      </c>
      <c r="B790" s="765" t="s">
        <v>1418</v>
      </c>
      <c r="C790" s="47" t="s">
        <v>924</v>
      </c>
      <c r="D790" s="208"/>
      <c r="E790" s="5"/>
      <c r="F790" s="5"/>
      <c r="G790" s="5"/>
      <c r="H790" s="5"/>
      <c r="I790" s="5"/>
      <c r="J790" s="6" t="s">
        <v>669</v>
      </c>
      <c r="K790" s="6"/>
      <c r="L790" s="6"/>
      <c r="M790" s="6">
        <v>1</v>
      </c>
      <c r="N790" s="11" t="s">
        <v>925</v>
      </c>
      <c r="O790" s="12">
        <v>5</v>
      </c>
      <c r="P790" s="6"/>
      <c r="Q790" s="13" t="s">
        <v>1313</v>
      </c>
      <c r="R790" s="7" t="s">
        <v>672</v>
      </c>
    </row>
    <row r="791" spans="1:20" x14ac:dyDescent="0.25">
      <c r="B791" s="765" t="s">
        <v>1418</v>
      </c>
      <c r="C791" s="47" t="s">
        <v>834</v>
      </c>
      <c r="D791" s="208"/>
      <c r="E791" s="5"/>
      <c r="F791" s="5"/>
      <c r="G791" s="5"/>
      <c r="H791" s="5"/>
      <c r="I791" s="5"/>
      <c r="J791" s="3" t="s">
        <v>669</v>
      </c>
      <c r="K791" s="3"/>
      <c r="L791" s="6"/>
      <c r="M791" s="6">
        <v>1</v>
      </c>
      <c r="N791" s="11" t="s">
        <v>830</v>
      </c>
      <c r="O791" s="12">
        <v>5</v>
      </c>
      <c r="P791" s="6"/>
      <c r="Q791" s="13" t="s">
        <v>934</v>
      </c>
      <c r="R791" s="7" t="s">
        <v>672</v>
      </c>
    </row>
    <row r="792" spans="1:20" x14ac:dyDescent="0.25">
      <c r="B792" s="765" t="s">
        <v>1418</v>
      </c>
      <c r="C792" s="47" t="s">
        <v>975</v>
      </c>
      <c r="D792" s="208"/>
      <c r="E792" s="5"/>
      <c r="F792" s="5"/>
      <c r="G792" s="5"/>
      <c r="H792" s="5"/>
      <c r="I792" s="5"/>
      <c r="J792" s="6" t="s">
        <v>669</v>
      </c>
      <c r="K792" s="6"/>
      <c r="L792" s="6"/>
      <c r="M792" s="6">
        <v>2</v>
      </c>
      <c r="N792" s="11" t="s">
        <v>674</v>
      </c>
      <c r="O792" s="12">
        <v>5</v>
      </c>
      <c r="P792" s="6" t="s">
        <v>50</v>
      </c>
      <c r="Q792" s="13" t="s">
        <v>974</v>
      </c>
      <c r="R792" s="7" t="s">
        <v>215</v>
      </c>
    </row>
    <row r="793" spans="1:20" x14ac:dyDescent="0.25">
      <c r="A793" s="765"/>
      <c r="C793" s="46" t="s">
        <v>835</v>
      </c>
      <c r="D793" s="207"/>
      <c r="E793" s="2"/>
      <c r="F793" s="2"/>
      <c r="G793" s="2"/>
      <c r="H793" s="2"/>
      <c r="I793" s="2"/>
      <c r="J793" s="3" t="s">
        <v>669</v>
      </c>
      <c r="K793" s="3"/>
      <c r="L793" s="3"/>
      <c r="M793" s="3">
        <v>2</v>
      </c>
      <c r="N793" s="8" t="s">
        <v>671</v>
      </c>
      <c r="O793" s="9">
        <v>5</v>
      </c>
      <c r="P793" s="3"/>
      <c r="Q793" s="10" t="s">
        <v>935</v>
      </c>
      <c r="R793" s="4" t="s">
        <v>215</v>
      </c>
      <c r="S793">
        <v>25</v>
      </c>
      <c r="T793">
        <v>0.2</v>
      </c>
    </row>
    <row r="794" spans="1:20" x14ac:dyDescent="0.25">
      <c r="B794" s="765" t="s">
        <v>1411</v>
      </c>
      <c r="C794" s="47" t="s">
        <v>1445</v>
      </c>
      <c r="D794" s="208"/>
      <c r="E794" s="5" t="s">
        <v>724</v>
      </c>
      <c r="F794" s="5"/>
      <c r="G794" s="5" t="s">
        <v>724</v>
      </c>
      <c r="H794" s="5" t="s">
        <v>1178</v>
      </c>
      <c r="I794" s="5"/>
      <c r="J794" s="6" t="s">
        <v>669</v>
      </c>
      <c r="K794" s="6"/>
      <c r="L794" s="6"/>
      <c r="M794" s="6">
        <v>1</v>
      </c>
      <c r="N794" s="11" t="s">
        <v>670</v>
      </c>
      <c r="O794" s="12">
        <v>5</v>
      </c>
      <c r="P794" s="6"/>
      <c r="Q794" s="10" t="s">
        <v>1394</v>
      </c>
      <c r="R794" s="7" t="s">
        <v>946</v>
      </c>
      <c r="S794">
        <v>25</v>
      </c>
      <c r="T794">
        <v>0.2</v>
      </c>
    </row>
    <row r="795" spans="1:20" x14ac:dyDescent="0.25">
      <c r="B795" s="765" t="s">
        <v>1411</v>
      </c>
      <c r="C795" s="47" t="s">
        <v>1005</v>
      </c>
      <c r="D795" s="208"/>
      <c r="E795" s="5"/>
      <c r="F795" s="5"/>
      <c r="G795" s="5"/>
      <c r="H795" s="5"/>
      <c r="I795" s="5"/>
      <c r="J795" s="6" t="s">
        <v>669</v>
      </c>
      <c r="K795" s="6"/>
      <c r="L795" s="6"/>
      <c r="M795" s="6">
        <v>1</v>
      </c>
      <c r="N795" s="11"/>
      <c r="O795" s="12">
        <v>5</v>
      </c>
      <c r="P795" s="6"/>
      <c r="Q795" s="10" t="s">
        <v>1003</v>
      </c>
      <c r="R795" s="7" t="s">
        <v>215</v>
      </c>
      <c r="S795">
        <v>25</v>
      </c>
      <c r="T795">
        <v>0.2</v>
      </c>
    </row>
    <row r="796" spans="1:20" x14ac:dyDescent="0.25">
      <c r="B796" s="765" t="s">
        <v>1411</v>
      </c>
      <c r="C796" s="47" t="s">
        <v>1334</v>
      </c>
      <c r="D796" s="208"/>
      <c r="E796" s="5" t="s">
        <v>724</v>
      </c>
      <c r="F796" s="5"/>
      <c r="G796" s="5" t="s">
        <v>724</v>
      </c>
      <c r="H796" s="5" t="s">
        <v>724</v>
      </c>
      <c r="I796" s="5"/>
      <c r="J796" s="6" t="s">
        <v>669</v>
      </c>
      <c r="K796" s="6"/>
      <c r="L796" s="6"/>
      <c r="M796" s="6">
        <v>1</v>
      </c>
      <c r="N796" s="11" t="s">
        <v>1335</v>
      </c>
      <c r="O796" s="12">
        <v>5</v>
      </c>
      <c r="P796" s="6"/>
      <c r="Q796" s="10" t="s">
        <v>1268</v>
      </c>
      <c r="R796" s="7" t="s">
        <v>548</v>
      </c>
      <c r="S796">
        <v>25</v>
      </c>
      <c r="T796">
        <v>0.2</v>
      </c>
    </row>
    <row r="797" spans="1:20" x14ac:dyDescent="0.25">
      <c r="C797" s="47" t="s">
        <v>1438</v>
      </c>
      <c r="D797" s="208"/>
      <c r="E797" s="5" t="s">
        <v>724</v>
      </c>
      <c r="F797" s="5" t="s">
        <v>724</v>
      </c>
      <c r="G797" s="5" t="s">
        <v>724</v>
      </c>
      <c r="H797" s="5" t="s">
        <v>724</v>
      </c>
      <c r="I797" s="5"/>
      <c r="J797" s="3" t="s">
        <v>1436</v>
      </c>
      <c r="K797" s="6"/>
      <c r="L797" s="6"/>
      <c r="M797" s="6">
        <v>1</v>
      </c>
      <c r="N797" s="11" t="s">
        <v>670</v>
      </c>
      <c r="O797" s="12">
        <v>5</v>
      </c>
      <c r="P797" s="6"/>
      <c r="Q797" s="10" t="s">
        <v>1439</v>
      </c>
      <c r="R797" s="7" t="s">
        <v>548</v>
      </c>
      <c r="S797">
        <v>25</v>
      </c>
      <c r="T797">
        <v>0.2</v>
      </c>
    </row>
    <row r="798" spans="1:20" x14ac:dyDescent="0.25">
      <c r="B798" s="765" t="s">
        <v>1411</v>
      </c>
      <c r="C798" s="47" t="s">
        <v>1341</v>
      </c>
      <c r="D798" s="208"/>
      <c r="E798" s="5" t="s">
        <v>1178</v>
      </c>
      <c r="F798" s="5" t="s">
        <v>724</v>
      </c>
      <c r="G798" s="5" t="s">
        <v>724</v>
      </c>
      <c r="H798" s="5" t="s">
        <v>724</v>
      </c>
      <c r="I798" s="5"/>
      <c r="J798" s="3" t="s">
        <v>1274</v>
      </c>
      <c r="K798" s="6"/>
      <c r="L798" s="6"/>
      <c r="M798" s="6">
        <v>2</v>
      </c>
      <c r="N798" s="11" t="s">
        <v>1342</v>
      </c>
      <c r="O798" s="12">
        <v>5</v>
      </c>
      <c r="P798" s="6" t="s">
        <v>50</v>
      </c>
      <c r="Q798" s="10" t="s">
        <v>1268</v>
      </c>
      <c r="R798" s="7" t="s">
        <v>946</v>
      </c>
      <c r="S798">
        <v>25</v>
      </c>
      <c r="T798">
        <v>0.2</v>
      </c>
    </row>
    <row r="799" spans="1:20" x14ac:dyDescent="0.25">
      <c r="A799" s="765">
        <v>528</v>
      </c>
      <c r="B799" s="765" t="s">
        <v>1411</v>
      </c>
      <c r="C799" s="46" t="s">
        <v>1265</v>
      </c>
      <c r="D799" s="207"/>
      <c r="E799" s="2"/>
      <c r="F799" s="2"/>
      <c r="G799" s="2"/>
      <c r="H799" s="2"/>
      <c r="I799" s="2"/>
      <c r="J799" s="3" t="s">
        <v>1274</v>
      </c>
      <c r="K799" s="3"/>
      <c r="L799" s="3"/>
      <c r="M799" s="3">
        <v>2</v>
      </c>
      <c r="N799" s="8" t="s">
        <v>673</v>
      </c>
      <c r="O799" s="9">
        <v>5</v>
      </c>
      <c r="P799" s="3"/>
      <c r="Q799" s="10" t="s">
        <v>1268</v>
      </c>
      <c r="R799" s="7" t="s">
        <v>946</v>
      </c>
      <c r="S799">
        <v>25</v>
      </c>
      <c r="T799">
        <v>0.2</v>
      </c>
    </row>
    <row r="800" spans="1:20" x14ac:dyDescent="0.25">
      <c r="A800" s="765">
        <v>530</v>
      </c>
      <c r="B800" s="765" t="s">
        <v>1411</v>
      </c>
      <c r="C800" s="47" t="s">
        <v>1266</v>
      </c>
      <c r="D800" s="208"/>
      <c r="E800" s="5"/>
      <c r="F800" s="5"/>
      <c r="G800" s="5"/>
      <c r="H800" s="5"/>
      <c r="I800" s="5"/>
      <c r="J800" s="6" t="s">
        <v>1274</v>
      </c>
      <c r="K800" s="6"/>
      <c r="L800" s="6"/>
      <c r="M800" s="6">
        <v>1</v>
      </c>
      <c r="N800" s="11" t="s">
        <v>674</v>
      </c>
      <c r="O800" s="12">
        <v>5</v>
      </c>
      <c r="P800" s="6" t="s">
        <v>50</v>
      </c>
      <c r="Q800" s="10" t="s">
        <v>1268</v>
      </c>
      <c r="R800" s="7" t="s">
        <v>946</v>
      </c>
      <c r="S800">
        <v>25</v>
      </c>
      <c r="T800">
        <f t="shared" ref="T800:T807" si="30">0.2</f>
        <v>0.2</v>
      </c>
    </row>
    <row r="801" spans="1:20" x14ac:dyDescent="0.25">
      <c r="A801" s="765">
        <v>522</v>
      </c>
      <c r="B801" s="765" t="s">
        <v>1411</v>
      </c>
      <c r="C801" s="47" t="s">
        <v>1267</v>
      </c>
      <c r="D801" s="208"/>
      <c r="E801" s="5"/>
      <c r="F801" s="5"/>
      <c r="G801" s="5"/>
      <c r="H801" s="5"/>
      <c r="I801" s="5"/>
      <c r="J801" s="6" t="s">
        <v>1274</v>
      </c>
      <c r="K801" s="6"/>
      <c r="L801" s="6"/>
      <c r="M801" s="6">
        <v>1</v>
      </c>
      <c r="N801" s="11" t="s">
        <v>830</v>
      </c>
      <c r="O801" s="12">
        <v>5</v>
      </c>
      <c r="P801" s="6"/>
      <c r="Q801" s="10" t="s">
        <v>1268</v>
      </c>
      <c r="R801" s="7" t="s">
        <v>946</v>
      </c>
      <c r="S801">
        <v>25</v>
      </c>
      <c r="T801">
        <f t="shared" si="30"/>
        <v>0.2</v>
      </c>
    </row>
    <row r="802" spans="1:20" x14ac:dyDescent="0.25">
      <c r="A802" s="765">
        <v>527</v>
      </c>
      <c r="B802" s="765" t="s">
        <v>1411</v>
      </c>
      <c r="C802" s="47" t="s">
        <v>1269</v>
      </c>
      <c r="D802" s="208"/>
      <c r="E802" s="5" t="s">
        <v>724</v>
      </c>
      <c r="F802" s="5" t="s">
        <v>724</v>
      </c>
      <c r="G802" s="5" t="s">
        <v>724</v>
      </c>
      <c r="H802" s="5" t="s">
        <v>724</v>
      </c>
      <c r="I802" s="5"/>
      <c r="J802" s="6" t="s">
        <v>1274</v>
      </c>
      <c r="K802" s="6"/>
      <c r="L802" s="6"/>
      <c r="M802" s="6">
        <v>1</v>
      </c>
      <c r="N802" s="11" t="s">
        <v>1279</v>
      </c>
      <c r="O802" s="12"/>
      <c r="P802" s="6" t="s">
        <v>50</v>
      </c>
      <c r="Q802" s="10" t="s">
        <v>1268</v>
      </c>
      <c r="R802" s="7" t="s">
        <v>946</v>
      </c>
      <c r="S802">
        <v>25</v>
      </c>
      <c r="T802">
        <f t="shared" si="30"/>
        <v>0.2</v>
      </c>
    </row>
    <row r="803" spans="1:20" x14ac:dyDescent="0.25">
      <c r="A803" s="765">
        <v>524</v>
      </c>
      <c r="B803" s="765" t="s">
        <v>1411</v>
      </c>
      <c r="C803" s="47" t="s">
        <v>1270</v>
      </c>
      <c r="D803" s="208"/>
      <c r="E803" s="5" t="s">
        <v>1178</v>
      </c>
      <c r="F803" s="5" t="s">
        <v>724</v>
      </c>
      <c r="G803" s="5" t="s">
        <v>1178</v>
      </c>
      <c r="H803" s="5" t="s">
        <v>1178</v>
      </c>
      <c r="I803" s="5"/>
      <c r="J803" s="6" t="s">
        <v>1274</v>
      </c>
      <c r="K803" s="6"/>
      <c r="L803" s="6"/>
      <c r="M803" s="6">
        <v>1</v>
      </c>
      <c r="N803" s="11" t="s">
        <v>1278</v>
      </c>
      <c r="O803" s="12"/>
      <c r="P803" s="6" t="s">
        <v>50</v>
      </c>
      <c r="Q803" s="10" t="s">
        <v>1268</v>
      </c>
      <c r="R803" s="7" t="s">
        <v>946</v>
      </c>
      <c r="S803">
        <v>25</v>
      </c>
      <c r="T803">
        <f t="shared" si="30"/>
        <v>0.2</v>
      </c>
    </row>
    <row r="804" spans="1:20" x14ac:dyDescent="0.25">
      <c r="A804" s="765">
        <v>523</v>
      </c>
      <c r="B804" s="765" t="s">
        <v>1411</v>
      </c>
      <c r="C804" s="47" t="s">
        <v>1271</v>
      </c>
      <c r="D804" s="208"/>
      <c r="E804" s="5"/>
      <c r="F804" s="5"/>
      <c r="G804" s="5"/>
      <c r="H804" s="5"/>
      <c r="I804" s="5"/>
      <c r="J804" s="6" t="s">
        <v>1274</v>
      </c>
      <c r="K804" s="6"/>
      <c r="L804" s="6"/>
      <c r="M804" s="6">
        <v>1</v>
      </c>
      <c r="N804" s="11" t="s">
        <v>1277</v>
      </c>
      <c r="O804" s="12"/>
      <c r="P804" s="6" t="s">
        <v>50</v>
      </c>
      <c r="Q804" s="10" t="s">
        <v>1268</v>
      </c>
      <c r="R804" s="7" t="s">
        <v>946</v>
      </c>
      <c r="S804">
        <v>25</v>
      </c>
      <c r="T804">
        <f t="shared" si="30"/>
        <v>0.2</v>
      </c>
    </row>
    <row r="805" spans="1:20" x14ac:dyDescent="0.25">
      <c r="B805" s="765" t="s">
        <v>1411</v>
      </c>
      <c r="C805" s="47" t="s">
        <v>1280</v>
      </c>
      <c r="D805" s="208"/>
      <c r="E805" s="5"/>
      <c r="F805" s="5"/>
      <c r="G805" s="5"/>
      <c r="H805" s="5"/>
      <c r="I805" s="5"/>
      <c r="J805" s="6" t="s">
        <v>1274</v>
      </c>
      <c r="K805" s="6"/>
      <c r="L805" s="6"/>
      <c r="M805" s="6">
        <v>1</v>
      </c>
      <c r="N805" s="11" t="s">
        <v>1276</v>
      </c>
      <c r="O805" s="12"/>
      <c r="P805" s="6" t="s">
        <v>50</v>
      </c>
      <c r="Q805" s="10" t="s">
        <v>1268</v>
      </c>
      <c r="R805" s="7" t="s">
        <v>946</v>
      </c>
      <c r="S805">
        <v>25</v>
      </c>
      <c r="T805">
        <f t="shared" si="30"/>
        <v>0.2</v>
      </c>
    </row>
    <row r="806" spans="1:20" x14ac:dyDescent="0.25">
      <c r="B806" s="765" t="s">
        <v>1411</v>
      </c>
      <c r="C806" s="47" t="s">
        <v>1272</v>
      </c>
      <c r="D806" s="208"/>
      <c r="E806" s="5"/>
      <c r="F806" s="5"/>
      <c r="G806" s="5"/>
      <c r="H806" s="5"/>
      <c r="I806" s="5"/>
      <c r="J806" s="6" t="s">
        <v>1274</v>
      </c>
      <c r="K806" s="6"/>
      <c r="L806" s="6"/>
      <c r="M806" s="6">
        <v>1</v>
      </c>
      <c r="N806" s="11" t="s">
        <v>1275</v>
      </c>
      <c r="O806" s="12"/>
      <c r="P806" s="6" t="s">
        <v>50</v>
      </c>
      <c r="Q806" s="10" t="s">
        <v>1268</v>
      </c>
      <c r="R806" s="7" t="s">
        <v>946</v>
      </c>
      <c r="S806">
        <v>25</v>
      </c>
      <c r="T806">
        <f t="shared" si="30"/>
        <v>0.2</v>
      </c>
    </row>
    <row r="807" spans="1:20" x14ac:dyDescent="0.25">
      <c r="A807" s="765">
        <v>526</v>
      </c>
      <c r="B807" s="765" t="s">
        <v>1411</v>
      </c>
      <c r="C807" s="47" t="s">
        <v>1273</v>
      </c>
      <c r="D807" s="208"/>
      <c r="E807" s="5" t="s">
        <v>1178</v>
      </c>
      <c r="F807" s="5" t="s">
        <v>724</v>
      </c>
      <c r="G807" s="5" t="s">
        <v>1178</v>
      </c>
      <c r="H807" s="5" t="s">
        <v>1178</v>
      </c>
      <c r="I807" s="5"/>
      <c r="J807" s="6" t="s">
        <v>1274</v>
      </c>
      <c r="K807" s="6"/>
      <c r="L807" s="6"/>
      <c r="M807" s="6">
        <v>1</v>
      </c>
      <c r="N807" s="11" t="s">
        <v>125</v>
      </c>
      <c r="O807" s="12"/>
      <c r="P807" s="6" t="s">
        <v>50</v>
      </c>
      <c r="Q807" s="10" t="s">
        <v>1268</v>
      </c>
      <c r="R807" s="7" t="s">
        <v>946</v>
      </c>
      <c r="S807">
        <v>25</v>
      </c>
      <c r="T807">
        <f t="shared" si="30"/>
        <v>0.2</v>
      </c>
    </row>
    <row r="808" spans="1:20" x14ac:dyDescent="0.25">
      <c r="A808" s="765">
        <v>531</v>
      </c>
      <c r="B808" s="765" t="s">
        <v>1411</v>
      </c>
      <c r="C808" s="47" t="s">
        <v>1336</v>
      </c>
      <c r="D808" s="208"/>
      <c r="E808" s="5"/>
      <c r="F808" s="5"/>
      <c r="G808" s="5"/>
      <c r="H808" s="5"/>
      <c r="I808" s="5"/>
      <c r="J808" s="6" t="s">
        <v>1274</v>
      </c>
      <c r="K808" s="6"/>
      <c r="L808" s="6"/>
      <c r="M808" s="6">
        <v>1</v>
      </c>
      <c r="N808" s="11"/>
      <c r="O808" s="12"/>
      <c r="P808" s="6" t="s">
        <v>50</v>
      </c>
      <c r="Q808" s="10" t="s">
        <v>1337</v>
      </c>
      <c r="R808" s="7" t="s">
        <v>946</v>
      </c>
    </row>
    <row r="809" spans="1:20" x14ac:dyDescent="0.25">
      <c r="B809" s="765" t="s">
        <v>1411</v>
      </c>
      <c r="C809" s="47" t="s">
        <v>1351</v>
      </c>
      <c r="D809" s="208"/>
      <c r="E809" s="5"/>
      <c r="F809" s="5"/>
      <c r="G809" s="5"/>
      <c r="H809" s="5"/>
      <c r="I809" s="5"/>
      <c r="J809" s="6" t="s">
        <v>1274</v>
      </c>
      <c r="K809" s="6"/>
      <c r="L809" s="6"/>
      <c r="M809" s="6">
        <v>1</v>
      </c>
      <c r="N809" s="11"/>
      <c r="O809" s="12"/>
      <c r="P809" s="6" t="s">
        <v>50</v>
      </c>
      <c r="Q809" s="10" t="s">
        <v>1337</v>
      </c>
      <c r="R809" s="7" t="s">
        <v>946</v>
      </c>
    </row>
    <row r="810" spans="1:20" x14ac:dyDescent="0.25">
      <c r="C810" s="47" t="s">
        <v>1048</v>
      </c>
      <c r="D810" s="208"/>
      <c r="E810" s="5"/>
      <c r="F810" s="5"/>
      <c r="G810" s="5"/>
      <c r="H810" s="5"/>
      <c r="I810" s="5"/>
      <c r="J810" s="6" t="s">
        <v>669</v>
      </c>
      <c r="K810" s="6"/>
      <c r="L810" s="6"/>
      <c r="M810" s="6">
        <v>1</v>
      </c>
      <c r="N810" s="11" t="s">
        <v>670</v>
      </c>
      <c r="O810" s="12">
        <v>5</v>
      </c>
      <c r="P810" s="6"/>
      <c r="Q810" s="10" t="s">
        <v>1051</v>
      </c>
      <c r="R810" s="7" t="s">
        <v>548</v>
      </c>
    </row>
    <row r="811" spans="1:20" x14ac:dyDescent="0.25">
      <c r="C811" s="47" t="s">
        <v>1049</v>
      </c>
      <c r="D811" s="208"/>
      <c r="E811" s="5"/>
      <c r="F811" s="5"/>
      <c r="G811" s="5"/>
      <c r="H811" s="5"/>
      <c r="I811" s="5"/>
      <c r="J811" s="6" t="s">
        <v>669</v>
      </c>
      <c r="K811" s="6"/>
      <c r="L811" s="6"/>
      <c r="M811" s="6">
        <v>1</v>
      </c>
      <c r="N811" s="11" t="s">
        <v>670</v>
      </c>
      <c r="O811" s="12">
        <v>5</v>
      </c>
      <c r="P811" s="6"/>
      <c r="Q811" s="10" t="s">
        <v>1050</v>
      </c>
      <c r="R811" s="7" t="s">
        <v>548</v>
      </c>
    </row>
    <row r="812" spans="1:20" x14ac:dyDescent="0.25">
      <c r="A812" s="765">
        <v>278</v>
      </c>
      <c r="B812" s="765" t="s">
        <v>1419</v>
      </c>
      <c r="C812" s="47" t="s">
        <v>677</v>
      </c>
      <c r="D812" s="208"/>
      <c r="E812" s="2" t="s">
        <v>724</v>
      </c>
      <c r="F812" s="2" t="s">
        <v>724</v>
      </c>
      <c r="G812" s="2" t="s">
        <v>724</v>
      </c>
      <c r="H812" s="2"/>
      <c r="I812" s="2"/>
      <c r="J812" s="3" t="s">
        <v>676</v>
      </c>
      <c r="K812" s="3"/>
      <c r="L812" s="3"/>
      <c r="M812" s="3"/>
      <c r="N812" s="3"/>
      <c r="O812" s="9"/>
      <c r="P812" s="3" t="s">
        <v>50</v>
      </c>
      <c r="Q812" s="3" t="s">
        <v>908</v>
      </c>
      <c r="R812" s="4" t="s">
        <v>582</v>
      </c>
    </row>
    <row r="813" spans="1:20" x14ac:dyDescent="0.25">
      <c r="A813" s="765">
        <v>207</v>
      </c>
      <c r="B813" s="765" t="s">
        <v>1419</v>
      </c>
      <c r="C813" s="46" t="s">
        <v>675</v>
      </c>
      <c r="D813" s="207"/>
      <c r="E813" s="5"/>
      <c r="F813" s="5"/>
      <c r="G813" s="5"/>
      <c r="H813" s="5"/>
      <c r="I813" s="5"/>
      <c r="J813" s="6" t="s">
        <v>676</v>
      </c>
      <c r="K813" s="6"/>
      <c r="L813" s="6"/>
      <c r="M813" s="6"/>
      <c r="N813" s="6"/>
      <c r="O813" s="12"/>
      <c r="P813" s="6" t="s">
        <v>50</v>
      </c>
      <c r="Q813" s="6" t="s">
        <v>909</v>
      </c>
      <c r="R813" s="4" t="s">
        <v>582</v>
      </c>
    </row>
    <row r="814" spans="1:20" x14ac:dyDescent="0.25">
      <c r="A814" s="765">
        <v>208</v>
      </c>
      <c r="B814" s="765" t="s">
        <v>1419</v>
      </c>
      <c r="C814" s="46" t="s">
        <v>678</v>
      </c>
      <c r="D814" s="207"/>
      <c r="E814" s="2"/>
      <c r="F814" s="2"/>
      <c r="G814" s="2"/>
      <c r="H814" s="2"/>
      <c r="I814" s="2"/>
      <c r="J814" s="3" t="s">
        <v>676</v>
      </c>
      <c r="K814" s="3"/>
      <c r="L814" s="3"/>
      <c r="M814" s="3"/>
      <c r="N814" s="3"/>
      <c r="O814" s="29"/>
      <c r="P814" s="3" t="s">
        <v>50</v>
      </c>
      <c r="Q814" s="6" t="s">
        <v>909</v>
      </c>
      <c r="R814" s="4" t="s">
        <v>582</v>
      </c>
    </row>
    <row r="815" spans="1:20" x14ac:dyDescent="0.25">
      <c r="A815" s="765">
        <v>209</v>
      </c>
      <c r="B815" s="765" t="s">
        <v>1420</v>
      </c>
      <c r="C815" s="47" t="s">
        <v>679</v>
      </c>
      <c r="D815" s="208"/>
      <c r="E815" s="5"/>
      <c r="F815" s="5"/>
      <c r="G815" s="5"/>
      <c r="H815" s="5"/>
      <c r="I815" s="5"/>
      <c r="J815" s="6" t="s">
        <v>676</v>
      </c>
      <c r="K815" s="6"/>
      <c r="L815" s="6"/>
      <c r="M815" s="6"/>
      <c r="N815" s="6"/>
      <c r="O815" s="12"/>
      <c r="P815" s="6" t="s">
        <v>50</v>
      </c>
      <c r="Q815" s="6" t="s">
        <v>961</v>
      </c>
      <c r="R815" s="7" t="s">
        <v>215</v>
      </c>
    </row>
    <row r="816" spans="1:20" x14ac:dyDescent="0.25">
      <c r="C816" s="47" t="s">
        <v>840</v>
      </c>
      <c r="D816" s="208"/>
      <c r="E816" s="5"/>
      <c r="F816" s="5"/>
      <c r="G816" s="5"/>
      <c r="H816" s="5"/>
      <c r="I816" s="5"/>
      <c r="J816" s="6" t="s">
        <v>676</v>
      </c>
      <c r="K816" s="6"/>
      <c r="L816" s="6"/>
      <c r="M816" s="6"/>
      <c r="N816" s="6"/>
      <c r="O816" s="12"/>
      <c r="P816" s="6"/>
      <c r="Q816" s="6" t="s">
        <v>910</v>
      </c>
      <c r="R816" s="7" t="s">
        <v>215</v>
      </c>
    </row>
    <row r="817" spans="1:20" x14ac:dyDescent="0.25">
      <c r="C817" s="47" t="s">
        <v>959</v>
      </c>
      <c r="D817" s="208"/>
      <c r="E817" s="5"/>
      <c r="F817" s="5"/>
      <c r="G817" s="5"/>
      <c r="H817" s="5"/>
      <c r="I817" s="5"/>
      <c r="J817" s="6" t="s">
        <v>676</v>
      </c>
      <c r="K817" s="6"/>
      <c r="L817" s="6"/>
      <c r="M817" s="6"/>
      <c r="N817" s="6"/>
      <c r="O817" s="12"/>
      <c r="P817" s="6" t="s">
        <v>50</v>
      </c>
      <c r="Q817" s="6" t="s">
        <v>960</v>
      </c>
      <c r="R817" s="7" t="s">
        <v>215</v>
      </c>
    </row>
    <row r="818" spans="1:20" x14ac:dyDescent="0.25">
      <c r="C818" s="47"/>
      <c r="D818" s="208"/>
      <c r="E818" s="5"/>
      <c r="F818" s="5"/>
      <c r="G818" s="5"/>
      <c r="H818" s="5"/>
      <c r="I818" s="5"/>
      <c r="J818" s="6"/>
      <c r="K818" s="6"/>
      <c r="L818" s="6"/>
      <c r="M818" s="6"/>
      <c r="N818" s="6"/>
      <c r="O818" s="12"/>
      <c r="P818" s="6"/>
      <c r="Q818" s="6"/>
      <c r="R818" s="7"/>
    </row>
    <row r="819" spans="1:20" x14ac:dyDescent="0.25">
      <c r="C819" s="52" t="s">
        <v>680</v>
      </c>
      <c r="D819" s="213"/>
      <c r="E819" s="2"/>
      <c r="F819" s="2"/>
      <c r="G819" s="2"/>
      <c r="H819" s="2"/>
      <c r="I819" s="2"/>
      <c r="J819" s="3" t="s">
        <v>681</v>
      </c>
      <c r="K819" s="3"/>
      <c r="L819" s="3"/>
      <c r="M819" s="3"/>
      <c r="N819" s="3"/>
      <c r="O819" s="2"/>
      <c r="P819" s="3"/>
      <c r="Q819" s="38" t="s">
        <v>682</v>
      </c>
      <c r="R819" s="4" t="s">
        <v>548</v>
      </c>
    </row>
    <row r="820" spans="1:20" x14ac:dyDescent="0.25">
      <c r="A820" s="765">
        <v>137</v>
      </c>
      <c r="B820" s="765" t="s">
        <v>1418</v>
      </c>
      <c r="C820" s="46" t="s">
        <v>744</v>
      </c>
      <c r="D820" s="207"/>
      <c r="E820" s="2" t="s">
        <v>724</v>
      </c>
      <c r="F820" s="2"/>
      <c r="G820" s="2"/>
      <c r="H820" s="2"/>
      <c r="I820" s="2"/>
      <c r="J820" s="3" t="s">
        <v>681</v>
      </c>
      <c r="K820" s="3"/>
      <c r="L820" s="3"/>
      <c r="M820" s="3"/>
      <c r="N820" s="38"/>
      <c r="O820" s="2"/>
      <c r="P820" s="3"/>
      <c r="Q820" s="38" t="s">
        <v>690</v>
      </c>
      <c r="R820" s="4" t="s">
        <v>672</v>
      </c>
      <c r="S820">
        <v>0</v>
      </c>
      <c r="T820">
        <v>0</v>
      </c>
    </row>
    <row r="821" spans="1:20" x14ac:dyDescent="0.25">
      <c r="A821" s="765">
        <v>138</v>
      </c>
      <c r="B821" s="765" t="s">
        <v>1418</v>
      </c>
      <c r="C821" s="47" t="s">
        <v>745</v>
      </c>
      <c r="D821" s="208"/>
      <c r="E821" s="5" t="s">
        <v>724</v>
      </c>
      <c r="F821" s="5"/>
      <c r="G821" s="5"/>
      <c r="H821" s="5"/>
      <c r="I821" s="5"/>
      <c r="J821" s="6" t="s">
        <v>681</v>
      </c>
      <c r="K821" s="6"/>
      <c r="L821" s="6"/>
      <c r="M821" s="6"/>
      <c r="N821" s="39"/>
      <c r="O821" s="5"/>
      <c r="P821" s="6"/>
      <c r="Q821" s="39" t="s">
        <v>693</v>
      </c>
      <c r="R821" s="7" t="s">
        <v>672</v>
      </c>
      <c r="S821">
        <v>25</v>
      </c>
      <c r="T821">
        <f>1/24</f>
        <v>4.1666666666666664E-2</v>
      </c>
    </row>
    <row r="822" spans="1:20" x14ac:dyDescent="0.25">
      <c r="A822" s="765">
        <v>139</v>
      </c>
      <c r="B822" s="765" t="s">
        <v>1418</v>
      </c>
      <c r="C822" s="47" t="s">
        <v>746</v>
      </c>
      <c r="D822" s="208"/>
      <c r="E822" s="5"/>
      <c r="F822" s="5"/>
      <c r="G822" s="5"/>
      <c r="H822" s="5"/>
      <c r="I822" s="5"/>
      <c r="J822" s="6" t="s">
        <v>681</v>
      </c>
      <c r="K822" s="6"/>
      <c r="L822" s="6"/>
      <c r="M822" s="6"/>
      <c r="N822" s="39"/>
      <c r="O822" s="5"/>
      <c r="P822" s="6"/>
      <c r="Q822" s="39" t="s">
        <v>689</v>
      </c>
      <c r="R822" s="7" t="s">
        <v>672</v>
      </c>
    </row>
    <row r="823" spans="1:20" x14ac:dyDescent="0.25">
      <c r="A823" s="765">
        <v>140</v>
      </c>
      <c r="B823" s="765" t="s">
        <v>1418</v>
      </c>
      <c r="C823" s="46" t="s">
        <v>747</v>
      </c>
      <c r="D823" s="207"/>
      <c r="E823" s="2" t="s">
        <v>1178</v>
      </c>
      <c r="F823" s="2"/>
      <c r="G823" s="2"/>
      <c r="H823" s="2"/>
      <c r="I823" s="2"/>
      <c r="J823" s="3" t="s">
        <v>681</v>
      </c>
      <c r="K823" s="3"/>
      <c r="L823" s="3"/>
      <c r="M823" s="3"/>
      <c r="N823" s="38"/>
      <c r="O823" s="2"/>
      <c r="P823" s="3"/>
      <c r="Q823" s="38" t="s">
        <v>688</v>
      </c>
      <c r="R823" s="4" t="s">
        <v>672</v>
      </c>
      <c r="S823">
        <v>35</v>
      </c>
      <c r="T823">
        <f>1/12</f>
        <v>8.3333333333333329E-2</v>
      </c>
    </row>
    <row r="824" spans="1:20" x14ac:dyDescent="0.25">
      <c r="A824" s="765">
        <v>249</v>
      </c>
      <c r="B824" s="765" t="s">
        <v>1418</v>
      </c>
      <c r="C824" s="46" t="s">
        <v>748</v>
      </c>
      <c r="D824" s="207"/>
      <c r="E824" s="2" t="s">
        <v>1178</v>
      </c>
      <c r="F824" s="2"/>
      <c r="G824" s="2"/>
      <c r="H824" s="2"/>
      <c r="I824" s="2"/>
      <c r="J824" s="3" t="s">
        <v>681</v>
      </c>
      <c r="K824" s="3"/>
      <c r="L824" s="3"/>
      <c r="M824" s="3"/>
      <c r="N824" s="38"/>
      <c r="O824" s="2"/>
      <c r="P824" s="3"/>
      <c r="Q824" s="38" t="s">
        <v>686</v>
      </c>
      <c r="R824" s="4" t="s">
        <v>672</v>
      </c>
      <c r="S824">
        <v>40</v>
      </c>
      <c r="T824">
        <v>0.1</v>
      </c>
    </row>
    <row r="825" spans="1:20" x14ac:dyDescent="0.25">
      <c r="A825" s="765">
        <v>141</v>
      </c>
      <c r="B825" s="765" t="s">
        <v>1412</v>
      </c>
      <c r="C825" s="46" t="s">
        <v>749</v>
      </c>
      <c r="D825" s="207"/>
      <c r="E825" s="2" t="s">
        <v>724</v>
      </c>
      <c r="F825" s="2"/>
      <c r="G825" s="2"/>
      <c r="H825" s="2"/>
      <c r="I825" s="2"/>
      <c r="J825" s="3" t="s">
        <v>681</v>
      </c>
      <c r="K825" s="3"/>
      <c r="L825" s="3"/>
      <c r="M825" s="3"/>
      <c r="N825" s="38"/>
      <c r="O825" s="2"/>
      <c r="P825" s="3"/>
      <c r="Q825" s="38" t="s">
        <v>694</v>
      </c>
      <c r="R825" s="4" t="s">
        <v>215</v>
      </c>
      <c r="S825">
        <v>35</v>
      </c>
      <c r="T825">
        <v>0.4</v>
      </c>
    </row>
    <row r="826" spans="1:20" x14ac:dyDescent="0.25">
      <c r="A826" s="765">
        <v>250</v>
      </c>
      <c r="B826" s="765" t="s">
        <v>1418</v>
      </c>
      <c r="C826" s="46" t="s">
        <v>750</v>
      </c>
      <c r="D826" s="207"/>
      <c r="E826" s="2" t="s">
        <v>724</v>
      </c>
      <c r="F826" s="2"/>
      <c r="G826" s="2"/>
      <c r="H826" s="2"/>
      <c r="I826" s="2"/>
      <c r="J826" s="3" t="s">
        <v>681</v>
      </c>
      <c r="K826" s="3"/>
      <c r="L826" s="3"/>
      <c r="M826" s="3"/>
      <c r="N826" s="38"/>
      <c r="O826" s="2"/>
      <c r="P826" s="3"/>
      <c r="Q826" s="38" t="s">
        <v>692</v>
      </c>
      <c r="R826" s="4" t="s">
        <v>672</v>
      </c>
    </row>
    <row r="827" spans="1:20" x14ac:dyDescent="0.25">
      <c r="A827" s="765">
        <v>142</v>
      </c>
      <c r="B827" s="765" t="s">
        <v>1418</v>
      </c>
      <c r="C827" s="47" t="s">
        <v>751</v>
      </c>
      <c r="D827" s="208"/>
      <c r="E827" s="5" t="s">
        <v>724</v>
      </c>
      <c r="F827" s="5"/>
      <c r="G827" s="5"/>
      <c r="H827" s="5"/>
      <c r="I827" s="5"/>
      <c r="J827" s="6" t="s">
        <v>681</v>
      </c>
      <c r="K827" s="6"/>
      <c r="L827" s="6"/>
      <c r="M827" s="6"/>
      <c r="N827" s="39"/>
      <c r="O827" s="5"/>
      <c r="P827" s="6"/>
      <c r="Q827" s="39" t="s">
        <v>687</v>
      </c>
      <c r="R827" s="7" t="s">
        <v>672</v>
      </c>
    </row>
    <row r="828" spans="1:20" x14ac:dyDescent="0.25">
      <c r="A828" s="765">
        <v>143</v>
      </c>
      <c r="B828" s="765" t="s">
        <v>1418</v>
      </c>
      <c r="C828" s="47" t="s">
        <v>752</v>
      </c>
      <c r="D828" s="208"/>
      <c r="E828" s="5"/>
      <c r="F828" s="5"/>
      <c r="G828" s="5"/>
      <c r="H828" s="5"/>
      <c r="I828" s="5"/>
      <c r="J828" s="6" t="s">
        <v>681</v>
      </c>
      <c r="K828" s="6"/>
      <c r="L828" s="6"/>
      <c r="M828" s="6"/>
      <c r="N828" s="39"/>
      <c r="O828" s="5"/>
      <c r="P828" s="6"/>
      <c r="Q828" s="39" t="s">
        <v>685</v>
      </c>
      <c r="R828" s="7" t="s">
        <v>672</v>
      </c>
    </row>
    <row r="829" spans="1:20" x14ac:dyDescent="0.25">
      <c r="A829" s="765">
        <v>492</v>
      </c>
      <c r="B829" s="765" t="s">
        <v>1412</v>
      </c>
      <c r="C829" s="46" t="s">
        <v>684</v>
      </c>
      <c r="D829" s="207"/>
      <c r="E829" s="2" t="s">
        <v>1178</v>
      </c>
      <c r="F829" s="2"/>
      <c r="G829" s="2"/>
      <c r="H829" s="2"/>
      <c r="I829" s="2"/>
      <c r="J829" s="3" t="s">
        <v>681</v>
      </c>
      <c r="K829" s="3"/>
      <c r="L829" s="3"/>
      <c r="M829" s="3"/>
      <c r="N829" s="38"/>
      <c r="O829" s="2"/>
      <c r="P829" s="3"/>
      <c r="Q829" s="38"/>
      <c r="R829" s="4" t="s">
        <v>215</v>
      </c>
      <c r="S829">
        <v>45</v>
      </c>
      <c r="T829">
        <v>0.4</v>
      </c>
    </row>
    <row r="830" spans="1:20" x14ac:dyDescent="0.25">
      <c r="C830" s="47" t="s">
        <v>753</v>
      </c>
      <c r="D830" s="208"/>
      <c r="E830" s="5"/>
      <c r="F830" s="5"/>
      <c r="G830" s="5"/>
      <c r="H830" s="5"/>
      <c r="I830" s="5"/>
      <c r="J830" s="6" t="s">
        <v>681</v>
      </c>
      <c r="K830" s="6"/>
      <c r="L830" s="6"/>
      <c r="M830" s="6"/>
      <c r="N830" s="39"/>
      <c r="O830" s="5"/>
      <c r="P830" s="6"/>
      <c r="Q830" s="39" t="s">
        <v>691</v>
      </c>
      <c r="R830" s="7" t="s">
        <v>672</v>
      </c>
    </row>
    <row r="831" spans="1:20" x14ac:dyDescent="0.25">
      <c r="A831" s="765">
        <v>146</v>
      </c>
      <c r="B831" s="765" t="s">
        <v>1418</v>
      </c>
      <c r="C831" s="47" t="s">
        <v>683</v>
      </c>
      <c r="D831" s="208"/>
      <c r="E831" s="5" t="s">
        <v>1178</v>
      </c>
      <c r="F831" s="5"/>
      <c r="G831" s="5"/>
      <c r="H831" s="5"/>
      <c r="I831" s="5"/>
      <c r="J831" s="6" t="s">
        <v>681</v>
      </c>
      <c r="K831" s="6"/>
      <c r="L831" s="6"/>
      <c r="M831" s="6"/>
      <c r="N831" s="6"/>
      <c r="O831" s="5"/>
      <c r="P831" s="6"/>
      <c r="Q831" s="6"/>
      <c r="R831" s="7" t="s">
        <v>672</v>
      </c>
      <c r="S831">
        <v>50</v>
      </c>
      <c r="T831">
        <f>1/8</f>
        <v>0.125</v>
      </c>
    </row>
    <row r="832" spans="1:20" x14ac:dyDescent="0.25">
      <c r="A832" s="765">
        <v>148</v>
      </c>
      <c r="B832" s="765" t="s">
        <v>1413</v>
      </c>
      <c r="C832" s="47" t="s">
        <v>755</v>
      </c>
      <c r="D832" s="208"/>
      <c r="E832" s="5" t="s">
        <v>724</v>
      </c>
      <c r="F832" s="5"/>
      <c r="G832" s="5"/>
      <c r="H832" s="5"/>
      <c r="I832" s="5"/>
      <c r="J832" s="6" t="s">
        <v>695</v>
      </c>
      <c r="K832" s="6"/>
      <c r="L832" s="6"/>
      <c r="M832" s="6"/>
      <c r="N832" s="6"/>
      <c r="O832" s="5"/>
      <c r="P832" s="6"/>
      <c r="Q832" s="39" t="s">
        <v>696</v>
      </c>
      <c r="R832" s="40" t="s">
        <v>548</v>
      </c>
    </row>
    <row r="833" spans="1:18" x14ac:dyDescent="0.25">
      <c r="A833" s="765">
        <v>149</v>
      </c>
      <c r="B833" s="765" t="s">
        <v>1413</v>
      </c>
      <c r="C833" s="46" t="s">
        <v>756</v>
      </c>
      <c r="D833" s="207"/>
      <c r="E833" s="2" t="s">
        <v>724</v>
      </c>
      <c r="F833" s="2"/>
      <c r="G833" s="2"/>
      <c r="H833" s="2"/>
      <c r="I833" s="2"/>
      <c r="J833" s="3" t="s">
        <v>695</v>
      </c>
      <c r="K833" s="3"/>
      <c r="L833" s="3"/>
      <c r="M833" s="3"/>
      <c r="N833" s="3"/>
      <c r="O833" s="2"/>
      <c r="P833" s="3"/>
      <c r="Q833" s="38" t="s">
        <v>697</v>
      </c>
      <c r="R833" s="41" t="s">
        <v>548</v>
      </c>
    </row>
    <row r="834" spans="1:18" x14ac:dyDescent="0.25">
      <c r="A834" s="765">
        <v>150</v>
      </c>
      <c r="B834" s="765" t="s">
        <v>1413</v>
      </c>
      <c r="C834" s="46" t="s">
        <v>757</v>
      </c>
      <c r="D834" s="207"/>
      <c r="E834" s="2" t="s">
        <v>724</v>
      </c>
      <c r="F834" s="2"/>
      <c r="G834" s="2"/>
      <c r="H834" s="2"/>
      <c r="I834" s="2"/>
      <c r="J834" s="3" t="s">
        <v>695</v>
      </c>
      <c r="K834" s="3"/>
      <c r="L834" s="3"/>
      <c r="M834" s="3"/>
      <c r="N834" s="3"/>
      <c r="O834" s="2"/>
      <c r="P834" s="3"/>
      <c r="Q834" s="38" t="s">
        <v>705</v>
      </c>
      <c r="R834" s="41" t="s">
        <v>703</v>
      </c>
    </row>
    <row r="835" spans="1:18" x14ac:dyDescent="0.25">
      <c r="A835" s="765">
        <v>261</v>
      </c>
      <c r="B835" s="765" t="s">
        <v>1413</v>
      </c>
      <c r="C835" s="47" t="s">
        <v>698</v>
      </c>
      <c r="D835" s="208"/>
      <c r="E835" s="5" t="s">
        <v>724</v>
      </c>
      <c r="F835" s="5"/>
      <c r="G835" s="5"/>
      <c r="H835" s="5"/>
      <c r="I835" s="5"/>
      <c r="J835" s="6" t="s">
        <v>695</v>
      </c>
      <c r="K835" s="6"/>
      <c r="L835" s="6"/>
      <c r="M835" s="6"/>
      <c r="N835" s="6"/>
      <c r="O835" s="5"/>
      <c r="P835" s="6"/>
      <c r="Q835" s="39" t="s">
        <v>699</v>
      </c>
      <c r="R835" s="7" t="s">
        <v>548</v>
      </c>
    </row>
    <row r="836" spans="1:18" x14ac:dyDescent="0.25">
      <c r="A836" s="765">
        <v>154</v>
      </c>
      <c r="B836" s="765" t="s">
        <v>1413</v>
      </c>
      <c r="C836" s="46" t="s">
        <v>1018</v>
      </c>
      <c r="D836" s="207"/>
      <c r="E836" s="2"/>
      <c r="F836" s="2"/>
      <c r="G836" s="2"/>
      <c r="H836" s="2"/>
      <c r="I836" s="2"/>
      <c r="J836" s="3" t="s">
        <v>695</v>
      </c>
      <c r="K836" s="3"/>
      <c r="L836" s="3"/>
      <c r="M836" s="3"/>
      <c r="N836" s="3"/>
      <c r="O836" s="2"/>
      <c r="P836" s="3"/>
      <c r="Q836" s="3"/>
      <c r="R836" s="41" t="s">
        <v>575</v>
      </c>
    </row>
    <row r="837" spans="1:18" x14ac:dyDescent="0.25">
      <c r="A837" s="765">
        <v>155</v>
      </c>
      <c r="B837" s="765" t="s">
        <v>1413</v>
      </c>
      <c r="C837" s="47" t="s">
        <v>1019</v>
      </c>
      <c r="D837" s="208"/>
      <c r="E837" s="5"/>
      <c r="F837" s="5"/>
      <c r="G837" s="5"/>
      <c r="H837" s="5"/>
      <c r="I837" s="5"/>
      <c r="J837" s="6" t="s">
        <v>695</v>
      </c>
      <c r="K837" s="6"/>
      <c r="L837" s="6"/>
      <c r="M837" s="6"/>
      <c r="N837" s="6"/>
      <c r="O837" s="5"/>
      <c r="P837" s="6"/>
      <c r="Q837" s="6"/>
      <c r="R837" s="40" t="s">
        <v>700</v>
      </c>
    </row>
    <row r="838" spans="1:18" x14ac:dyDescent="0.25">
      <c r="A838" s="765">
        <v>153</v>
      </c>
      <c r="B838" s="765" t="s">
        <v>1413</v>
      </c>
      <c r="C838" s="46" t="s">
        <v>701</v>
      </c>
      <c r="D838" s="207"/>
      <c r="E838" s="2" t="s">
        <v>724</v>
      </c>
      <c r="F838" s="2"/>
      <c r="G838" s="2"/>
      <c r="H838" s="2"/>
      <c r="I838" s="2"/>
      <c r="J838" s="3" t="s">
        <v>695</v>
      </c>
      <c r="K838" s="3"/>
      <c r="L838" s="3"/>
      <c r="M838" s="3"/>
      <c r="N838" s="3"/>
      <c r="O838" s="2"/>
      <c r="P838" s="3"/>
      <c r="Q838" s="38" t="s">
        <v>702</v>
      </c>
      <c r="R838" s="41" t="s">
        <v>703</v>
      </c>
    </row>
    <row r="839" spans="1:18" x14ac:dyDescent="0.25">
      <c r="A839" s="765">
        <v>151</v>
      </c>
      <c r="B839" s="765" t="s">
        <v>1413</v>
      </c>
      <c r="C839" s="47" t="s">
        <v>701</v>
      </c>
      <c r="D839" s="208"/>
      <c r="E839" s="5" t="s">
        <v>724</v>
      </c>
      <c r="F839" s="5"/>
      <c r="G839" s="5"/>
      <c r="H839" s="5"/>
      <c r="I839" s="5"/>
      <c r="J839" s="6" t="s">
        <v>695</v>
      </c>
      <c r="K839" s="6"/>
      <c r="L839" s="6"/>
      <c r="M839" s="6"/>
      <c r="N839" s="6"/>
      <c r="O839" s="5"/>
      <c r="P839" s="6"/>
      <c r="Q839" s="39" t="s">
        <v>704</v>
      </c>
      <c r="R839" s="40" t="s">
        <v>703</v>
      </c>
    </row>
    <row r="840" spans="1:18" x14ac:dyDescent="0.25">
      <c r="B840" s="765" t="s">
        <v>1413</v>
      </c>
      <c r="C840" s="47" t="s">
        <v>706</v>
      </c>
      <c r="D840" s="208"/>
      <c r="E840" s="5"/>
      <c r="F840" s="5"/>
      <c r="G840" s="5"/>
      <c r="H840" s="5"/>
      <c r="I840" s="5"/>
      <c r="J840" s="6" t="s">
        <v>707</v>
      </c>
      <c r="K840" s="6"/>
      <c r="L840" s="6"/>
      <c r="M840" s="6"/>
      <c r="N840" s="6"/>
      <c r="O840" s="5"/>
      <c r="P840" s="6"/>
      <c r="Q840" s="6"/>
      <c r="R840" s="7" t="s">
        <v>548</v>
      </c>
    </row>
    <row r="841" spans="1:18" x14ac:dyDescent="0.25">
      <c r="B841" s="765" t="s">
        <v>1413</v>
      </c>
      <c r="C841" s="46" t="s">
        <v>708</v>
      </c>
      <c r="D841" s="207"/>
      <c r="E841" s="2" t="s">
        <v>1178</v>
      </c>
      <c r="F841" s="2"/>
      <c r="G841" s="2"/>
      <c r="H841" s="2"/>
      <c r="I841" s="2"/>
      <c r="J841" s="3" t="s">
        <v>707</v>
      </c>
      <c r="K841" s="3"/>
      <c r="L841" s="3"/>
      <c r="M841" s="3"/>
      <c r="N841" s="3"/>
      <c r="O841" s="2"/>
      <c r="P841" s="3"/>
      <c r="Q841" s="3"/>
      <c r="R841" s="4" t="s">
        <v>548</v>
      </c>
    </row>
    <row r="842" spans="1:18" x14ac:dyDescent="0.25">
      <c r="B842" s="765" t="s">
        <v>1413</v>
      </c>
      <c r="C842" s="47" t="s">
        <v>709</v>
      </c>
      <c r="D842" s="208"/>
      <c r="E842" s="5"/>
      <c r="F842" s="5"/>
      <c r="G842" s="5"/>
      <c r="H842" s="5"/>
      <c r="I842" s="5"/>
      <c r="J842" s="6" t="s">
        <v>707</v>
      </c>
      <c r="K842" s="6"/>
      <c r="L842" s="6"/>
      <c r="M842" s="6"/>
      <c r="N842" s="6"/>
      <c r="O842" s="5"/>
      <c r="P842" s="6"/>
      <c r="Q842" s="6"/>
      <c r="R842" s="7" t="s">
        <v>548</v>
      </c>
    </row>
    <row r="843" spans="1:18" x14ac:dyDescent="0.25">
      <c r="B843" s="765" t="s">
        <v>1413</v>
      </c>
      <c r="C843" s="46" t="s">
        <v>710</v>
      </c>
      <c r="D843" s="207"/>
      <c r="E843" s="2" t="s">
        <v>1178</v>
      </c>
      <c r="F843" s="2"/>
      <c r="G843" s="2"/>
      <c r="H843" s="2"/>
      <c r="I843" s="2"/>
      <c r="J843" s="3" t="s">
        <v>707</v>
      </c>
      <c r="K843" s="3"/>
      <c r="L843" s="3"/>
      <c r="M843" s="3"/>
      <c r="N843" s="3"/>
      <c r="O843" s="2"/>
      <c r="P843" s="3"/>
      <c r="Q843" s="3"/>
      <c r="R843" s="4" t="s">
        <v>548</v>
      </c>
    </row>
    <row r="844" spans="1:18" x14ac:dyDescent="0.25">
      <c r="B844" s="765" t="s">
        <v>1413</v>
      </c>
      <c r="C844" s="47" t="s">
        <v>711</v>
      </c>
      <c r="D844" s="208"/>
      <c r="E844" s="5" t="s">
        <v>1178</v>
      </c>
      <c r="F844" s="5"/>
      <c r="G844" s="5"/>
      <c r="H844" s="5"/>
      <c r="I844" s="5"/>
      <c r="J844" s="6" t="s">
        <v>707</v>
      </c>
      <c r="K844" s="6"/>
      <c r="L844" s="6"/>
      <c r="M844" s="6"/>
      <c r="N844" s="6"/>
      <c r="O844" s="5"/>
      <c r="P844" s="6"/>
      <c r="Q844" s="6"/>
      <c r="R844" s="7" t="s">
        <v>548</v>
      </c>
    </row>
    <row r="845" spans="1:18" x14ac:dyDescent="0.25">
      <c r="B845" s="765" t="s">
        <v>1413</v>
      </c>
      <c r="C845" s="46" t="s">
        <v>712</v>
      </c>
      <c r="D845" s="207"/>
      <c r="E845" s="2"/>
      <c r="F845" s="2"/>
      <c r="G845" s="2"/>
      <c r="H845" s="2"/>
      <c r="I845" s="2"/>
      <c r="J845" s="3" t="s">
        <v>707</v>
      </c>
      <c r="K845" s="3"/>
      <c r="L845" s="3"/>
      <c r="M845" s="3"/>
      <c r="N845" s="3"/>
      <c r="O845" s="2"/>
      <c r="P845" s="3"/>
      <c r="Q845" s="3"/>
      <c r="R845" s="4" t="s">
        <v>548</v>
      </c>
    </row>
    <row r="846" spans="1:18" x14ac:dyDescent="0.25">
      <c r="B846" s="765" t="s">
        <v>1413</v>
      </c>
      <c r="C846" s="47" t="s">
        <v>713</v>
      </c>
      <c r="D846" s="208"/>
      <c r="E846" s="5" t="s">
        <v>1178</v>
      </c>
      <c r="F846" s="5"/>
      <c r="G846" s="5"/>
      <c r="H846" s="5"/>
      <c r="I846" s="5"/>
      <c r="J846" s="6" t="s">
        <v>707</v>
      </c>
      <c r="K846" s="6"/>
      <c r="L846" s="6"/>
      <c r="M846" s="6"/>
      <c r="N846" s="6"/>
      <c r="O846" s="5"/>
      <c r="P846" s="6"/>
      <c r="Q846" s="6"/>
      <c r="R846" s="7" t="s">
        <v>548</v>
      </c>
    </row>
    <row r="847" spans="1:18" x14ac:dyDescent="0.25">
      <c r="B847" s="765" t="s">
        <v>1413</v>
      </c>
      <c r="C847" s="46" t="s">
        <v>714</v>
      </c>
      <c r="D847" s="207"/>
      <c r="E847" s="2"/>
      <c r="F847" s="2"/>
      <c r="G847" s="2"/>
      <c r="H847" s="2"/>
      <c r="I847" s="2"/>
      <c r="J847" s="3" t="s">
        <v>707</v>
      </c>
      <c r="K847" s="3"/>
      <c r="L847" s="3"/>
      <c r="M847" s="3"/>
      <c r="N847" s="3"/>
      <c r="O847" s="2"/>
      <c r="P847" s="3"/>
      <c r="Q847" s="3"/>
      <c r="R847" s="4" t="s">
        <v>548</v>
      </c>
    </row>
    <row r="848" spans="1:18" x14ac:dyDescent="0.25">
      <c r="B848" s="765" t="s">
        <v>1413</v>
      </c>
      <c r="C848" s="47" t="s">
        <v>715</v>
      </c>
      <c r="D848" s="208"/>
      <c r="E848" s="5" t="s">
        <v>1178</v>
      </c>
      <c r="F848" s="5"/>
      <c r="G848" s="5"/>
      <c r="H848" s="5"/>
      <c r="I848" s="5"/>
      <c r="J848" s="6" t="s">
        <v>707</v>
      </c>
      <c r="K848" s="6"/>
      <c r="L848" s="6"/>
      <c r="M848" s="6"/>
      <c r="N848" s="6"/>
      <c r="O848" s="5"/>
      <c r="P848" s="6"/>
      <c r="Q848" s="6"/>
      <c r="R848" s="7" t="s">
        <v>548</v>
      </c>
    </row>
    <row r="849" spans="2:20" x14ac:dyDescent="0.25">
      <c r="B849" s="765" t="s">
        <v>1413</v>
      </c>
      <c r="C849" s="46" t="s">
        <v>716</v>
      </c>
      <c r="D849" s="207"/>
      <c r="E849" s="2" t="s">
        <v>1178</v>
      </c>
      <c r="F849" s="2"/>
      <c r="G849" s="2"/>
      <c r="H849" s="2"/>
      <c r="I849" s="2"/>
      <c r="J849" s="3" t="s">
        <v>707</v>
      </c>
      <c r="K849" s="3"/>
      <c r="L849" s="3"/>
      <c r="M849" s="3"/>
      <c r="N849" s="3"/>
      <c r="O849" s="2"/>
      <c r="P849" s="3"/>
      <c r="Q849" s="3"/>
      <c r="R849" s="4" t="s">
        <v>548</v>
      </c>
    </row>
    <row r="850" spans="2:20" x14ac:dyDescent="0.25">
      <c r="B850" s="765" t="s">
        <v>1413</v>
      </c>
      <c r="C850" s="47" t="s">
        <v>717</v>
      </c>
      <c r="D850" s="208"/>
      <c r="E850" s="5"/>
      <c r="F850" s="5"/>
      <c r="G850" s="5"/>
      <c r="H850" s="5"/>
      <c r="I850" s="5"/>
      <c r="J850" s="6" t="s">
        <v>707</v>
      </c>
      <c r="K850" s="6"/>
      <c r="L850" s="6"/>
      <c r="M850" s="6"/>
      <c r="N850" s="6"/>
      <c r="O850" s="5"/>
      <c r="P850" s="6"/>
      <c r="Q850" s="6"/>
      <c r="R850" s="7" t="s">
        <v>548</v>
      </c>
    </row>
    <row r="851" spans="2:20" x14ac:dyDescent="0.25">
      <c r="B851" s="765" t="s">
        <v>1413</v>
      </c>
      <c r="C851" s="46" t="s">
        <v>718</v>
      </c>
      <c r="D851" s="207"/>
      <c r="E851" s="2" t="s">
        <v>1178</v>
      </c>
      <c r="F851" s="2"/>
      <c r="G851" s="2"/>
      <c r="H851" s="2"/>
      <c r="I851" s="2"/>
      <c r="J851" s="3" t="s">
        <v>707</v>
      </c>
      <c r="K851" s="3"/>
      <c r="L851" s="3"/>
      <c r="M851" s="3"/>
      <c r="N851" s="3"/>
      <c r="O851" s="2"/>
      <c r="P851" s="3"/>
      <c r="Q851" s="3"/>
      <c r="R851" s="4" t="s">
        <v>548</v>
      </c>
    </row>
    <row r="852" spans="2:20" x14ac:dyDescent="0.25">
      <c r="B852" s="765" t="s">
        <v>1413</v>
      </c>
      <c r="C852" s="47" t="s">
        <v>719</v>
      </c>
      <c r="D852" s="208"/>
      <c r="E852" s="5"/>
      <c r="F852" s="5"/>
      <c r="G852" s="5"/>
      <c r="H852" s="5"/>
      <c r="I852" s="5"/>
      <c r="J852" s="6" t="s">
        <v>707</v>
      </c>
      <c r="K852" s="6"/>
      <c r="L852" s="6"/>
      <c r="M852" s="6"/>
      <c r="N852" s="6"/>
      <c r="O852" s="5"/>
      <c r="P852" s="6"/>
      <c r="Q852" s="6"/>
      <c r="R852" s="7" t="s">
        <v>548</v>
      </c>
    </row>
    <row r="853" spans="2:20" x14ac:dyDescent="0.25">
      <c r="B853" s="765" t="s">
        <v>1413</v>
      </c>
      <c r="C853" s="46" t="s">
        <v>720</v>
      </c>
      <c r="D853" s="207"/>
      <c r="E853" s="2" t="s">
        <v>1178</v>
      </c>
      <c r="F853" s="2"/>
      <c r="G853" s="2"/>
      <c r="H853" s="2"/>
      <c r="I853" s="2"/>
      <c r="J853" s="3" t="s">
        <v>707</v>
      </c>
      <c r="K853" s="3"/>
      <c r="L853" s="3"/>
      <c r="M853" s="3"/>
      <c r="N853" s="3"/>
      <c r="O853" s="2"/>
      <c r="P853" s="3"/>
      <c r="Q853" s="3"/>
      <c r="R853" s="4" t="s">
        <v>548</v>
      </c>
    </row>
    <row r="854" spans="2:20" x14ac:dyDescent="0.25">
      <c r="B854" s="765" t="s">
        <v>1413</v>
      </c>
      <c r="C854" s="47" t="s">
        <v>721</v>
      </c>
      <c r="D854" s="208"/>
      <c r="E854" s="5" t="s">
        <v>1178</v>
      </c>
      <c r="F854" s="5"/>
      <c r="G854" s="5"/>
      <c r="H854" s="5"/>
      <c r="I854" s="5"/>
      <c r="J854" s="6" t="s">
        <v>707</v>
      </c>
      <c r="K854" s="6"/>
      <c r="L854" s="6"/>
      <c r="M854" s="6"/>
      <c r="N854" s="6"/>
      <c r="O854" s="5"/>
      <c r="P854" s="6"/>
      <c r="Q854" s="6"/>
      <c r="R854" s="7" t="s">
        <v>548</v>
      </c>
    </row>
    <row r="855" spans="2:20" x14ac:dyDescent="0.25">
      <c r="B855" s="765" t="s">
        <v>1413</v>
      </c>
      <c r="C855" s="46" t="s">
        <v>722</v>
      </c>
      <c r="D855" s="207"/>
      <c r="E855" s="2" t="s">
        <v>1178</v>
      </c>
      <c r="F855" s="2"/>
      <c r="G855" s="2"/>
      <c r="H855" s="2"/>
      <c r="I855" s="2"/>
      <c r="J855" s="3" t="s">
        <v>707</v>
      </c>
      <c r="K855" s="3"/>
      <c r="L855" s="3"/>
      <c r="M855" s="3"/>
      <c r="N855" s="3"/>
      <c r="O855" s="2"/>
      <c r="P855" s="3"/>
      <c r="Q855" s="3"/>
      <c r="R855" s="4" t="s">
        <v>548</v>
      </c>
    </row>
    <row r="856" spans="2:20" x14ac:dyDescent="0.25">
      <c r="B856" s="765" t="s">
        <v>1413</v>
      </c>
      <c r="C856" s="53" t="s">
        <v>841</v>
      </c>
      <c r="E856" t="s">
        <v>1178</v>
      </c>
      <c r="J856" s="191" t="s">
        <v>1184</v>
      </c>
      <c r="R856" s="254" t="s">
        <v>548</v>
      </c>
    </row>
    <row r="857" spans="2:20" x14ac:dyDescent="0.25">
      <c r="B857" s="765" t="s">
        <v>1413</v>
      </c>
      <c r="C857" s="53" t="s">
        <v>842</v>
      </c>
      <c r="E857" t="s">
        <v>1178</v>
      </c>
      <c r="J857" s="191" t="s">
        <v>1184</v>
      </c>
      <c r="R857" s="255" t="s">
        <v>548</v>
      </c>
    </row>
    <row r="858" spans="2:20" x14ac:dyDescent="0.25">
      <c r="B858" s="765" t="s">
        <v>1413</v>
      </c>
      <c r="C858" s="53" t="s">
        <v>1185</v>
      </c>
      <c r="E858" t="s">
        <v>1178</v>
      </c>
      <c r="J858" s="191" t="s">
        <v>1184</v>
      </c>
      <c r="R858" s="254" t="s">
        <v>548</v>
      </c>
    </row>
    <row r="859" spans="2:20" x14ac:dyDescent="0.25">
      <c r="C859" s="53" t="s">
        <v>843</v>
      </c>
      <c r="J859" s="6" t="s">
        <v>695</v>
      </c>
      <c r="R859" s="255" t="s">
        <v>548</v>
      </c>
    </row>
    <row r="860" spans="2:20" x14ac:dyDescent="0.25">
      <c r="C860" s="53" t="s">
        <v>1091</v>
      </c>
      <c r="J860" t="s">
        <v>1090</v>
      </c>
      <c r="N860" t="s">
        <v>1110</v>
      </c>
      <c r="O860">
        <v>1</v>
      </c>
      <c r="Q860" t="s">
        <v>1111</v>
      </c>
      <c r="R860" t="s">
        <v>1112</v>
      </c>
      <c r="S860">
        <v>30</v>
      </c>
      <c r="T860" s="246">
        <f>1/6</f>
        <v>0.16666666666666666</v>
      </c>
    </row>
    <row r="861" spans="2:20" x14ac:dyDescent="0.25">
      <c r="C861" s="53" t="s">
        <v>456</v>
      </c>
      <c r="J861" t="s">
        <v>1090</v>
      </c>
      <c r="N861" t="s">
        <v>1093</v>
      </c>
      <c r="O861">
        <v>1</v>
      </c>
      <c r="P861" s="6" t="s">
        <v>50</v>
      </c>
      <c r="Q861" t="s">
        <v>1094</v>
      </c>
      <c r="R861" t="s">
        <v>1112</v>
      </c>
      <c r="S861">
        <v>30</v>
      </c>
      <c r="T861" s="246">
        <f t="shared" ref="T861:T871" si="31">1/6</f>
        <v>0.16666666666666666</v>
      </c>
    </row>
    <row r="862" spans="2:20" x14ac:dyDescent="0.25">
      <c r="C862" s="53" t="s">
        <v>1086</v>
      </c>
      <c r="J862" t="s">
        <v>1090</v>
      </c>
      <c r="N862" t="s">
        <v>1095</v>
      </c>
      <c r="O862">
        <v>1</v>
      </c>
      <c r="P862" s="6" t="s">
        <v>50</v>
      </c>
      <c r="Q862" t="s">
        <v>1096</v>
      </c>
      <c r="R862" t="s">
        <v>1112</v>
      </c>
      <c r="S862">
        <v>30</v>
      </c>
      <c r="T862" s="246">
        <f t="shared" si="31"/>
        <v>0.16666666666666666</v>
      </c>
    </row>
    <row r="863" spans="2:20" x14ac:dyDescent="0.25">
      <c r="C863" s="53" t="s">
        <v>474</v>
      </c>
      <c r="J863" t="s">
        <v>1090</v>
      </c>
      <c r="N863" t="s">
        <v>1097</v>
      </c>
      <c r="O863">
        <v>1</v>
      </c>
      <c r="Q863" t="s">
        <v>473</v>
      </c>
      <c r="R863" t="s">
        <v>1112</v>
      </c>
      <c r="S863">
        <v>30</v>
      </c>
      <c r="T863" s="246">
        <f t="shared" si="31"/>
        <v>0.16666666666666666</v>
      </c>
    </row>
    <row r="864" spans="2:20" x14ac:dyDescent="0.25">
      <c r="C864" s="53" t="s">
        <v>477</v>
      </c>
      <c r="J864" t="s">
        <v>1090</v>
      </c>
      <c r="N864" t="s">
        <v>1099</v>
      </c>
      <c r="O864">
        <v>1</v>
      </c>
      <c r="P864" s="6" t="s">
        <v>50</v>
      </c>
      <c r="Q864" t="s">
        <v>1098</v>
      </c>
      <c r="R864" t="s">
        <v>1112</v>
      </c>
      <c r="S864">
        <v>30</v>
      </c>
      <c r="T864" s="246">
        <f t="shared" si="31"/>
        <v>0.16666666666666666</v>
      </c>
    </row>
    <row r="865" spans="1:20" x14ac:dyDescent="0.25">
      <c r="C865" s="53" t="s">
        <v>487</v>
      </c>
      <c r="J865" t="s">
        <v>1090</v>
      </c>
      <c r="N865" t="s">
        <v>1100</v>
      </c>
      <c r="O865">
        <v>1</v>
      </c>
      <c r="Q865" t="s">
        <v>489</v>
      </c>
      <c r="R865" t="s">
        <v>1112</v>
      </c>
      <c r="S865">
        <v>30</v>
      </c>
      <c r="T865" s="246">
        <f t="shared" si="31"/>
        <v>0.16666666666666666</v>
      </c>
    </row>
    <row r="866" spans="1:20" x14ac:dyDescent="0.25">
      <c r="C866" s="53" t="s">
        <v>490</v>
      </c>
      <c r="J866" t="s">
        <v>1090</v>
      </c>
      <c r="N866" t="s">
        <v>1101</v>
      </c>
      <c r="O866">
        <v>1</v>
      </c>
      <c r="Q866" t="s">
        <v>492</v>
      </c>
      <c r="R866" t="s">
        <v>1112</v>
      </c>
      <c r="S866">
        <v>30</v>
      </c>
      <c r="T866" s="246">
        <f t="shared" si="31"/>
        <v>0.16666666666666666</v>
      </c>
    </row>
    <row r="867" spans="1:20" x14ac:dyDescent="0.25">
      <c r="C867" s="53" t="s">
        <v>1087</v>
      </c>
      <c r="J867" t="s">
        <v>1090</v>
      </c>
      <c r="N867" t="s">
        <v>1102</v>
      </c>
      <c r="O867">
        <v>1</v>
      </c>
      <c r="P867" s="6" t="s">
        <v>50</v>
      </c>
      <c r="Q867" t="s">
        <v>495</v>
      </c>
      <c r="R867" t="s">
        <v>1112</v>
      </c>
      <c r="S867">
        <v>30</v>
      </c>
      <c r="T867" s="246">
        <f t="shared" si="31"/>
        <v>0.16666666666666666</v>
      </c>
    </row>
    <row r="868" spans="1:20" x14ac:dyDescent="0.25">
      <c r="C868" s="53" t="s">
        <v>532</v>
      </c>
      <c r="J868" t="s">
        <v>1090</v>
      </c>
      <c r="N868" t="s">
        <v>1104</v>
      </c>
      <c r="O868">
        <v>1</v>
      </c>
      <c r="P868" s="6" t="s">
        <v>50</v>
      </c>
      <c r="Q868" t="s">
        <v>1103</v>
      </c>
      <c r="R868" t="s">
        <v>1112</v>
      </c>
      <c r="S868">
        <v>30</v>
      </c>
      <c r="T868" s="246">
        <f t="shared" si="31"/>
        <v>0.16666666666666666</v>
      </c>
    </row>
    <row r="869" spans="1:20" x14ac:dyDescent="0.25">
      <c r="C869" s="53" t="s">
        <v>541</v>
      </c>
      <c r="J869" t="s">
        <v>1090</v>
      </c>
      <c r="N869" t="s">
        <v>1105</v>
      </c>
      <c r="O869">
        <v>1</v>
      </c>
      <c r="P869" s="6" t="s">
        <v>50</v>
      </c>
      <c r="Q869" t="s">
        <v>1106</v>
      </c>
      <c r="R869" t="s">
        <v>1112</v>
      </c>
      <c r="S869">
        <v>30</v>
      </c>
      <c r="T869" s="246">
        <f t="shared" si="31"/>
        <v>0.16666666666666666</v>
      </c>
    </row>
    <row r="870" spans="1:20" x14ac:dyDescent="0.25">
      <c r="C870" s="53" t="s">
        <v>1088</v>
      </c>
      <c r="J870" t="s">
        <v>1090</v>
      </c>
      <c r="N870" t="s">
        <v>1105</v>
      </c>
      <c r="O870">
        <v>1</v>
      </c>
      <c r="Q870" t="s">
        <v>1107</v>
      </c>
      <c r="R870" t="s">
        <v>1112</v>
      </c>
      <c r="S870">
        <v>30</v>
      </c>
      <c r="T870" s="246">
        <f t="shared" si="31"/>
        <v>0.16666666666666666</v>
      </c>
    </row>
    <row r="871" spans="1:20" x14ac:dyDescent="0.25">
      <c r="C871" s="53" t="s">
        <v>1089</v>
      </c>
      <c r="J871" t="s">
        <v>1090</v>
      </c>
      <c r="N871" t="s">
        <v>1108</v>
      </c>
      <c r="O871">
        <v>1</v>
      </c>
      <c r="Q871" t="s">
        <v>1109</v>
      </c>
      <c r="R871" t="s">
        <v>1112</v>
      </c>
      <c r="S871">
        <v>30</v>
      </c>
      <c r="T871" s="246">
        <f t="shared" si="31"/>
        <v>0.16666666666666666</v>
      </c>
    </row>
    <row r="872" spans="1:20" x14ac:dyDescent="0.25">
      <c r="E872" s="258"/>
    </row>
    <row r="873" spans="1:20" x14ac:dyDescent="0.25">
      <c r="B873" s="765" t="s">
        <v>1421</v>
      </c>
      <c r="C873" s="46" t="s">
        <v>1195</v>
      </c>
      <c r="D873" s="207"/>
      <c r="E873" s="36"/>
      <c r="F873" s="2"/>
      <c r="G873" s="2"/>
      <c r="H873" s="2"/>
      <c r="I873" s="2"/>
      <c r="J873" t="s">
        <v>1133</v>
      </c>
      <c r="K873" s="3"/>
      <c r="L873" s="3"/>
      <c r="M873" s="3">
        <v>1</v>
      </c>
      <c r="N873" s="3" t="s">
        <v>44</v>
      </c>
      <c r="O873" s="2" t="s">
        <v>49</v>
      </c>
      <c r="P873" s="3"/>
      <c r="Q873" s="3" t="s">
        <v>47</v>
      </c>
      <c r="R873" s="257" t="s">
        <v>1142</v>
      </c>
      <c r="S873">
        <v>35</v>
      </c>
      <c r="T873" s="246">
        <f t="shared" ref="T873:T880" si="32">1/8</f>
        <v>0.125</v>
      </c>
    </row>
    <row r="874" spans="1:20" x14ac:dyDescent="0.25">
      <c r="B874" s="765" t="s">
        <v>1421</v>
      </c>
      <c r="C874" s="46" t="s">
        <v>1196</v>
      </c>
      <c r="D874" s="207"/>
      <c r="E874" s="36"/>
      <c r="F874" s="2"/>
      <c r="G874" s="2"/>
      <c r="H874" s="2"/>
      <c r="I874" s="2"/>
      <c r="J874" t="s">
        <v>1133</v>
      </c>
      <c r="K874" s="3"/>
      <c r="L874" s="3"/>
      <c r="M874" s="3">
        <v>1</v>
      </c>
      <c r="N874" s="3" t="s">
        <v>122</v>
      </c>
      <c r="O874" s="2" t="s">
        <v>49</v>
      </c>
      <c r="P874" s="3" t="s">
        <v>50</v>
      </c>
      <c r="Q874" s="3" t="s">
        <v>123</v>
      </c>
      <c r="R874" s="257" t="s">
        <v>1142</v>
      </c>
      <c r="S874">
        <v>35</v>
      </c>
      <c r="T874" s="246">
        <f t="shared" si="32"/>
        <v>0.125</v>
      </c>
    </row>
    <row r="875" spans="1:20" x14ac:dyDescent="0.25">
      <c r="B875" s="765" t="s">
        <v>1421</v>
      </c>
      <c r="C875" s="46" t="s">
        <v>1311</v>
      </c>
      <c r="D875" s="207"/>
      <c r="E875" s="36"/>
      <c r="F875" s="2"/>
      <c r="G875" s="2"/>
      <c r="H875" s="2"/>
      <c r="I875" s="2"/>
      <c r="J875" t="s">
        <v>1133</v>
      </c>
      <c r="K875" s="3"/>
      <c r="L875" s="3"/>
      <c r="M875" s="3">
        <v>1</v>
      </c>
      <c r="N875" s="3" t="s">
        <v>125</v>
      </c>
      <c r="O875" s="2" t="s">
        <v>49</v>
      </c>
      <c r="P875" s="3" t="s">
        <v>50</v>
      </c>
      <c r="Q875" s="3" t="s">
        <v>126</v>
      </c>
      <c r="R875" s="257" t="s">
        <v>1142</v>
      </c>
      <c r="S875">
        <v>35</v>
      </c>
      <c r="T875" s="246">
        <v>0.13</v>
      </c>
    </row>
    <row r="876" spans="1:20" x14ac:dyDescent="0.25">
      <c r="B876" s="765" t="s">
        <v>1421</v>
      </c>
      <c r="C876" s="47" t="s">
        <v>1197</v>
      </c>
      <c r="D876" s="208"/>
      <c r="E876" s="37"/>
      <c r="F876" s="5"/>
      <c r="G876" s="5"/>
      <c r="H876" s="5"/>
      <c r="I876" s="5"/>
      <c r="J876" t="s">
        <v>1133</v>
      </c>
      <c r="K876" s="6"/>
      <c r="L876" s="6"/>
      <c r="M876" s="6">
        <v>1</v>
      </c>
      <c r="N876" s="6" t="s">
        <v>137</v>
      </c>
      <c r="O876" s="5" t="s">
        <v>49</v>
      </c>
      <c r="P876" s="6"/>
      <c r="Q876" s="6" t="s">
        <v>138</v>
      </c>
      <c r="R876" s="257" t="s">
        <v>1142</v>
      </c>
      <c r="S876">
        <v>35</v>
      </c>
      <c r="T876" s="246">
        <f t="shared" si="32"/>
        <v>0.125</v>
      </c>
    </row>
    <row r="877" spans="1:20" x14ac:dyDescent="0.25">
      <c r="A877" s="765">
        <v>513</v>
      </c>
      <c r="B877" s="765" t="s">
        <v>1421</v>
      </c>
      <c r="C877" s="47" t="s">
        <v>1198</v>
      </c>
      <c r="D877" s="208"/>
      <c r="E877" s="37"/>
      <c r="F877" s="5"/>
      <c r="G877" s="5"/>
      <c r="H877" s="5"/>
      <c r="I877" s="5"/>
      <c r="J877" t="s">
        <v>1133</v>
      </c>
      <c r="K877" s="6"/>
      <c r="L877" s="6"/>
      <c r="M877" s="6">
        <v>1</v>
      </c>
      <c r="N877" s="14" t="s">
        <v>587</v>
      </c>
      <c r="O877" s="15">
        <v>4</v>
      </c>
      <c r="P877" s="6"/>
      <c r="Q877" s="14" t="s">
        <v>1292</v>
      </c>
      <c r="R877" s="257" t="s">
        <v>1142</v>
      </c>
      <c r="S877">
        <v>35</v>
      </c>
      <c r="T877" s="246">
        <f t="shared" si="32"/>
        <v>0.125</v>
      </c>
    </row>
    <row r="878" spans="1:20" x14ac:dyDescent="0.25">
      <c r="B878" s="765" t="s">
        <v>1421</v>
      </c>
      <c r="C878" s="46" t="s">
        <v>1206</v>
      </c>
      <c r="D878" s="207"/>
      <c r="E878" s="36"/>
      <c r="F878" s="2"/>
      <c r="G878" s="2"/>
      <c r="H878" s="2"/>
      <c r="I878" s="2"/>
      <c r="J878" t="s">
        <v>1133</v>
      </c>
      <c r="K878" s="3"/>
      <c r="L878" s="3"/>
      <c r="M878" s="3">
        <v>1</v>
      </c>
      <c r="N878" s="32" t="s">
        <v>585</v>
      </c>
      <c r="O878" s="29">
        <v>4</v>
      </c>
      <c r="P878" s="3"/>
      <c r="Q878" s="32" t="s">
        <v>882</v>
      </c>
      <c r="R878" s="257" t="s">
        <v>1142</v>
      </c>
      <c r="S878">
        <v>35</v>
      </c>
      <c r="T878" s="246">
        <f t="shared" si="32"/>
        <v>0.125</v>
      </c>
    </row>
    <row r="879" spans="1:20" x14ac:dyDescent="0.25">
      <c r="B879" s="765" t="s">
        <v>1421</v>
      </c>
      <c r="C879" s="47" t="s">
        <v>1199</v>
      </c>
      <c r="D879" s="208"/>
      <c r="E879" s="37"/>
      <c r="F879" s="5"/>
      <c r="G879" s="5"/>
      <c r="H879" s="5"/>
      <c r="I879" s="5"/>
      <c r="J879" t="s">
        <v>1133</v>
      </c>
      <c r="K879" s="6"/>
      <c r="L879" s="6"/>
      <c r="M879" s="6">
        <v>2</v>
      </c>
      <c r="N879" s="14" t="s">
        <v>590</v>
      </c>
      <c r="O879" s="15">
        <v>4</v>
      </c>
      <c r="P879" s="6" t="s">
        <v>50</v>
      </c>
      <c r="Q879" s="14" t="s">
        <v>1237</v>
      </c>
      <c r="R879" s="257" t="s">
        <v>1142</v>
      </c>
      <c r="S879">
        <v>35</v>
      </c>
      <c r="T879" s="246">
        <f t="shared" si="32"/>
        <v>0.125</v>
      </c>
    </row>
    <row r="880" spans="1:20" x14ac:dyDescent="0.25">
      <c r="B880" s="765" t="s">
        <v>1421</v>
      </c>
      <c r="C880" s="47" t="s">
        <v>1200</v>
      </c>
      <c r="D880" s="208"/>
      <c r="E880" s="37"/>
      <c r="F880" s="5"/>
      <c r="G880" s="5"/>
      <c r="H880" s="5"/>
      <c r="I880" s="5"/>
      <c r="J880" t="s">
        <v>1133</v>
      </c>
      <c r="K880" s="6"/>
      <c r="L880" s="6"/>
      <c r="M880" s="6">
        <v>2</v>
      </c>
      <c r="N880" s="14" t="s">
        <v>593</v>
      </c>
      <c r="O880" s="15">
        <v>4</v>
      </c>
      <c r="P880" s="6" t="s">
        <v>50</v>
      </c>
      <c r="Q880" s="14" t="s">
        <v>1238</v>
      </c>
      <c r="R880" s="257" t="s">
        <v>1142</v>
      </c>
      <c r="S880">
        <v>35</v>
      </c>
      <c r="T880" s="246">
        <f t="shared" si="32"/>
        <v>0.125</v>
      </c>
    </row>
    <row r="881" spans="1:20" x14ac:dyDescent="0.25">
      <c r="B881" s="765" t="s">
        <v>1421</v>
      </c>
      <c r="C881" s="53" t="s">
        <v>1285</v>
      </c>
      <c r="E881" s="258"/>
      <c r="J881" t="s">
        <v>1133</v>
      </c>
      <c r="M881">
        <v>1</v>
      </c>
      <c r="O881" s="259">
        <v>4</v>
      </c>
      <c r="Q881" t="s">
        <v>1240</v>
      </c>
      <c r="R881" t="s">
        <v>1142</v>
      </c>
      <c r="S881">
        <v>35</v>
      </c>
      <c r="T881" s="246">
        <f>1/8</f>
        <v>0.125</v>
      </c>
    </row>
    <row r="882" spans="1:20" x14ac:dyDescent="0.25">
      <c r="A882" s="765">
        <v>532</v>
      </c>
      <c r="B882" s="765" t="s">
        <v>1421</v>
      </c>
      <c r="C882" s="53" t="s">
        <v>1284</v>
      </c>
      <c r="E882" s="258"/>
      <c r="J882" t="s">
        <v>1133</v>
      </c>
      <c r="M882">
        <v>1</v>
      </c>
      <c r="O882" s="259">
        <v>4</v>
      </c>
      <c r="Q882" t="s">
        <v>1239</v>
      </c>
      <c r="R882" t="s">
        <v>1142</v>
      </c>
      <c r="S882">
        <v>35</v>
      </c>
      <c r="T882" s="246">
        <f>1/8</f>
        <v>0.125</v>
      </c>
    </row>
    <row r="883" spans="1:20" x14ac:dyDescent="0.25">
      <c r="B883" s="765" t="s">
        <v>1421</v>
      </c>
      <c r="C883" s="53" t="s">
        <v>1288</v>
      </c>
      <c r="E883" s="258"/>
      <c r="J883" t="s">
        <v>1133</v>
      </c>
      <c r="M883">
        <v>1</v>
      </c>
      <c r="O883" s="259">
        <v>4</v>
      </c>
      <c r="Q883" t="s">
        <v>1241</v>
      </c>
      <c r="R883" t="s">
        <v>1142</v>
      </c>
      <c r="S883">
        <v>35</v>
      </c>
      <c r="T883" s="246">
        <f>1/8</f>
        <v>0.125</v>
      </c>
    </row>
    <row r="884" spans="1:20" x14ac:dyDescent="0.25">
      <c r="B884" s="765" t="s">
        <v>1421</v>
      </c>
      <c r="C884" s="53" t="s">
        <v>1286</v>
      </c>
      <c r="E884" s="258"/>
      <c r="J884" t="s">
        <v>1133</v>
      </c>
      <c r="M884">
        <v>1</v>
      </c>
      <c r="O884" s="259">
        <v>4</v>
      </c>
      <c r="Q884" t="s">
        <v>1242</v>
      </c>
      <c r="R884" t="s">
        <v>1142</v>
      </c>
      <c r="S884">
        <v>35</v>
      </c>
      <c r="T884" s="246">
        <f>1/8</f>
        <v>0.125</v>
      </c>
    </row>
    <row r="885" spans="1:20" x14ac:dyDescent="0.25">
      <c r="B885" s="765" t="s">
        <v>1421</v>
      </c>
      <c r="C885" s="53" t="s">
        <v>1287</v>
      </c>
      <c r="E885" s="258"/>
      <c r="J885" t="s">
        <v>1133</v>
      </c>
      <c r="M885">
        <v>1</v>
      </c>
      <c r="O885" s="259">
        <v>4</v>
      </c>
      <c r="Q885" t="s">
        <v>1243</v>
      </c>
      <c r="R885" t="s">
        <v>1142</v>
      </c>
      <c r="S885">
        <v>35</v>
      </c>
      <c r="T885" s="246">
        <f>1/8</f>
        <v>0.125</v>
      </c>
    </row>
    <row r="886" spans="1:20" x14ac:dyDescent="0.25">
      <c r="A886" s="765">
        <v>514</v>
      </c>
      <c r="B886" s="765" t="s">
        <v>1421</v>
      </c>
      <c r="C886" s="50" t="s">
        <v>1202</v>
      </c>
      <c r="D886" s="211"/>
      <c r="E886" s="37"/>
      <c r="F886" s="5"/>
      <c r="G886" s="5"/>
      <c r="H886" s="5"/>
      <c r="I886" s="5"/>
      <c r="J886" t="s">
        <v>1133</v>
      </c>
      <c r="K886" s="6"/>
      <c r="L886" s="6"/>
      <c r="M886" s="6">
        <v>1</v>
      </c>
      <c r="N886" s="6"/>
      <c r="O886" s="15">
        <v>4</v>
      </c>
      <c r="P886" s="6"/>
      <c r="Q886" s="6" t="s">
        <v>1293</v>
      </c>
      <c r="R886" t="s">
        <v>1142</v>
      </c>
      <c r="S886">
        <v>35</v>
      </c>
      <c r="T886" s="246">
        <f t="shared" ref="T886:T890" si="33">1/8</f>
        <v>0.125</v>
      </c>
    </row>
    <row r="887" spans="1:20" x14ac:dyDescent="0.25">
      <c r="B887" s="765" t="s">
        <v>1421</v>
      </c>
      <c r="C887" s="49" t="s">
        <v>1201</v>
      </c>
      <c r="D887" s="210"/>
      <c r="E887" s="36"/>
      <c r="F887" s="2"/>
      <c r="G887" s="2"/>
      <c r="H887" s="2"/>
      <c r="I887" s="2"/>
      <c r="J887" t="s">
        <v>1133</v>
      </c>
      <c r="K887" s="3"/>
      <c r="L887" s="3"/>
      <c r="M887" s="3">
        <v>1</v>
      </c>
      <c r="N887" s="3"/>
      <c r="O887" s="29">
        <v>4</v>
      </c>
      <c r="P887" s="3"/>
      <c r="Q887" s="3" t="s">
        <v>885</v>
      </c>
      <c r="R887" t="s">
        <v>1142</v>
      </c>
      <c r="S887">
        <v>35</v>
      </c>
      <c r="T887" s="246">
        <f t="shared" si="33"/>
        <v>0.125</v>
      </c>
    </row>
    <row r="888" spans="1:20" x14ac:dyDescent="0.25">
      <c r="B888" s="765" t="s">
        <v>1421</v>
      </c>
      <c r="C888" s="49" t="s">
        <v>1203</v>
      </c>
      <c r="D888" s="211"/>
      <c r="E888" s="37"/>
      <c r="F888" s="5"/>
      <c r="G888" s="5"/>
      <c r="H888" s="5"/>
      <c r="I888" s="5"/>
      <c r="J888" t="s">
        <v>1133</v>
      </c>
      <c r="K888" s="6"/>
      <c r="L888" s="6"/>
      <c r="M888" s="6">
        <v>1</v>
      </c>
      <c r="N888" s="6"/>
      <c r="O888" s="15">
        <v>4</v>
      </c>
      <c r="P888" s="6"/>
      <c r="Q888" s="6" t="s">
        <v>888</v>
      </c>
      <c r="R888" t="s">
        <v>1142</v>
      </c>
      <c r="S888">
        <v>35</v>
      </c>
      <c r="T888" s="246">
        <f t="shared" si="33"/>
        <v>0.125</v>
      </c>
    </row>
    <row r="889" spans="1:20" x14ac:dyDescent="0.25">
      <c r="B889" s="765" t="s">
        <v>1421</v>
      </c>
      <c r="C889" s="49" t="s">
        <v>1204</v>
      </c>
      <c r="D889" s="212"/>
      <c r="E889" s="36"/>
      <c r="F889" s="2"/>
      <c r="G889" s="2"/>
      <c r="H889" s="2"/>
      <c r="I889" s="2"/>
      <c r="J889" t="s">
        <v>1133</v>
      </c>
      <c r="K889" s="3"/>
      <c r="L889" s="3"/>
      <c r="M889" s="3">
        <v>1</v>
      </c>
      <c r="N889" s="3"/>
      <c r="O889" s="29">
        <v>4</v>
      </c>
      <c r="P889" s="3"/>
      <c r="Q889" s="3" t="s">
        <v>886</v>
      </c>
      <c r="R889" t="s">
        <v>1142</v>
      </c>
      <c r="S889">
        <v>35</v>
      </c>
      <c r="T889" s="246">
        <f t="shared" si="33"/>
        <v>0.125</v>
      </c>
    </row>
    <row r="890" spans="1:20" x14ac:dyDescent="0.25">
      <c r="B890" s="765" t="s">
        <v>1421</v>
      </c>
      <c r="C890" s="49" t="s">
        <v>1205</v>
      </c>
      <c r="D890" s="211"/>
      <c r="E890" s="37"/>
      <c r="F890" s="5"/>
      <c r="G890" s="5"/>
      <c r="H890" s="5"/>
      <c r="I890" s="5"/>
      <c r="J890" t="s">
        <v>1133</v>
      </c>
      <c r="K890" s="6"/>
      <c r="L890" s="6"/>
      <c r="M890" s="6">
        <v>1</v>
      </c>
      <c r="N890" s="6"/>
      <c r="O890" s="15">
        <v>4</v>
      </c>
      <c r="P890" s="6"/>
      <c r="Q890" s="6" t="s">
        <v>887</v>
      </c>
      <c r="R890" t="s">
        <v>1142</v>
      </c>
      <c r="S890">
        <v>35</v>
      </c>
      <c r="T890" s="246">
        <f t="shared" si="33"/>
        <v>0.125</v>
      </c>
    </row>
    <row r="891" spans="1:20" x14ac:dyDescent="0.25">
      <c r="A891" s="765">
        <v>393</v>
      </c>
      <c r="B891" s="765" t="s">
        <v>1413</v>
      </c>
      <c r="C891" s="249" t="s">
        <v>1169</v>
      </c>
      <c r="E891" t="s">
        <v>724</v>
      </c>
      <c r="J891" t="s">
        <v>1170</v>
      </c>
      <c r="M891">
        <v>1</v>
      </c>
      <c r="Q891" t="s">
        <v>1227</v>
      </c>
      <c r="R891" t="s">
        <v>548</v>
      </c>
      <c r="S891">
        <v>35</v>
      </c>
      <c r="T891">
        <v>5</v>
      </c>
    </row>
    <row r="892" spans="1:20" x14ac:dyDescent="0.25">
      <c r="A892" s="765">
        <v>394</v>
      </c>
      <c r="B892" s="765" t="s">
        <v>1413</v>
      </c>
      <c r="C892" s="249" t="s">
        <v>1171</v>
      </c>
      <c r="E892" t="s">
        <v>724</v>
      </c>
      <c r="J892" t="s">
        <v>1170</v>
      </c>
      <c r="M892">
        <v>1</v>
      </c>
      <c r="Q892" t="s">
        <v>1167</v>
      </c>
      <c r="R892" t="s">
        <v>548</v>
      </c>
      <c r="S892">
        <v>35</v>
      </c>
      <c r="T892">
        <v>5</v>
      </c>
    </row>
    <row r="893" spans="1:20" x14ac:dyDescent="0.25">
      <c r="A893" s="765">
        <v>395</v>
      </c>
      <c r="B893" s="765" t="s">
        <v>1413</v>
      </c>
      <c r="C893" s="249" t="s">
        <v>1172</v>
      </c>
      <c r="E893" t="s">
        <v>724</v>
      </c>
      <c r="J893" t="s">
        <v>1170</v>
      </c>
      <c r="M893">
        <v>1</v>
      </c>
      <c r="Q893" t="s">
        <v>1168</v>
      </c>
      <c r="R893" t="s">
        <v>548</v>
      </c>
      <c r="S893">
        <v>35</v>
      </c>
      <c r="T893">
        <v>5</v>
      </c>
    </row>
    <row r="894" spans="1:20" x14ac:dyDescent="0.25">
      <c r="A894" s="765">
        <v>396</v>
      </c>
      <c r="B894" s="765" t="s">
        <v>1413</v>
      </c>
      <c r="C894" s="249" t="s">
        <v>1173</v>
      </c>
      <c r="E894" t="s">
        <v>724</v>
      </c>
      <c r="J894" t="s">
        <v>1170</v>
      </c>
      <c r="M894">
        <v>1</v>
      </c>
      <c r="Q894" t="s">
        <v>1168</v>
      </c>
      <c r="R894" t="s">
        <v>548</v>
      </c>
      <c r="S894">
        <v>35</v>
      </c>
      <c r="T894">
        <v>10</v>
      </c>
    </row>
    <row r="895" spans="1:20" x14ac:dyDescent="0.25">
      <c r="A895" s="765">
        <v>397</v>
      </c>
      <c r="B895" s="765" t="s">
        <v>1413</v>
      </c>
      <c r="C895" s="249" t="s">
        <v>1174</v>
      </c>
      <c r="E895" t="s">
        <v>724</v>
      </c>
      <c r="J895" t="s">
        <v>1170</v>
      </c>
      <c r="M895">
        <v>1</v>
      </c>
      <c r="Q895" t="s">
        <v>1168</v>
      </c>
      <c r="R895" t="s">
        <v>548</v>
      </c>
      <c r="S895">
        <v>35</v>
      </c>
      <c r="T895">
        <v>10</v>
      </c>
    </row>
    <row r="896" spans="1:20" x14ac:dyDescent="0.25">
      <c r="B896" s="765" t="s">
        <v>1413</v>
      </c>
      <c r="C896" s="53" t="s">
        <v>1427</v>
      </c>
      <c r="E896" t="s">
        <v>724</v>
      </c>
      <c r="J896" t="s">
        <v>1170</v>
      </c>
      <c r="M896">
        <v>1</v>
      </c>
      <c r="Q896" t="s">
        <v>1428</v>
      </c>
      <c r="R896" t="s">
        <v>548</v>
      </c>
      <c r="S896">
        <v>35</v>
      </c>
      <c r="T896">
        <v>5</v>
      </c>
    </row>
    <row r="898" spans="3:18" x14ac:dyDescent="0.25">
      <c r="C898" s="53" t="s">
        <v>1211</v>
      </c>
      <c r="D898" s="208">
        <v>300</v>
      </c>
      <c r="E898" s="5"/>
      <c r="F898" s="5"/>
      <c r="G898" s="5"/>
      <c r="H898" s="5"/>
      <c r="I898" s="5"/>
      <c r="J898" s="6" t="s">
        <v>1208</v>
      </c>
      <c r="K898" s="6" t="s">
        <v>1130</v>
      </c>
      <c r="L898" s="6"/>
      <c r="M898" s="6">
        <v>2</v>
      </c>
      <c r="N898" s="6" t="s">
        <v>737</v>
      </c>
      <c r="O898" s="5">
        <v>1</v>
      </c>
      <c r="P898" s="6"/>
      <c r="Q898" s="6" t="s">
        <v>351</v>
      </c>
      <c r="R898" s="4" t="s">
        <v>1214</v>
      </c>
    </row>
    <row r="899" spans="3:18" x14ac:dyDescent="0.25">
      <c r="C899" s="53" t="s">
        <v>1212</v>
      </c>
      <c r="D899" s="208">
        <v>300</v>
      </c>
      <c r="E899" s="5"/>
      <c r="F899" s="5"/>
      <c r="G899" s="5"/>
      <c r="H899" s="5"/>
      <c r="I899" s="5"/>
      <c r="J899" s="6" t="s">
        <v>1208</v>
      </c>
      <c r="K899" s="6" t="s">
        <v>1130</v>
      </c>
      <c r="L899" s="6"/>
      <c r="M899" s="6">
        <v>2</v>
      </c>
      <c r="N899" s="3" t="s">
        <v>358</v>
      </c>
      <c r="O899" s="5">
        <v>1</v>
      </c>
      <c r="P899" s="6"/>
      <c r="Q899" s="6" t="s">
        <v>1116</v>
      </c>
      <c r="R899" s="4" t="s">
        <v>1214</v>
      </c>
    </row>
    <row r="900" spans="3:18" x14ac:dyDescent="0.25">
      <c r="C900" s="53" t="s">
        <v>1213</v>
      </c>
      <c r="D900" s="207">
        <v>300</v>
      </c>
      <c r="E900" s="2"/>
      <c r="F900" s="2"/>
      <c r="G900" s="2"/>
      <c r="H900" s="2"/>
      <c r="I900" s="2"/>
      <c r="J900" s="6" t="s">
        <v>1208</v>
      </c>
      <c r="K900" s="6" t="s">
        <v>1130</v>
      </c>
      <c r="L900" s="3"/>
      <c r="M900" s="3">
        <v>2</v>
      </c>
      <c r="N900" s="6" t="s">
        <v>737</v>
      </c>
      <c r="O900" s="2">
        <v>1</v>
      </c>
      <c r="P900" s="3"/>
      <c r="Q900" s="3" t="s">
        <v>353</v>
      </c>
      <c r="R900" s="7" t="s">
        <v>1214</v>
      </c>
    </row>
    <row r="901" spans="3:18" x14ac:dyDescent="0.25">
      <c r="C901" s="53" t="s">
        <v>1218</v>
      </c>
      <c r="J901" s="6" t="s">
        <v>1208</v>
      </c>
      <c r="K901" s="6" t="s">
        <v>1130</v>
      </c>
      <c r="M901" s="3">
        <v>2</v>
      </c>
      <c r="N901" t="s">
        <v>1216</v>
      </c>
      <c r="O901" s="2">
        <v>1</v>
      </c>
      <c r="Q901" t="s">
        <v>1217</v>
      </c>
      <c r="R901" s="7" t="s">
        <v>1214</v>
      </c>
    </row>
  </sheetData>
  <autoFilter ref="C1:R451" xr:uid="{DB0133EF-2374-B84A-A8A1-9160E5D3B96D}">
    <sortState xmlns:xlrd2="http://schemas.microsoft.com/office/spreadsheetml/2017/richdata2" ref="C2:R451">
      <sortCondition descending="1" ref="F1:F451"/>
    </sortState>
  </autoFilter>
  <sortState xmlns:xlrd2="http://schemas.microsoft.com/office/spreadsheetml/2017/richdata2" ref="C275:C279">
    <sortCondition ref="C2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Order</vt:lpstr>
      <vt:lpstr>Print Order</vt:lpstr>
      <vt:lpstr>A</vt:lpstr>
      <vt:lpstr>Order!Print_Area</vt:lpstr>
      <vt:lpstr>'Print Order'!Print_Area</vt:lpstr>
      <vt:lpstr>Order!Print_Titles</vt:lpstr>
      <vt:lpstr>'Print Order'!Print_Titles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Lowe</dc:creator>
  <cp:lastModifiedBy>Beth Connolly</cp:lastModifiedBy>
  <cp:lastPrinted>2019-07-19T07:27:55Z</cp:lastPrinted>
  <dcterms:created xsi:type="dcterms:W3CDTF">2017-09-21T08:47:27Z</dcterms:created>
  <dcterms:modified xsi:type="dcterms:W3CDTF">2019-07-19T10:03:40Z</dcterms:modified>
</cp:coreProperties>
</file>